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ev/Desktop/DCF Analysis Practice/Completed DCF/"/>
    </mc:Choice>
  </mc:AlternateContent>
  <xr:revisionPtr revIDLastSave="0" documentId="13_ncr:1_{939CE516-6C75-E840-82D9-D8A7D4C76417}" xr6:coauthVersionLast="47" xr6:coauthVersionMax="47" xr10:uidLastSave="{00000000-0000-0000-0000-000000000000}"/>
  <bookViews>
    <workbookView xWindow="0" yWindow="500" windowWidth="28800" windowHeight="16340" activeTab="7" xr2:uid="{A737D57C-4981-8B4E-AAFE-AFBA52DDFFA0}"/>
  </bookViews>
  <sheets>
    <sheet name="Vertex Info" sheetId="8" r:id="rId1"/>
    <sheet name="Income Statement" sheetId="1" r:id="rId2"/>
    <sheet name="Balance Sheet" sheetId="2" r:id="rId3"/>
    <sheet name="Cash Flow Statement" sheetId="3" r:id="rId4"/>
    <sheet name="D&amp;A and Capex" sheetId="4" r:id="rId5"/>
    <sheet name="Days" sheetId="6" r:id="rId6"/>
    <sheet name="Interest Financing" sheetId="5" r:id="rId7"/>
    <sheet name="DCF" sheetId="7" r:id="rId8"/>
  </sheets>
  <externalReferences>
    <externalReference r:id="rId9"/>
    <externalReference r:id="rId1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28" i="2" l="1"/>
  <c r="W25" i="2"/>
  <c r="X25" i="2"/>
  <c r="Y25" i="2"/>
  <c r="Z25" i="2"/>
  <c r="AA25" i="2"/>
  <c r="AB25" i="2"/>
  <c r="AC25" i="2"/>
  <c r="AD25" i="2"/>
  <c r="AE25" i="2"/>
  <c r="AF25" i="2"/>
  <c r="AG25" i="2"/>
  <c r="AH25" i="2"/>
  <c r="AI25" i="2"/>
  <c r="AJ25" i="2"/>
  <c r="AK25" i="2"/>
  <c r="AL25" i="2"/>
  <c r="AM25" i="2"/>
  <c r="AN25" i="2"/>
  <c r="AO25" i="2"/>
  <c r="AP25" i="2"/>
  <c r="V25" i="2"/>
  <c r="U56" i="2"/>
  <c r="AP20" i="2"/>
  <c r="AO20" i="2"/>
  <c r="AN20" i="2"/>
  <c r="AM20" i="2"/>
  <c r="AL20" i="2"/>
  <c r="AK20" i="2"/>
  <c r="AJ20" i="2"/>
  <c r="AI20" i="2"/>
  <c r="AH20" i="2"/>
  <c r="AG20" i="2"/>
  <c r="AF20" i="2"/>
  <c r="AE20" i="2"/>
  <c r="AD20" i="2"/>
  <c r="AC20" i="2"/>
  <c r="AB20" i="2"/>
  <c r="AA20" i="2"/>
  <c r="Z20" i="2"/>
  <c r="Y20" i="2"/>
  <c r="X20" i="2"/>
  <c r="W20" i="2"/>
  <c r="V20" i="2"/>
  <c r="U54" i="2"/>
  <c r="AP19" i="2"/>
  <c r="AO19" i="2"/>
  <c r="AN19" i="2"/>
  <c r="AM19" i="2"/>
  <c r="AL19" i="2"/>
  <c r="AK19" i="2"/>
  <c r="AJ19" i="2"/>
  <c r="AI19" i="2"/>
  <c r="AH19" i="2"/>
  <c r="AG19" i="2"/>
  <c r="AF19" i="2"/>
  <c r="AE19" i="2"/>
  <c r="AD19" i="2"/>
  <c r="AC19" i="2"/>
  <c r="AB19" i="2"/>
  <c r="AA19" i="2"/>
  <c r="Z19" i="2"/>
  <c r="Y19" i="2"/>
  <c r="X19" i="2"/>
  <c r="W19" i="2"/>
  <c r="V19" i="2"/>
  <c r="AN18" i="2"/>
  <c r="AP18" i="2"/>
  <c r="AO18" i="2"/>
  <c r="AM18" i="2"/>
  <c r="AL18" i="2"/>
  <c r="AK18" i="2"/>
  <c r="AJ18" i="2"/>
  <c r="AI18" i="2"/>
  <c r="AH18" i="2"/>
  <c r="AG18" i="2"/>
  <c r="AF18" i="2"/>
  <c r="AE18" i="2"/>
  <c r="AD18" i="2"/>
  <c r="AC18" i="2"/>
  <c r="AB18" i="2"/>
  <c r="AA18" i="2"/>
  <c r="Z18" i="2"/>
  <c r="Y18" i="2"/>
  <c r="X18" i="2"/>
  <c r="W18" i="2"/>
  <c r="V18" i="2"/>
  <c r="U52" i="2"/>
  <c r="T52" i="2"/>
  <c r="S52" i="2"/>
  <c r="R52" i="2"/>
  <c r="Q52" i="2"/>
  <c r="P52" i="2"/>
  <c r="O52" i="2"/>
  <c r="N52" i="2"/>
  <c r="M52" i="2"/>
  <c r="L52" i="2"/>
  <c r="K52" i="2"/>
  <c r="J52" i="2"/>
  <c r="I52" i="2"/>
  <c r="H52" i="2"/>
  <c r="G52" i="2"/>
  <c r="F52" i="2"/>
  <c r="E52" i="2"/>
  <c r="D52" i="2"/>
  <c r="C52" i="2"/>
  <c r="U51" i="2"/>
  <c r="T51" i="2"/>
  <c r="S51" i="2"/>
  <c r="R51" i="2"/>
  <c r="Q51" i="2"/>
  <c r="P51" i="2"/>
  <c r="O51" i="2"/>
  <c r="N51" i="2"/>
  <c r="M51" i="2"/>
  <c r="L51" i="2"/>
  <c r="K51" i="2"/>
  <c r="J51" i="2"/>
  <c r="I51" i="2"/>
  <c r="H51" i="2"/>
  <c r="G51" i="2"/>
  <c r="F51" i="2"/>
  <c r="E51" i="2"/>
  <c r="D51" i="2"/>
  <c r="C51" i="2"/>
  <c r="W17" i="2"/>
  <c r="X17" i="2"/>
  <c r="Y17" i="2"/>
  <c r="Z17" i="2"/>
  <c r="AA17" i="2"/>
  <c r="AB17" i="2"/>
  <c r="AC17" i="2"/>
  <c r="AD17" i="2"/>
  <c r="AE17" i="2"/>
  <c r="AF17" i="2"/>
  <c r="AG17" i="2"/>
  <c r="AH17" i="2"/>
  <c r="AI17" i="2"/>
  <c r="AJ17" i="2"/>
  <c r="AK17" i="2"/>
  <c r="AL17" i="2"/>
  <c r="AM17" i="2"/>
  <c r="AN17" i="2"/>
  <c r="AO17" i="2"/>
  <c r="AP17" i="2"/>
  <c r="AP16" i="2"/>
  <c r="AO16" i="2"/>
  <c r="AN16" i="2"/>
  <c r="AM16" i="2"/>
  <c r="AL16" i="2"/>
  <c r="AK16" i="2"/>
  <c r="AJ16" i="2"/>
  <c r="AI16" i="2"/>
  <c r="AH16" i="2"/>
  <c r="AG16" i="2"/>
  <c r="AF16" i="2"/>
  <c r="AE16" i="2"/>
  <c r="AD16" i="2"/>
  <c r="AC16" i="2"/>
  <c r="AB16" i="2"/>
  <c r="AA16" i="2"/>
  <c r="Z16" i="2"/>
  <c r="Y16" i="2"/>
  <c r="X16" i="2"/>
  <c r="W16" i="2"/>
  <c r="V17" i="2"/>
  <c r="V16" i="2"/>
  <c r="AP15" i="2"/>
  <c r="AO15" i="2"/>
  <c r="AN15" i="2"/>
  <c r="AM15" i="2"/>
  <c r="AL15" i="2"/>
  <c r="AK15" i="2"/>
  <c r="AJ15" i="2"/>
  <c r="AI15" i="2"/>
  <c r="AH15" i="2"/>
  <c r="AG15" i="2"/>
  <c r="AF15" i="2"/>
  <c r="AE15" i="2"/>
  <c r="AD15" i="2"/>
  <c r="AC15" i="2"/>
  <c r="AB15" i="2"/>
  <c r="AA15" i="2"/>
  <c r="Z15" i="2"/>
  <c r="Y15" i="2"/>
  <c r="X15" i="2"/>
  <c r="W15" i="2"/>
  <c r="V15" i="2"/>
  <c r="AO13" i="2"/>
  <c r="AN13" i="2"/>
  <c r="AP13" i="2"/>
  <c r="AM13" i="2"/>
  <c r="AL13" i="2"/>
  <c r="AK13" i="2"/>
  <c r="AJ13" i="2"/>
  <c r="AI13" i="2"/>
  <c r="AH13" i="2"/>
  <c r="AG13" i="2"/>
  <c r="AF13" i="2"/>
  <c r="AE13" i="2"/>
  <c r="AD13" i="2"/>
  <c r="AC13" i="2"/>
  <c r="AB13" i="2"/>
  <c r="AA13" i="2"/>
  <c r="Z13" i="2"/>
  <c r="Y13" i="2"/>
  <c r="X13" i="2"/>
  <c r="W13" i="2"/>
  <c r="V13" i="2"/>
  <c r="AP10" i="2"/>
  <c r="AO10" i="2"/>
  <c r="AN10" i="2"/>
  <c r="AM10" i="2"/>
  <c r="AL10" i="2"/>
  <c r="AK10" i="2"/>
  <c r="AJ10" i="2"/>
  <c r="AI10" i="2"/>
  <c r="AH10" i="2"/>
  <c r="AG10" i="2"/>
  <c r="AF10" i="2"/>
  <c r="AE10" i="2"/>
  <c r="AD10" i="2"/>
  <c r="AC10" i="2"/>
  <c r="AB10" i="2"/>
  <c r="AA10" i="2"/>
  <c r="Z10" i="2"/>
  <c r="Y10" i="2"/>
  <c r="X10" i="2"/>
  <c r="W10" i="2"/>
  <c r="V10" i="2"/>
  <c r="U48" i="2"/>
  <c r="U47" i="2"/>
  <c r="U59" i="2"/>
  <c r="U58" i="2"/>
  <c r="U57" i="2"/>
  <c r="J59" i="2"/>
  <c r="K59" i="2"/>
  <c r="L59" i="2"/>
  <c r="M59" i="2"/>
  <c r="N59" i="2"/>
  <c r="O59" i="2"/>
  <c r="P59" i="2"/>
  <c r="Q59" i="2"/>
  <c r="R59" i="2"/>
  <c r="S59" i="2"/>
  <c r="T59" i="2"/>
  <c r="D58" i="2"/>
  <c r="E58" i="2"/>
  <c r="F58" i="2"/>
  <c r="G58" i="2"/>
  <c r="H58" i="2"/>
  <c r="I58" i="2"/>
  <c r="J58" i="2"/>
  <c r="K58" i="2"/>
  <c r="L58" i="2"/>
  <c r="M58" i="2"/>
  <c r="N58" i="2"/>
  <c r="O58" i="2"/>
  <c r="P58" i="2"/>
  <c r="Q58" i="2"/>
  <c r="R58" i="2"/>
  <c r="S58" i="2"/>
  <c r="T58" i="2"/>
  <c r="C58" i="2"/>
  <c r="T56" i="2"/>
  <c r="S56" i="2"/>
  <c r="R56" i="2"/>
  <c r="Q56" i="2"/>
  <c r="P56" i="2"/>
  <c r="O56" i="2"/>
  <c r="N56" i="2"/>
  <c r="M56" i="2"/>
  <c r="L56" i="2"/>
  <c r="K56" i="2"/>
  <c r="J56" i="2"/>
  <c r="I56" i="2"/>
  <c r="H56" i="2"/>
  <c r="G56" i="2"/>
  <c r="F56" i="2"/>
  <c r="E56" i="2"/>
  <c r="D56" i="2"/>
  <c r="C56" i="2"/>
  <c r="U53" i="2"/>
  <c r="T50" i="2"/>
  <c r="U49" i="2"/>
  <c r="S49" i="2"/>
  <c r="M49" i="2"/>
  <c r="G53" i="2"/>
  <c r="AP28" i="1"/>
  <c r="AO28" i="1"/>
  <c r="AN28" i="1"/>
  <c r="AM28" i="1"/>
  <c r="AL28" i="1"/>
  <c r="AK28" i="1"/>
  <c r="AJ28" i="1"/>
  <c r="AI28" i="1"/>
  <c r="AH28" i="1"/>
  <c r="AG28" i="1"/>
  <c r="AF28" i="1"/>
  <c r="AE28" i="1"/>
  <c r="AD28" i="1"/>
  <c r="AC28" i="1"/>
  <c r="AB28" i="1"/>
  <c r="AA28" i="1"/>
  <c r="Z28" i="1"/>
  <c r="Y28" i="1"/>
  <c r="X28" i="1"/>
  <c r="W28" i="1"/>
  <c r="V28" i="1"/>
  <c r="M7" i="8"/>
  <c r="M5" i="8" a="1"/>
  <c r="M5" i="8" s="1"/>
  <c r="M4" i="8" a="1"/>
  <c r="M4" i="8" s="1"/>
  <c r="W12" i="5"/>
  <c r="X12" i="5"/>
  <c r="Y12" i="5"/>
  <c r="Z12" i="5"/>
  <c r="AA12" i="5"/>
  <c r="AB12" i="5"/>
  <c r="AC12" i="5"/>
  <c r="AD12" i="5"/>
  <c r="AE12" i="5"/>
  <c r="AF12" i="5"/>
  <c r="AG12" i="5"/>
  <c r="AH12" i="5"/>
  <c r="AI12" i="5"/>
  <c r="AJ12" i="5"/>
  <c r="AK12" i="5"/>
  <c r="AL12" i="5"/>
  <c r="AM12" i="5"/>
  <c r="AN12" i="5"/>
  <c r="AO12" i="5"/>
  <c r="AP12" i="5"/>
  <c r="V12" i="5"/>
  <c r="W13" i="5" s="1"/>
  <c r="AP59" i="1"/>
  <c r="AO59" i="1"/>
  <c r="AN59" i="1"/>
  <c r="AM59" i="1"/>
  <c r="AL59" i="1"/>
  <c r="AK59" i="1"/>
  <c r="AJ59" i="1"/>
  <c r="AI59" i="1"/>
  <c r="AH59" i="1"/>
  <c r="AG59" i="1"/>
  <c r="AF59" i="1"/>
  <c r="AE59" i="1"/>
  <c r="AD59" i="1"/>
  <c r="AC59" i="1"/>
  <c r="AB59" i="1"/>
  <c r="AA59" i="1"/>
  <c r="Z59" i="1"/>
  <c r="Y59" i="1"/>
  <c r="X59" i="1"/>
  <c r="W59" i="1"/>
  <c r="V59" i="1"/>
  <c r="W58" i="1"/>
  <c r="X58" i="1"/>
  <c r="Y58" i="1"/>
  <c r="Z58" i="1"/>
  <c r="AA58" i="1"/>
  <c r="AB58" i="1"/>
  <c r="AC58" i="1"/>
  <c r="AD58" i="1"/>
  <c r="AE58" i="1"/>
  <c r="AF58" i="1"/>
  <c r="AG58" i="1"/>
  <c r="AH58" i="1"/>
  <c r="AI58" i="1"/>
  <c r="AJ58" i="1"/>
  <c r="AK58" i="1"/>
  <c r="AL58" i="1"/>
  <c r="AM58" i="1"/>
  <c r="AN58" i="1"/>
  <c r="AO58" i="1"/>
  <c r="AP58" i="1"/>
  <c r="V58" i="1"/>
  <c r="V43" i="1"/>
  <c r="W43" i="1"/>
  <c r="X43" i="1"/>
  <c r="Y43" i="1"/>
  <c r="Z43" i="1"/>
  <c r="AA43" i="1"/>
  <c r="AB43" i="1"/>
  <c r="AC43" i="1"/>
  <c r="AD43" i="1"/>
  <c r="AE43" i="1"/>
  <c r="AF43" i="1"/>
  <c r="AG43" i="1"/>
  <c r="AH43" i="1"/>
  <c r="AI43" i="1"/>
  <c r="AJ43" i="1"/>
  <c r="AK43" i="1"/>
  <c r="AL43" i="1"/>
  <c r="AM43" i="1"/>
  <c r="AN43" i="1"/>
  <c r="AO43" i="1"/>
  <c r="AP43" i="1"/>
  <c r="D41" i="1"/>
  <c r="E41" i="1"/>
  <c r="F41" i="1"/>
  <c r="G41" i="1"/>
  <c r="H41" i="1"/>
  <c r="I41" i="1"/>
  <c r="J41" i="1"/>
  <c r="K41" i="1"/>
  <c r="L41" i="1"/>
  <c r="M41" i="1"/>
  <c r="N41" i="1"/>
  <c r="O41" i="1"/>
  <c r="P41" i="1"/>
  <c r="Q41" i="1"/>
  <c r="R41" i="1"/>
  <c r="S41" i="1"/>
  <c r="T41" i="1"/>
  <c r="U41" i="1"/>
  <c r="C41" i="1"/>
  <c r="W25" i="1"/>
  <c r="X25" i="1"/>
  <c r="Y25" i="1"/>
  <c r="Z25" i="1"/>
  <c r="AA25" i="1"/>
  <c r="AB25" i="1"/>
  <c r="AC25" i="1"/>
  <c r="AD25" i="1"/>
  <c r="AE25" i="1"/>
  <c r="AF25" i="1"/>
  <c r="AG25" i="1"/>
  <c r="AH25" i="1"/>
  <c r="AI25" i="1"/>
  <c r="AJ25" i="1"/>
  <c r="AK25" i="1"/>
  <c r="AL25" i="1"/>
  <c r="AM25" i="1"/>
  <c r="AN25" i="1"/>
  <c r="AO25" i="1"/>
  <c r="AP25" i="1"/>
  <c r="V25" i="1"/>
  <c r="W53" i="1"/>
  <c r="X53" i="1"/>
  <c r="Y53" i="1"/>
  <c r="Z53" i="1"/>
  <c r="AA53" i="1"/>
  <c r="AB53" i="1"/>
  <c r="AC53" i="1"/>
  <c r="AD53" i="1"/>
  <c r="AE53" i="1"/>
  <c r="AF53" i="1"/>
  <c r="AG53" i="1"/>
  <c r="AH53" i="1"/>
  <c r="AI53" i="1"/>
  <c r="AJ53" i="1"/>
  <c r="AK53" i="1"/>
  <c r="AL53" i="1"/>
  <c r="AM53" i="1"/>
  <c r="AN53" i="1"/>
  <c r="AO53" i="1"/>
  <c r="AP53" i="1"/>
  <c r="V53" i="1"/>
  <c r="W52" i="1"/>
  <c r="X52" i="1"/>
  <c r="Y52" i="1"/>
  <c r="Z52" i="1"/>
  <c r="AA52" i="1"/>
  <c r="AB52" i="1"/>
  <c r="AC52" i="1"/>
  <c r="AD52" i="1"/>
  <c r="AE52" i="1"/>
  <c r="AF52" i="1"/>
  <c r="AG52" i="1"/>
  <c r="AH52" i="1"/>
  <c r="AI52" i="1"/>
  <c r="AJ52" i="1"/>
  <c r="AK52" i="1"/>
  <c r="AL52" i="1"/>
  <c r="AM52" i="1"/>
  <c r="AN52" i="1"/>
  <c r="AO52" i="1"/>
  <c r="AP52" i="1"/>
  <c r="V52" i="1"/>
  <c r="T30" i="6"/>
  <c r="T63" i="1" s="1"/>
  <c r="U30" i="6"/>
  <c r="U63" i="1" s="1"/>
  <c r="H30" i="6"/>
  <c r="H63" i="1" s="1"/>
  <c r="I30" i="6"/>
  <c r="I63" i="1" s="1"/>
  <c r="J30" i="6"/>
  <c r="J63" i="1" s="1"/>
  <c r="K30" i="6"/>
  <c r="K63" i="1" s="1"/>
  <c r="L30" i="6"/>
  <c r="L63" i="1" s="1"/>
  <c r="M30" i="6"/>
  <c r="M63" i="1" s="1"/>
  <c r="N30" i="6"/>
  <c r="N63" i="1" s="1"/>
  <c r="O30" i="6"/>
  <c r="O63" i="1" s="1"/>
  <c r="P30" i="6"/>
  <c r="P63" i="1" s="1"/>
  <c r="Q30" i="6"/>
  <c r="Q63" i="1" s="1"/>
  <c r="R30" i="6"/>
  <c r="R63" i="1" s="1"/>
  <c r="S30" i="6"/>
  <c r="S63" i="1" s="1"/>
  <c r="M8" i="6"/>
  <c r="M9" i="6"/>
  <c r="M10" i="6"/>
  <c r="D8" i="6"/>
  <c r="E8" i="6"/>
  <c r="F8" i="6"/>
  <c r="G8" i="6"/>
  <c r="H8" i="6"/>
  <c r="I8" i="6"/>
  <c r="J8" i="6"/>
  <c r="K8" i="6"/>
  <c r="L8" i="6"/>
  <c r="N8" i="6"/>
  <c r="O8" i="6"/>
  <c r="P8" i="6"/>
  <c r="Q8" i="6"/>
  <c r="R8" i="6"/>
  <c r="S8" i="6"/>
  <c r="T8" i="6"/>
  <c r="U8" i="6"/>
  <c r="D9" i="6"/>
  <c r="E9" i="6"/>
  <c r="F9" i="6"/>
  <c r="G9" i="6"/>
  <c r="H9" i="6"/>
  <c r="I9" i="6"/>
  <c r="J9" i="6"/>
  <c r="K9" i="6"/>
  <c r="L9" i="6"/>
  <c r="N9" i="6"/>
  <c r="O9" i="6"/>
  <c r="P9" i="6"/>
  <c r="Q9" i="6"/>
  <c r="R9" i="6"/>
  <c r="S9" i="6"/>
  <c r="T9" i="6"/>
  <c r="U9" i="6"/>
  <c r="D10" i="6"/>
  <c r="E10" i="6"/>
  <c r="F10" i="6"/>
  <c r="G10" i="6"/>
  <c r="H10" i="6"/>
  <c r="I10" i="6"/>
  <c r="J10" i="6"/>
  <c r="K10" i="6"/>
  <c r="L10" i="6"/>
  <c r="N10" i="6"/>
  <c r="O10" i="6"/>
  <c r="P10" i="6"/>
  <c r="Q10" i="6"/>
  <c r="R10" i="6"/>
  <c r="S10" i="6"/>
  <c r="T10" i="6"/>
  <c r="U10" i="6"/>
  <c r="C8" i="6"/>
  <c r="C10" i="6"/>
  <c r="C9" i="6"/>
  <c r="V12" i="1"/>
  <c r="W12" i="1" s="1"/>
  <c r="X12" i="1" s="1"/>
  <c r="Y12" i="1" s="1"/>
  <c r="Z12" i="1" s="1"/>
  <c r="W11" i="1"/>
  <c r="X11" i="1" s="1"/>
  <c r="Y11" i="1" s="1"/>
  <c r="Z11" i="1" s="1"/>
  <c r="AA11" i="1" s="1"/>
  <c r="AB11" i="1" s="1"/>
  <c r="AC11" i="1" s="1"/>
  <c r="AD11" i="1" s="1"/>
  <c r="AE11" i="1" s="1"/>
  <c r="AF11" i="1" s="1"/>
  <c r="AG11" i="1" s="1"/>
  <c r="AH11" i="1" s="1"/>
  <c r="AI11" i="1" s="1"/>
  <c r="AJ11" i="1" s="1"/>
  <c r="AK11" i="1" s="1"/>
  <c r="AL11" i="1" s="1"/>
  <c r="AM11" i="1" s="1"/>
  <c r="AN11" i="1" s="1"/>
  <c r="AO11" i="1" s="1"/>
  <c r="AP11" i="1" s="1"/>
  <c r="V11" i="1"/>
  <c r="W10" i="1"/>
  <c r="X10" i="1" s="1"/>
  <c r="Y10" i="1" s="1"/>
  <c r="Z10" i="1" s="1"/>
  <c r="AA10" i="1" s="1"/>
  <c r="AB10" i="1" s="1"/>
  <c r="AC10" i="1" s="1"/>
  <c r="AD10" i="1" s="1"/>
  <c r="AE10" i="1" s="1"/>
  <c r="AF10" i="1" s="1"/>
  <c r="AG10" i="1" s="1"/>
  <c r="AH10" i="1" s="1"/>
  <c r="AI10" i="1" s="1"/>
  <c r="AJ10" i="1" s="1"/>
  <c r="AK10" i="1" s="1"/>
  <c r="AL10" i="1" s="1"/>
  <c r="AM10" i="1" s="1"/>
  <c r="AN10" i="1" s="1"/>
  <c r="AO10" i="1" s="1"/>
  <c r="AP10" i="1" s="1"/>
  <c r="V10" i="1"/>
  <c r="V9" i="1"/>
  <c r="W9" i="1" s="1"/>
  <c r="D45" i="1"/>
  <c r="E45" i="1"/>
  <c r="F45" i="1"/>
  <c r="G45" i="1"/>
  <c r="H45" i="1"/>
  <c r="I45" i="1"/>
  <c r="J45" i="1"/>
  <c r="D46" i="1"/>
  <c r="E46" i="1"/>
  <c r="H46" i="1"/>
  <c r="I46" i="1"/>
  <c r="L46" i="1"/>
  <c r="M46" i="1"/>
  <c r="P46" i="1"/>
  <c r="Q46" i="1"/>
  <c r="T46" i="1"/>
  <c r="U46" i="1"/>
  <c r="D47" i="1"/>
  <c r="E47" i="1"/>
  <c r="H47" i="1"/>
  <c r="I47" i="1"/>
  <c r="L47" i="1"/>
  <c r="M47" i="1"/>
  <c r="P47" i="1"/>
  <c r="Q47" i="1"/>
  <c r="T47" i="1"/>
  <c r="U47" i="1"/>
  <c r="D48" i="1"/>
  <c r="E48" i="1"/>
  <c r="H48" i="1"/>
  <c r="I48" i="1"/>
  <c r="L48" i="1"/>
  <c r="M48" i="1"/>
  <c r="P48" i="1"/>
  <c r="Q48" i="1"/>
  <c r="S48" i="1"/>
  <c r="T48" i="1"/>
  <c r="U48" i="1"/>
  <c r="U45" i="1"/>
  <c r="T45" i="1"/>
  <c r="Q45" i="1"/>
  <c r="P45" i="1"/>
  <c r="N45" i="1"/>
  <c r="M45" i="1"/>
  <c r="L45" i="1"/>
  <c r="K45" i="1"/>
  <c r="W32" i="1"/>
  <c r="X32" i="1" s="1"/>
  <c r="Y32" i="1" s="1"/>
  <c r="Z32" i="1" s="1"/>
  <c r="AA32" i="1" s="1"/>
  <c r="AB32" i="1" s="1"/>
  <c r="AC32" i="1" s="1"/>
  <c r="AD32" i="1" s="1"/>
  <c r="AE32" i="1" s="1"/>
  <c r="AF32" i="1" s="1"/>
  <c r="AG32" i="1" s="1"/>
  <c r="AH32" i="1" s="1"/>
  <c r="AI32" i="1" s="1"/>
  <c r="AJ32" i="1" s="1"/>
  <c r="AK32" i="1" s="1"/>
  <c r="AL32" i="1" s="1"/>
  <c r="AM32" i="1" s="1"/>
  <c r="AN32" i="1" s="1"/>
  <c r="AO32" i="1" s="1"/>
  <c r="AP32" i="1" s="1"/>
  <c r="U36" i="1"/>
  <c r="U35" i="1"/>
  <c r="D58" i="1"/>
  <c r="E58" i="1"/>
  <c r="F58" i="1"/>
  <c r="G58" i="1"/>
  <c r="H58" i="1"/>
  <c r="I58" i="1"/>
  <c r="J58" i="1"/>
  <c r="K58" i="1"/>
  <c r="L58" i="1"/>
  <c r="M58" i="1"/>
  <c r="N58" i="1"/>
  <c r="O58" i="1"/>
  <c r="P58" i="1"/>
  <c r="Q58" i="1"/>
  <c r="R58" i="1"/>
  <c r="S58" i="1"/>
  <c r="T58" i="1"/>
  <c r="U58" i="1"/>
  <c r="C58" i="1"/>
  <c r="F17" i="1"/>
  <c r="F19" i="1"/>
  <c r="F18" i="1"/>
  <c r="F15" i="1"/>
  <c r="F12" i="1"/>
  <c r="F48" i="1" s="1"/>
  <c r="F11" i="1"/>
  <c r="G47" i="1" s="1"/>
  <c r="F10" i="1"/>
  <c r="F46" i="1" s="1"/>
  <c r="R28" i="1"/>
  <c r="R25" i="1"/>
  <c r="R18" i="1"/>
  <c r="R17" i="1"/>
  <c r="R15" i="1"/>
  <c r="R12" i="1"/>
  <c r="R48" i="1" s="1"/>
  <c r="R11" i="1"/>
  <c r="S47" i="1" s="1"/>
  <c r="R10" i="1"/>
  <c r="R46" i="1" s="1"/>
  <c r="R9" i="1"/>
  <c r="R45" i="1" s="1"/>
  <c r="N25" i="1"/>
  <c r="N13" i="1"/>
  <c r="N28" i="1"/>
  <c r="N26" i="1"/>
  <c r="N17" i="1"/>
  <c r="N21" i="1" s="1"/>
  <c r="N15" i="1"/>
  <c r="N12" i="1"/>
  <c r="N48" i="1" s="1"/>
  <c r="N11" i="1"/>
  <c r="N47" i="1" s="1"/>
  <c r="N10" i="1"/>
  <c r="N46" i="1" s="1"/>
  <c r="N9" i="1"/>
  <c r="O45" i="1" s="1"/>
  <c r="J28" i="1"/>
  <c r="J23" i="1"/>
  <c r="J25" i="1"/>
  <c r="J15" i="1"/>
  <c r="J13" i="1"/>
  <c r="J12" i="1"/>
  <c r="J48" i="1" s="1"/>
  <c r="J11" i="1"/>
  <c r="K47" i="1" s="1"/>
  <c r="J10" i="1"/>
  <c r="J46" i="1" s="1"/>
  <c r="U66" i="1"/>
  <c r="AP107" i="1"/>
  <c r="AO107" i="1"/>
  <c r="AN107" i="1"/>
  <c r="AM107" i="1"/>
  <c r="AL107" i="1"/>
  <c r="AK107" i="1"/>
  <c r="AJ107" i="1"/>
  <c r="AI107" i="1"/>
  <c r="AH107" i="1"/>
  <c r="AG107" i="1"/>
  <c r="AF107" i="1"/>
  <c r="AE107" i="1"/>
  <c r="AD107" i="1"/>
  <c r="AC107" i="1"/>
  <c r="AB107" i="1"/>
  <c r="AA107" i="1"/>
  <c r="Z107" i="1"/>
  <c r="Y107" i="1"/>
  <c r="X107" i="1"/>
  <c r="W107" i="1"/>
  <c r="V107" i="1"/>
  <c r="U107" i="1"/>
  <c r="AP106" i="1"/>
  <c r="AO106" i="1"/>
  <c r="AN106" i="1"/>
  <c r="AM106" i="1"/>
  <c r="AL106" i="1"/>
  <c r="AK106" i="1"/>
  <c r="AJ106" i="1"/>
  <c r="AI106" i="1"/>
  <c r="AH106" i="1"/>
  <c r="AG106" i="1"/>
  <c r="AF106" i="1"/>
  <c r="AE106" i="1"/>
  <c r="AD106" i="1"/>
  <c r="AC106" i="1"/>
  <c r="AB106" i="1"/>
  <c r="AA106" i="1"/>
  <c r="Z106" i="1"/>
  <c r="Y106" i="1"/>
  <c r="X106" i="1"/>
  <c r="W106" i="1"/>
  <c r="V106" i="1"/>
  <c r="U106" i="1"/>
  <c r="AP104" i="1"/>
  <c r="AO104" i="1"/>
  <c r="AN104" i="1"/>
  <c r="AM104" i="1"/>
  <c r="AL104" i="1"/>
  <c r="AK104" i="1"/>
  <c r="AJ104" i="1"/>
  <c r="AI104" i="1"/>
  <c r="AH104" i="1"/>
  <c r="AG104" i="1"/>
  <c r="AF104" i="1"/>
  <c r="AE104" i="1"/>
  <c r="AD104" i="1"/>
  <c r="AC104" i="1"/>
  <c r="AB104" i="1"/>
  <c r="AA104" i="1"/>
  <c r="Z104" i="1"/>
  <c r="Y104" i="1"/>
  <c r="X104" i="1"/>
  <c r="W104" i="1"/>
  <c r="V104" i="1"/>
  <c r="U104" i="1"/>
  <c r="AP95" i="1"/>
  <c r="AO95" i="1"/>
  <c r="AN95" i="1"/>
  <c r="AM95" i="1"/>
  <c r="AL95" i="1"/>
  <c r="AK95" i="1"/>
  <c r="AJ95" i="1"/>
  <c r="AI95" i="1"/>
  <c r="AH95" i="1"/>
  <c r="AG95" i="1"/>
  <c r="AF95" i="1"/>
  <c r="AE95" i="1"/>
  <c r="AD95" i="1"/>
  <c r="AC95" i="1"/>
  <c r="AB95" i="1"/>
  <c r="AA95" i="1"/>
  <c r="Z95" i="1"/>
  <c r="Y95" i="1"/>
  <c r="X95" i="1"/>
  <c r="W95" i="1"/>
  <c r="V95" i="1"/>
  <c r="U95" i="1"/>
  <c r="AP94" i="1"/>
  <c r="AO94" i="1"/>
  <c r="AN94" i="1"/>
  <c r="AM94" i="1"/>
  <c r="AL94" i="1"/>
  <c r="AK94" i="1"/>
  <c r="AJ94" i="1"/>
  <c r="AI94" i="1"/>
  <c r="AH94" i="1"/>
  <c r="AG94" i="1"/>
  <c r="AF94" i="1"/>
  <c r="AE94" i="1"/>
  <c r="AD94" i="1"/>
  <c r="AC94" i="1"/>
  <c r="AB94" i="1"/>
  <c r="AA94" i="1"/>
  <c r="Z94" i="1"/>
  <c r="Y94" i="1"/>
  <c r="X94" i="1"/>
  <c r="W94" i="1"/>
  <c r="V94" i="1"/>
  <c r="U94" i="1"/>
  <c r="AP92" i="1"/>
  <c r="AO92" i="1"/>
  <c r="AN92" i="1"/>
  <c r="AM92" i="1"/>
  <c r="AL92" i="1"/>
  <c r="AK92" i="1"/>
  <c r="AJ92" i="1"/>
  <c r="AI92" i="1"/>
  <c r="AH92" i="1"/>
  <c r="AG92" i="1"/>
  <c r="AF92" i="1"/>
  <c r="AE92" i="1"/>
  <c r="AD92" i="1"/>
  <c r="AC92" i="1"/>
  <c r="AB92" i="1"/>
  <c r="AA92" i="1"/>
  <c r="Z92" i="1"/>
  <c r="Y92" i="1"/>
  <c r="X92" i="1"/>
  <c r="W92" i="1"/>
  <c r="V92" i="1"/>
  <c r="U92" i="1"/>
  <c r="AP83" i="1"/>
  <c r="AP71" i="1" s="1"/>
  <c r="AO83" i="1"/>
  <c r="AO71" i="1" s="1"/>
  <c r="AN83" i="1"/>
  <c r="AM83" i="1"/>
  <c r="AL83" i="1"/>
  <c r="AK83" i="1"/>
  <c r="AJ83" i="1"/>
  <c r="AI83" i="1"/>
  <c r="AH83" i="1"/>
  <c r="AH71" i="1" s="1"/>
  <c r="AG83" i="1"/>
  <c r="AG71" i="1" s="1"/>
  <c r="AF83" i="1"/>
  <c r="AF71" i="1" s="1"/>
  <c r="AE83" i="1"/>
  <c r="AE71" i="1" s="1"/>
  <c r="AD83" i="1"/>
  <c r="AD71" i="1" s="1"/>
  <c r="AC83" i="1"/>
  <c r="AC71" i="1" s="1"/>
  <c r="AB83" i="1"/>
  <c r="AB71" i="1" s="1"/>
  <c r="AA83" i="1"/>
  <c r="AA71" i="1" s="1"/>
  <c r="Z83" i="1"/>
  <c r="Z71" i="1" s="1"/>
  <c r="Y83" i="1"/>
  <c r="Y71" i="1" s="1"/>
  <c r="X83" i="1"/>
  <c r="X71" i="1" s="1"/>
  <c r="W83" i="1"/>
  <c r="W71" i="1" s="1"/>
  <c r="V83" i="1"/>
  <c r="V71" i="1" s="1"/>
  <c r="U83" i="1"/>
  <c r="U71" i="1" s="1"/>
  <c r="AP82" i="1"/>
  <c r="AP70" i="1" s="1"/>
  <c r="AO82" i="1"/>
  <c r="AO70" i="1" s="1"/>
  <c r="AN82" i="1"/>
  <c r="AN70" i="1" s="1"/>
  <c r="AM82" i="1"/>
  <c r="AM70" i="1" s="1"/>
  <c r="AL82" i="1"/>
  <c r="AL70" i="1" s="1"/>
  <c r="AK82" i="1"/>
  <c r="AK70" i="1" s="1"/>
  <c r="AJ82" i="1"/>
  <c r="AJ70" i="1" s="1"/>
  <c r="AI82" i="1"/>
  <c r="AI70" i="1" s="1"/>
  <c r="AH82" i="1"/>
  <c r="AG82" i="1"/>
  <c r="AG70" i="1" s="1"/>
  <c r="AF82" i="1"/>
  <c r="AF70" i="1" s="1"/>
  <c r="AE82" i="1"/>
  <c r="AE70" i="1" s="1"/>
  <c r="AD82" i="1"/>
  <c r="AD70" i="1" s="1"/>
  <c r="AC82" i="1"/>
  <c r="AC70" i="1" s="1"/>
  <c r="AB82" i="1"/>
  <c r="AA82" i="1"/>
  <c r="Z82" i="1"/>
  <c r="Z70" i="1" s="1"/>
  <c r="Y82" i="1"/>
  <c r="Y70" i="1" s="1"/>
  <c r="X82" i="1"/>
  <c r="X70" i="1" s="1"/>
  <c r="W82" i="1"/>
  <c r="W70" i="1" s="1"/>
  <c r="V82" i="1"/>
  <c r="V70" i="1" s="1"/>
  <c r="U82" i="1"/>
  <c r="U70" i="1" s="1"/>
  <c r="AP80" i="1"/>
  <c r="AP68" i="1" s="1"/>
  <c r="AO80" i="1"/>
  <c r="AO68" i="1" s="1"/>
  <c r="AN80" i="1"/>
  <c r="AN68" i="1" s="1"/>
  <c r="AM80" i="1"/>
  <c r="AM68" i="1" s="1"/>
  <c r="AL80" i="1"/>
  <c r="AL68" i="1" s="1"/>
  <c r="AK80" i="1"/>
  <c r="AK68" i="1" s="1"/>
  <c r="AJ80" i="1"/>
  <c r="AJ68" i="1" s="1"/>
  <c r="AI80" i="1"/>
  <c r="AI68" i="1" s="1"/>
  <c r="AH80" i="1"/>
  <c r="AH68" i="1" s="1"/>
  <c r="AG80" i="1"/>
  <c r="AG68" i="1" s="1"/>
  <c r="AF80" i="1"/>
  <c r="AF68" i="1" s="1"/>
  <c r="AE80" i="1"/>
  <c r="AE68" i="1" s="1"/>
  <c r="AD80" i="1"/>
  <c r="AD68" i="1" s="1"/>
  <c r="AC80" i="1"/>
  <c r="AC68" i="1" s="1"/>
  <c r="AB80" i="1"/>
  <c r="AB68" i="1" s="1"/>
  <c r="AA80" i="1"/>
  <c r="AA68" i="1" s="1"/>
  <c r="Z80" i="1"/>
  <c r="Z68" i="1" s="1"/>
  <c r="Y80" i="1"/>
  <c r="Y68" i="1" s="1"/>
  <c r="X80" i="1"/>
  <c r="X68" i="1" s="1"/>
  <c r="W80" i="1"/>
  <c r="W68" i="1" s="1"/>
  <c r="V80" i="1"/>
  <c r="V68" i="1" s="1"/>
  <c r="U80" i="1"/>
  <c r="U68" i="1" s="1"/>
  <c r="AP75" i="1"/>
  <c r="AO75" i="1"/>
  <c r="AN75" i="1"/>
  <c r="AM75" i="1"/>
  <c r="AL75" i="1"/>
  <c r="AK75" i="1"/>
  <c r="AJ75" i="1"/>
  <c r="AI75" i="1"/>
  <c r="AH75" i="1"/>
  <c r="AG75" i="1"/>
  <c r="AF75" i="1"/>
  <c r="AE75" i="1"/>
  <c r="AD75" i="1"/>
  <c r="AC75" i="1"/>
  <c r="AB75" i="1"/>
  <c r="AA75" i="1"/>
  <c r="Z75" i="1"/>
  <c r="Y75" i="1"/>
  <c r="X75" i="1"/>
  <c r="W75" i="1"/>
  <c r="V75" i="1"/>
  <c r="U75" i="1"/>
  <c r="AP74" i="1"/>
  <c r="AO74" i="1"/>
  <c r="AN74" i="1"/>
  <c r="AM74" i="1"/>
  <c r="AL74" i="1"/>
  <c r="AK74" i="1"/>
  <c r="AJ74" i="1"/>
  <c r="AI74" i="1"/>
  <c r="AH74" i="1"/>
  <c r="AG74" i="1"/>
  <c r="AF74" i="1"/>
  <c r="AE74" i="1"/>
  <c r="AD74" i="1"/>
  <c r="AC74" i="1"/>
  <c r="AB74" i="1"/>
  <c r="AA74" i="1"/>
  <c r="Z74" i="1"/>
  <c r="Y74" i="1"/>
  <c r="X74" i="1"/>
  <c r="W74" i="1"/>
  <c r="V74" i="1"/>
  <c r="U74" i="1"/>
  <c r="AP73" i="1"/>
  <c r="AO73" i="1"/>
  <c r="AN73" i="1"/>
  <c r="AM73" i="1"/>
  <c r="AL73" i="1"/>
  <c r="AK73" i="1"/>
  <c r="AJ73" i="1"/>
  <c r="AI73" i="1"/>
  <c r="AH73" i="1"/>
  <c r="AG73" i="1"/>
  <c r="AF73" i="1"/>
  <c r="AE73" i="1"/>
  <c r="AD73" i="1"/>
  <c r="AC73" i="1"/>
  <c r="AB73" i="1"/>
  <c r="AA73" i="1"/>
  <c r="Z73" i="1"/>
  <c r="Y73" i="1"/>
  <c r="X73" i="1"/>
  <c r="W73" i="1"/>
  <c r="V73" i="1"/>
  <c r="U73" i="1"/>
  <c r="AP72" i="1"/>
  <c r="AO72" i="1"/>
  <c r="AN72" i="1"/>
  <c r="AM72" i="1"/>
  <c r="AL72" i="1"/>
  <c r="AK72" i="1"/>
  <c r="AJ72" i="1"/>
  <c r="AI72" i="1"/>
  <c r="AH72" i="1"/>
  <c r="AG72" i="1"/>
  <c r="AF72" i="1"/>
  <c r="AE72" i="1"/>
  <c r="AD72" i="1"/>
  <c r="AC72" i="1"/>
  <c r="AB72" i="1"/>
  <c r="AA72" i="1"/>
  <c r="Z72" i="1"/>
  <c r="Y72" i="1"/>
  <c r="X72" i="1"/>
  <c r="W72" i="1"/>
  <c r="V72" i="1"/>
  <c r="U72" i="1"/>
  <c r="AN71" i="1"/>
  <c r="AM71" i="1"/>
  <c r="AL71" i="1"/>
  <c r="AK71" i="1"/>
  <c r="AJ71" i="1"/>
  <c r="AI71" i="1"/>
  <c r="AH70" i="1"/>
  <c r="AB70" i="1"/>
  <c r="AA70" i="1"/>
  <c r="AP69" i="1"/>
  <c r="AO69" i="1"/>
  <c r="AN69" i="1"/>
  <c r="AM69" i="1"/>
  <c r="AL69" i="1"/>
  <c r="AK69" i="1"/>
  <c r="AJ69" i="1"/>
  <c r="AI69" i="1"/>
  <c r="AH69" i="1"/>
  <c r="AG69" i="1"/>
  <c r="AF69" i="1"/>
  <c r="AE69" i="1"/>
  <c r="AD69" i="1"/>
  <c r="AC69" i="1"/>
  <c r="AB69" i="1"/>
  <c r="AA69" i="1"/>
  <c r="Z69" i="1"/>
  <c r="Y69" i="1"/>
  <c r="X69" i="1"/>
  <c r="W69" i="1"/>
  <c r="V69" i="1"/>
  <c r="U69" i="1"/>
  <c r="AP67" i="1"/>
  <c r="AO67" i="1"/>
  <c r="AN67" i="1"/>
  <c r="AM67" i="1"/>
  <c r="AL67" i="1"/>
  <c r="AK67" i="1"/>
  <c r="AJ67" i="1"/>
  <c r="AI67" i="1"/>
  <c r="AH67" i="1"/>
  <c r="AG67" i="1"/>
  <c r="AF67" i="1"/>
  <c r="AE67" i="1"/>
  <c r="AD67" i="1"/>
  <c r="AC67" i="1"/>
  <c r="AB67" i="1"/>
  <c r="AA67" i="1"/>
  <c r="Z67" i="1"/>
  <c r="Y67" i="1"/>
  <c r="X67" i="1"/>
  <c r="W67" i="1"/>
  <c r="V67" i="1"/>
  <c r="U67" i="1"/>
  <c r="AP66" i="1"/>
  <c r="AO66" i="1"/>
  <c r="AN66" i="1"/>
  <c r="AM66" i="1"/>
  <c r="AL66" i="1"/>
  <c r="AK66" i="1"/>
  <c r="AJ66" i="1"/>
  <c r="AI66" i="1"/>
  <c r="AH66" i="1"/>
  <c r="AG66" i="1"/>
  <c r="AF66" i="1"/>
  <c r="AE66" i="1"/>
  <c r="AD66" i="1"/>
  <c r="AC66" i="1"/>
  <c r="AB66" i="1"/>
  <c r="AA66" i="1"/>
  <c r="Z66" i="1"/>
  <c r="Y66" i="1"/>
  <c r="X66" i="1"/>
  <c r="W66" i="1"/>
  <c r="V66" i="1"/>
  <c r="L8" i="1"/>
  <c r="L54" i="1" s="1"/>
  <c r="M6" i="8" l="1"/>
  <c r="W15" i="1"/>
  <c r="X9" i="1"/>
  <c r="W8" i="1"/>
  <c r="F47" i="1"/>
  <c r="O47" i="1"/>
  <c r="V8" i="1"/>
  <c r="AA12" i="1"/>
  <c r="W8" i="4"/>
  <c r="W36" i="1" s="1"/>
  <c r="S45" i="1"/>
  <c r="R47" i="1"/>
  <c r="J47" i="1"/>
  <c r="O48" i="1"/>
  <c r="G48" i="1"/>
  <c r="S46" i="1"/>
  <c r="K46" i="1"/>
  <c r="K48" i="1"/>
  <c r="O46" i="1"/>
  <c r="G46" i="1"/>
  <c r="F8" i="1"/>
  <c r="F55" i="1" s="1"/>
  <c r="L53" i="1"/>
  <c r="L55" i="1"/>
  <c r="L52" i="1"/>
  <c r="L59" i="1"/>
  <c r="F54" i="1"/>
  <c r="J8" i="1"/>
  <c r="J59" i="1" s="1"/>
  <c r="V8" i="4" l="1"/>
  <c r="V36" i="1" s="1"/>
  <c r="V15" i="1"/>
  <c r="V18" i="1"/>
  <c r="V17" i="1"/>
  <c r="W44" i="1"/>
  <c r="W18" i="1"/>
  <c r="W17" i="1"/>
  <c r="Y9" i="1"/>
  <c r="X8" i="1"/>
  <c r="AB12" i="1"/>
  <c r="F52" i="1"/>
  <c r="F59" i="1"/>
  <c r="J55" i="1"/>
  <c r="F53" i="1"/>
  <c r="J16" i="1"/>
  <c r="J43" i="1" s="1"/>
  <c r="J53" i="1"/>
  <c r="J54" i="1"/>
  <c r="J52" i="1"/>
  <c r="X44" i="1" l="1"/>
  <c r="X18" i="1"/>
  <c r="X17" i="1"/>
  <c r="X8" i="4"/>
  <c r="X36" i="1" s="1"/>
  <c r="X15" i="1"/>
  <c r="Z9" i="1"/>
  <c r="Y8" i="1"/>
  <c r="AC12" i="1"/>
  <c r="Y44" i="1" l="1"/>
  <c r="Y18" i="1"/>
  <c r="Y17" i="1"/>
  <c r="Y8" i="4"/>
  <c r="Y36" i="1" s="1"/>
  <c r="Y15" i="1"/>
  <c r="AA9" i="1"/>
  <c r="Z8" i="1"/>
  <c r="AD12" i="1"/>
  <c r="Z17" i="1" l="1"/>
  <c r="Z18" i="1"/>
  <c r="Z15" i="1"/>
  <c r="Z44" i="1"/>
  <c r="Z8" i="4"/>
  <c r="Z36" i="1" s="1"/>
  <c r="AB9" i="1"/>
  <c r="AA8" i="1"/>
  <c r="AE12" i="1"/>
  <c r="AC9" i="1" l="1"/>
  <c r="AB8" i="1"/>
  <c r="AA17" i="1"/>
  <c r="AA15" i="1"/>
  <c r="AA18" i="1"/>
  <c r="AA8" i="4"/>
  <c r="AA36" i="1" s="1"/>
  <c r="AA44" i="1"/>
  <c r="AF12" i="1"/>
  <c r="AB17" i="1" l="1"/>
  <c r="AB15" i="1"/>
  <c r="AB18" i="1"/>
  <c r="AB44" i="1"/>
  <c r="AB8" i="4"/>
  <c r="AB36" i="1" s="1"/>
  <c r="AD9" i="1"/>
  <c r="AC8" i="1"/>
  <c r="AG12" i="1"/>
  <c r="AC17" i="1" l="1"/>
  <c r="AC15" i="1"/>
  <c r="AC18" i="1"/>
  <c r="AC44" i="1"/>
  <c r="AC8" i="4"/>
  <c r="AC36" i="1" s="1"/>
  <c r="AE9" i="1"/>
  <c r="AD8" i="1"/>
  <c r="AH12" i="1"/>
  <c r="AF9" i="1" l="1"/>
  <c r="AE8" i="1"/>
  <c r="AD17" i="1"/>
  <c r="AD18" i="1"/>
  <c r="AD15" i="1"/>
  <c r="AD44" i="1"/>
  <c r="AD8" i="4"/>
  <c r="AD36" i="1" s="1"/>
  <c r="AI12" i="1"/>
  <c r="AE18" i="1" l="1"/>
  <c r="AE17" i="1"/>
  <c r="AE15" i="1"/>
  <c r="AE8" i="4"/>
  <c r="AE36" i="1" s="1"/>
  <c r="AE44" i="1"/>
  <c r="AG9" i="1"/>
  <c r="AF8" i="1"/>
  <c r="AJ12" i="1"/>
  <c r="AF18" i="1" l="1"/>
  <c r="AF17" i="1"/>
  <c r="AF15" i="1"/>
  <c r="AF8" i="4"/>
  <c r="AF36" i="1" s="1"/>
  <c r="AF44" i="1"/>
  <c r="AH9" i="1"/>
  <c r="AG8" i="1"/>
  <c r="AK12" i="1"/>
  <c r="AG18" i="1" l="1"/>
  <c r="AG17" i="1"/>
  <c r="AG15" i="1"/>
  <c r="AG8" i="4"/>
  <c r="AG36" i="1" s="1"/>
  <c r="AG44" i="1"/>
  <c r="AI9" i="1"/>
  <c r="AH8" i="1"/>
  <c r="AL12" i="1"/>
  <c r="AJ9" i="1" l="1"/>
  <c r="AI8" i="1"/>
  <c r="AH17" i="1"/>
  <c r="AH18" i="1"/>
  <c r="AH15" i="1"/>
  <c r="AH8" i="4"/>
  <c r="AH36" i="1" s="1"/>
  <c r="AH44" i="1"/>
  <c r="AM12" i="1"/>
  <c r="AK9" i="1" l="1"/>
  <c r="AJ8" i="1"/>
  <c r="AI15" i="1"/>
  <c r="AI17" i="1"/>
  <c r="AI18" i="1"/>
  <c r="AI44" i="1"/>
  <c r="AI8" i="4"/>
  <c r="AI36" i="1" s="1"/>
  <c r="AN12" i="1"/>
  <c r="AJ17" i="1" l="1"/>
  <c r="AJ15" i="1"/>
  <c r="AJ18" i="1"/>
  <c r="AJ8" i="4"/>
  <c r="AJ36" i="1" s="1"/>
  <c r="AJ44" i="1"/>
  <c r="AL9" i="1"/>
  <c r="AK8" i="1"/>
  <c r="AO12" i="1"/>
  <c r="AK17" i="1" l="1"/>
  <c r="AK15" i="1"/>
  <c r="AK18" i="1"/>
  <c r="AK8" i="4"/>
  <c r="AK36" i="1" s="1"/>
  <c r="AK44" i="1"/>
  <c r="AM9" i="1"/>
  <c r="AL8" i="1"/>
  <c r="AP12" i="1"/>
  <c r="AL17" i="1" l="1"/>
  <c r="AL18" i="1"/>
  <c r="AL15" i="1"/>
  <c r="AL44" i="1"/>
  <c r="AL8" i="4"/>
  <c r="AL36" i="1" s="1"/>
  <c r="AN9" i="1"/>
  <c r="AM8" i="1"/>
  <c r="AO9" i="1" l="1"/>
  <c r="AN8" i="1"/>
  <c r="AM18" i="1"/>
  <c r="AM17" i="1"/>
  <c r="AM15" i="1"/>
  <c r="AM8" i="4"/>
  <c r="AM36" i="1" s="1"/>
  <c r="AM44" i="1"/>
  <c r="AN18" i="1" l="1"/>
  <c r="AN17" i="1"/>
  <c r="AN15" i="1"/>
  <c r="AN44" i="1"/>
  <c r="AN8" i="4"/>
  <c r="AN36" i="1" s="1"/>
  <c r="AP9" i="1"/>
  <c r="AP8" i="1" s="1"/>
  <c r="AO8" i="1"/>
  <c r="AP17" i="1" l="1"/>
  <c r="AP18" i="1"/>
  <c r="AP15" i="1"/>
  <c r="AP44" i="1"/>
  <c r="AP8" i="4"/>
  <c r="AP36" i="1" s="1"/>
  <c r="AO18" i="1"/>
  <c r="AO17" i="1"/>
  <c r="AO15" i="1"/>
  <c r="AO8" i="4"/>
  <c r="AO36" i="1" s="1"/>
  <c r="AO44" i="1"/>
  <c r="U8" i="4" l="1"/>
  <c r="C41" i="3"/>
  <c r="C40" i="3"/>
  <c r="C39" i="3"/>
  <c r="C32" i="3"/>
  <c r="C16" i="3"/>
  <c r="C42" i="2"/>
  <c r="C32" i="2"/>
  <c r="C59" i="2" s="1"/>
  <c r="C27" i="2"/>
  <c r="C16" i="2"/>
  <c r="C9" i="2"/>
  <c r="C13" i="1"/>
  <c r="C8" i="1" s="1"/>
  <c r="C19" i="6" s="1"/>
  <c r="D41" i="3"/>
  <c r="D39" i="3"/>
  <c r="D16" i="3"/>
  <c r="D12" i="3"/>
  <c r="D11" i="3"/>
  <c r="D9" i="3"/>
  <c r="D9" i="2"/>
  <c r="D42" i="2"/>
  <c r="D32" i="2"/>
  <c r="D59" i="2" s="1"/>
  <c r="D27" i="2"/>
  <c r="D30" i="6" s="1"/>
  <c r="D63" i="1" s="1"/>
  <c r="D21" i="1"/>
  <c r="D13" i="1"/>
  <c r="D8" i="1" s="1"/>
  <c r="E16" i="3"/>
  <c r="E41" i="3"/>
  <c r="E40" i="3"/>
  <c r="E39" i="3"/>
  <c r="E42" i="2"/>
  <c r="E32" i="2"/>
  <c r="E59" i="2" s="1"/>
  <c r="E27" i="2"/>
  <c r="E30" i="6" s="1"/>
  <c r="E63" i="1" s="1"/>
  <c r="E9" i="2"/>
  <c r="E21" i="1"/>
  <c r="E13" i="1"/>
  <c r="F41" i="3"/>
  <c r="F40" i="3"/>
  <c r="F39" i="3"/>
  <c r="F32" i="3"/>
  <c r="F16" i="3"/>
  <c r="F32" i="2"/>
  <c r="F59" i="2" s="1"/>
  <c r="F27" i="2"/>
  <c r="F30" i="6" s="1"/>
  <c r="F63" i="1" s="1"/>
  <c r="F21" i="1"/>
  <c r="G41" i="3"/>
  <c r="G27" i="2"/>
  <c r="G30" i="6" s="1"/>
  <c r="G63" i="1" s="1"/>
  <c r="G32" i="2"/>
  <c r="G59" i="2" s="1"/>
  <c r="G28" i="2"/>
  <c r="G26" i="1"/>
  <c r="H41" i="3"/>
  <c r="H32" i="3"/>
  <c r="H33" i="3"/>
  <c r="H26" i="3"/>
  <c r="H32" i="2"/>
  <c r="H59" i="2" s="1"/>
  <c r="H26" i="1"/>
  <c r="I41" i="3"/>
  <c r="I42" i="3"/>
  <c r="I32" i="3"/>
  <c r="I16" i="3"/>
  <c r="C26" i="3"/>
  <c r="D26" i="3"/>
  <c r="E26" i="3"/>
  <c r="E45" i="3" s="1"/>
  <c r="F26" i="3"/>
  <c r="G26" i="3"/>
  <c r="I26" i="3"/>
  <c r="I32" i="2"/>
  <c r="I59" i="2" s="1"/>
  <c r="I26" i="1"/>
  <c r="J41" i="3"/>
  <c r="J32" i="3"/>
  <c r="M36" i="1"/>
  <c r="Q26" i="1"/>
  <c r="U47" i="3"/>
  <c r="U32" i="3"/>
  <c r="U33" i="3" s="1"/>
  <c r="U46" i="3" s="1"/>
  <c r="U26" i="3"/>
  <c r="U45" i="3" s="1"/>
  <c r="U50" i="3" s="1"/>
  <c r="U53" i="3" s="1"/>
  <c r="U42" i="2"/>
  <c r="U28" i="2"/>
  <c r="U33" i="2" s="1"/>
  <c r="U14" i="2"/>
  <c r="U21" i="2" s="1"/>
  <c r="U26" i="1"/>
  <c r="U8" i="1"/>
  <c r="V44" i="1" s="1"/>
  <c r="K26" i="3"/>
  <c r="K41" i="3"/>
  <c r="K32" i="3"/>
  <c r="J26" i="3"/>
  <c r="K26" i="1"/>
  <c r="L26" i="1"/>
  <c r="L21" i="1"/>
  <c r="M26" i="1"/>
  <c r="L41" i="3"/>
  <c r="L32" i="3"/>
  <c r="L26" i="3"/>
  <c r="M41" i="3"/>
  <c r="M26" i="3"/>
  <c r="M45" i="3" s="1"/>
  <c r="M32" i="3"/>
  <c r="M42" i="2"/>
  <c r="M21" i="1"/>
  <c r="N32" i="3"/>
  <c r="N33" i="3" s="1"/>
  <c r="N26" i="3"/>
  <c r="N8" i="1"/>
  <c r="O26" i="3"/>
  <c r="O14" i="2"/>
  <c r="O26" i="1"/>
  <c r="U43" i="2" l="1"/>
  <c r="U44" i="2" s="1"/>
  <c r="C30" i="6"/>
  <c r="C63" i="1" s="1"/>
  <c r="C57" i="2"/>
  <c r="N55" i="1"/>
  <c r="N59" i="1"/>
  <c r="U55" i="1"/>
  <c r="U59" i="1"/>
  <c r="D55" i="1"/>
  <c r="D59" i="1"/>
  <c r="C55" i="1"/>
  <c r="C59" i="1"/>
  <c r="J26" i="1"/>
  <c r="N54" i="1"/>
  <c r="N53" i="1"/>
  <c r="N52" i="1"/>
  <c r="C52" i="1"/>
  <c r="C54" i="1"/>
  <c r="C53" i="1"/>
  <c r="U9" i="4"/>
  <c r="U54" i="1"/>
  <c r="U53" i="1"/>
  <c r="U52" i="1"/>
  <c r="D54" i="1"/>
  <c r="D44" i="1"/>
  <c r="D53" i="1"/>
  <c r="D52" i="1"/>
  <c r="P26" i="3"/>
  <c r="P45" i="3" s="1"/>
  <c r="P26" i="1"/>
  <c r="R26" i="1" s="1"/>
  <c r="R9" i="5" s="1"/>
  <c r="P23" i="1"/>
  <c r="O23" i="1"/>
  <c r="N23" i="1"/>
  <c r="M23" i="1"/>
  <c r="L23" i="1"/>
  <c r="K23" i="1"/>
  <c r="I23" i="1"/>
  <c r="H23" i="1"/>
  <c r="G23" i="1"/>
  <c r="F23" i="1"/>
  <c r="E23" i="1"/>
  <c r="D23" i="1"/>
  <c r="C23" i="1"/>
  <c r="Q26" i="3"/>
  <c r="Q28" i="2"/>
  <c r="Q23" i="1"/>
  <c r="T11" i="4"/>
  <c r="R26" i="3"/>
  <c r="S26" i="3"/>
  <c r="R21" i="1"/>
  <c r="S42" i="3"/>
  <c r="S35" i="1"/>
  <c r="U23" i="1"/>
  <c r="T26" i="1"/>
  <c r="S26" i="1"/>
  <c r="S9" i="5" s="1"/>
  <c r="P8" i="5"/>
  <c r="T8" i="4"/>
  <c r="C8" i="4"/>
  <c r="T63" i="3"/>
  <c r="T42" i="3"/>
  <c r="T47" i="3" s="1"/>
  <c r="T33" i="3"/>
  <c r="T46" i="3" s="1"/>
  <c r="T36" i="1"/>
  <c r="T35" i="1"/>
  <c r="T23" i="1"/>
  <c r="T26" i="3"/>
  <c r="T45" i="3" s="1"/>
  <c r="U21" i="1"/>
  <c r="V21" i="1"/>
  <c r="W21" i="1"/>
  <c r="X21" i="1"/>
  <c r="Y21" i="1"/>
  <c r="Z21" i="1"/>
  <c r="AA21" i="1"/>
  <c r="AB21" i="1"/>
  <c r="AC21" i="1"/>
  <c r="AD21" i="1"/>
  <c r="AE21" i="1"/>
  <c r="AF21" i="1"/>
  <c r="AG21" i="1"/>
  <c r="AH21" i="1"/>
  <c r="AI21" i="1"/>
  <c r="AJ21" i="1"/>
  <c r="AK21" i="1"/>
  <c r="AL21" i="1"/>
  <c r="AM21" i="1"/>
  <c r="AN21" i="1"/>
  <c r="AO21" i="1"/>
  <c r="AP21" i="1"/>
  <c r="U18" i="7"/>
  <c r="T42" i="2"/>
  <c r="T28" i="2"/>
  <c r="T33" i="2" s="1"/>
  <c r="T14" i="2"/>
  <c r="T21" i="2" s="1"/>
  <c r="U19" i="7"/>
  <c r="T8" i="7"/>
  <c r="S8" i="7"/>
  <c r="R8" i="7"/>
  <c r="Q8" i="7"/>
  <c r="P8" i="7"/>
  <c r="O8" i="7"/>
  <c r="N8" i="7"/>
  <c r="M8" i="7"/>
  <c r="L8" i="7"/>
  <c r="K8" i="7"/>
  <c r="J8" i="7"/>
  <c r="I8" i="7"/>
  <c r="H8" i="7"/>
  <c r="G8" i="7"/>
  <c r="F8" i="7"/>
  <c r="E8" i="7"/>
  <c r="D8" i="7"/>
  <c r="V10" i="7"/>
  <c r="D29" i="6"/>
  <c r="D62" i="1" s="1"/>
  <c r="E29" i="6"/>
  <c r="E62" i="1" s="1"/>
  <c r="F29" i="6"/>
  <c r="F62" i="1" s="1"/>
  <c r="G29" i="6"/>
  <c r="G62" i="1" s="1"/>
  <c r="H29" i="6"/>
  <c r="H62" i="1" s="1"/>
  <c r="I29" i="6"/>
  <c r="I62" i="1" s="1"/>
  <c r="J29" i="6"/>
  <c r="J62" i="1" s="1"/>
  <c r="K29" i="6"/>
  <c r="K62" i="1" s="1"/>
  <c r="L29" i="6"/>
  <c r="L62" i="1" s="1"/>
  <c r="M29" i="6"/>
  <c r="M62" i="1" s="1"/>
  <c r="N29" i="6"/>
  <c r="N62" i="1" s="1"/>
  <c r="O29" i="6"/>
  <c r="O62" i="1" s="1"/>
  <c r="P29" i="6"/>
  <c r="P62" i="1" s="1"/>
  <c r="Q29" i="6"/>
  <c r="Q62" i="1" s="1"/>
  <c r="R29" i="6"/>
  <c r="R62" i="1" s="1"/>
  <c r="S29" i="6"/>
  <c r="S62" i="1" s="1"/>
  <c r="T29" i="6"/>
  <c r="T62" i="1" s="1"/>
  <c r="C29" i="6"/>
  <c r="C62" i="1" s="1"/>
  <c r="C26" i="6"/>
  <c r="C20" i="6"/>
  <c r="C13" i="5"/>
  <c r="D13" i="5"/>
  <c r="Q9" i="5"/>
  <c r="O9" i="5"/>
  <c r="N9" i="5"/>
  <c r="M9" i="5"/>
  <c r="L9" i="5"/>
  <c r="K9" i="5"/>
  <c r="J9" i="5"/>
  <c r="I9" i="5"/>
  <c r="H9" i="5"/>
  <c r="G9" i="5"/>
  <c r="F9" i="5"/>
  <c r="E9" i="5"/>
  <c r="D9" i="5"/>
  <c r="C9" i="5"/>
  <c r="S8" i="5"/>
  <c r="R8" i="5"/>
  <c r="Q8" i="5"/>
  <c r="O8" i="5"/>
  <c r="N8" i="5"/>
  <c r="M8" i="5"/>
  <c r="L8" i="5"/>
  <c r="K8" i="5"/>
  <c r="J8" i="5"/>
  <c r="I8" i="5"/>
  <c r="H8" i="5"/>
  <c r="G8" i="5"/>
  <c r="F8" i="5"/>
  <c r="E8" i="5"/>
  <c r="D8" i="5"/>
  <c r="C8" i="5"/>
  <c r="X14" i="5"/>
  <c r="W14" i="5"/>
  <c r="AA13" i="5"/>
  <c r="X13" i="5"/>
  <c r="AA14" i="5"/>
  <c r="Z14" i="5"/>
  <c r="Y13" i="5"/>
  <c r="C14" i="2"/>
  <c r="C36" i="1"/>
  <c r="D36" i="1"/>
  <c r="E36" i="1"/>
  <c r="F36" i="1"/>
  <c r="G36" i="1"/>
  <c r="H36" i="1"/>
  <c r="I36" i="1"/>
  <c r="J36" i="1"/>
  <c r="K36" i="1"/>
  <c r="L36" i="1"/>
  <c r="N36" i="1"/>
  <c r="O36" i="1"/>
  <c r="P36" i="1"/>
  <c r="Q36" i="1"/>
  <c r="R36" i="1"/>
  <c r="Q35" i="1"/>
  <c r="P35" i="1"/>
  <c r="O35" i="1"/>
  <c r="N35" i="1"/>
  <c r="M35" i="1"/>
  <c r="L35" i="1"/>
  <c r="K35" i="1"/>
  <c r="J35" i="1"/>
  <c r="I35" i="1"/>
  <c r="H35" i="1"/>
  <c r="G35" i="1"/>
  <c r="F35" i="1"/>
  <c r="E35" i="1"/>
  <c r="D35" i="1"/>
  <c r="C35" i="1"/>
  <c r="S11" i="4"/>
  <c r="R11" i="4"/>
  <c r="Q11" i="4"/>
  <c r="P11" i="4"/>
  <c r="O11" i="4"/>
  <c r="N11" i="4"/>
  <c r="M11" i="4"/>
  <c r="L11" i="4"/>
  <c r="K11" i="4"/>
  <c r="J11" i="4"/>
  <c r="I11" i="4"/>
  <c r="H11" i="4"/>
  <c r="G11" i="4"/>
  <c r="F11" i="4"/>
  <c r="E11" i="4"/>
  <c r="D11" i="4"/>
  <c r="C11" i="4"/>
  <c r="S8" i="4"/>
  <c r="R8" i="4"/>
  <c r="Q8" i="4"/>
  <c r="P8" i="4"/>
  <c r="O8" i="4"/>
  <c r="N8" i="4"/>
  <c r="M8" i="4"/>
  <c r="L8" i="4"/>
  <c r="K8" i="4"/>
  <c r="J8" i="4"/>
  <c r="I8" i="4"/>
  <c r="H8" i="4"/>
  <c r="G8" i="4"/>
  <c r="F8" i="4"/>
  <c r="E8" i="4"/>
  <c r="D8" i="4"/>
  <c r="P9" i="5" l="1"/>
  <c r="T12" i="4"/>
  <c r="T50" i="3"/>
  <c r="T53" i="3" s="1"/>
  <c r="R12" i="4"/>
  <c r="C31" i="6"/>
  <c r="C64" i="1" s="1"/>
  <c r="T43" i="2"/>
  <c r="T44" i="2" s="1"/>
  <c r="I31" i="6"/>
  <c r="M31" i="6"/>
  <c r="R31" i="6"/>
  <c r="G31" i="6"/>
  <c r="E31" i="6"/>
  <c r="J31" i="6"/>
  <c r="S31" i="6"/>
  <c r="K31" i="6"/>
  <c r="E21" i="6"/>
  <c r="E16" i="6" s="1"/>
  <c r="R21" i="6"/>
  <c r="R16" i="6" s="1"/>
  <c r="D21" i="6"/>
  <c r="D16" i="6" s="1"/>
  <c r="N26" i="6"/>
  <c r="M26" i="6"/>
  <c r="T21" i="6"/>
  <c r="I21" i="6"/>
  <c r="I16" i="6" s="1"/>
  <c r="T26" i="6"/>
  <c r="L26" i="6"/>
  <c r="D26" i="6"/>
  <c r="P31" i="6"/>
  <c r="H31" i="6"/>
  <c r="P26" i="6"/>
  <c r="L21" i="6"/>
  <c r="L16" i="6" s="1"/>
  <c r="O26" i="6"/>
  <c r="Q21" i="6"/>
  <c r="Q16" i="6" s="1"/>
  <c r="K21" i="6"/>
  <c r="K16" i="6" s="1"/>
  <c r="C21" i="6"/>
  <c r="C16" i="6" s="1"/>
  <c r="F26" i="6"/>
  <c r="S21" i="6"/>
  <c r="S16" i="6" s="1"/>
  <c r="J21" i="6"/>
  <c r="J16" i="6" s="1"/>
  <c r="E26" i="6"/>
  <c r="Q31" i="6"/>
  <c r="P21" i="6"/>
  <c r="P16" i="6" s="1"/>
  <c r="H21" i="6"/>
  <c r="H16" i="6" s="1"/>
  <c r="S26" i="6"/>
  <c r="K26" i="6"/>
  <c r="O31" i="6"/>
  <c r="G26" i="6"/>
  <c r="O21" i="6"/>
  <c r="O16" i="6" s="1"/>
  <c r="G21" i="6"/>
  <c r="G16" i="6" s="1"/>
  <c r="R26" i="6"/>
  <c r="J26" i="6"/>
  <c r="M21" i="6"/>
  <c r="M16" i="6" s="1"/>
  <c r="H26" i="6"/>
  <c r="N21" i="6"/>
  <c r="N16" i="6" s="1"/>
  <c r="F21" i="6"/>
  <c r="F16" i="6" s="1"/>
  <c r="Q26" i="6"/>
  <c r="I26" i="6"/>
  <c r="H25" i="6"/>
  <c r="G25" i="6"/>
  <c r="F25" i="6"/>
  <c r="E11" i="6"/>
  <c r="M11" i="6"/>
  <c r="F20" i="6"/>
  <c r="F15" i="6" s="1"/>
  <c r="P25" i="6"/>
  <c r="N11" i="6"/>
  <c r="O25" i="6"/>
  <c r="Q20" i="6"/>
  <c r="Q15" i="6" s="1"/>
  <c r="E25" i="6"/>
  <c r="D25" i="6"/>
  <c r="N20" i="6"/>
  <c r="N15" i="6" s="1"/>
  <c r="F11" i="6"/>
  <c r="O20" i="6"/>
  <c r="O15" i="6" s="1"/>
  <c r="C25" i="6"/>
  <c r="O11" i="6"/>
  <c r="L25" i="6"/>
  <c r="J11" i="6"/>
  <c r="R11" i="6"/>
  <c r="K20" i="6"/>
  <c r="K15" i="6" s="1"/>
  <c r="S20" i="6"/>
  <c r="S15" i="6" s="1"/>
  <c r="S25" i="6"/>
  <c r="K25" i="6"/>
  <c r="H20" i="6"/>
  <c r="H15" i="6" s="1"/>
  <c r="P20" i="6"/>
  <c r="P15" i="6" s="1"/>
  <c r="N25" i="6"/>
  <c r="H11" i="6"/>
  <c r="P11" i="6"/>
  <c r="I20" i="6"/>
  <c r="I15" i="6" s="1"/>
  <c r="M25" i="6"/>
  <c r="Q11" i="6"/>
  <c r="R20" i="6"/>
  <c r="R15" i="6" s="1"/>
  <c r="K11" i="6"/>
  <c r="S11" i="6"/>
  <c r="D20" i="6"/>
  <c r="D15" i="6" s="1"/>
  <c r="L20" i="6"/>
  <c r="L15" i="6" s="1"/>
  <c r="T20" i="6"/>
  <c r="R25" i="6"/>
  <c r="J25" i="6"/>
  <c r="G20" i="6"/>
  <c r="G15" i="6" s="1"/>
  <c r="G11" i="6"/>
  <c r="I11" i="6"/>
  <c r="J20" i="6"/>
  <c r="J15" i="6" s="1"/>
  <c r="T25" i="6"/>
  <c r="D11" i="6"/>
  <c r="L11" i="6"/>
  <c r="E20" i="6"/>
  <c r="E15" i="6" s="1"/>
  <c r="M20" i="6"/>
  <c r="M15" i="6" s="1"/>
  <c r="Q25" i="6"/>
  <c r="I25" i="6"/>
  <c r="W6" i="7"/>
  <c r="C11" i="6"/>
  <c r="C15" i="6"/>
  <c r="F31" i="6"/>
  <c r="N31" i="6"/>
  <c r="D31" i="6"/>
  <c r="L31" i="6"/>
  <c r="Y14" i="5"/>
  <c r="Z13" i="5"/>
  <c r="L12" i="4"/>
  <c r="M12" i="4"/>
  <c r="N12" i="4"/>
  <c r="S12" i="4"/>
  <c r="C12" i="4"/>
  <c r="K12" i="4"/>
  <c r="D12" i="4"/>
  <c r="E12" i="4"/>
  <c r="G12" i="4"/>
  <c r="O12" i="4"/>
  <c r="H12" i="4"/>
  <c r="P12" i="4"/>
  <c r="F12" i="4"/>
  <c r="I12" i="4"/>
  <c r="Q12" i="4"/>
  <c r="J12" i="4"/>
  <c r="AP12" i="4" s="1"/>
  <c r="AP11" i="4" s="1"/>
  <c r="J64" i="1" l="1"/>
  <c r="J37" i="1"/>
  <c r="L64" i="1"/>
  <c r="L37" i="1"/>
  <c r="D64" i="1"/>
  <c r="D37" i="1"/>
  <c r="K37" i="1"/>
  <c r="K64" i="1"/>
  <c r="N64" i="1"/>
  <c r="N37" i="1"/>
  <c r="F37" i="1"/>
  <c r="F64" i="1"/>
  <c r="E64" i="1"/>
  <c r="E37" i="1"/>
  <c r="I64" i="1"/>
  <c r="I37" i="1"/>
  <c r="Q37" i="1"/>
  <c r="Q64" i="1"/>
  <c r="O64" i="1"/>
  <c r="O37" i="1"/>
  <c r="H37" i="1"/>
  <c r="H64" i="1"/>
  <c r="G37" i="1"/>
  <c r="G64" i="1"/>
  <c r="M64" i="1"/>
  <c r="M37" i="1"/>
  <c r="S37" i="1"/>
  <c r="S64" i="1"/>
  <c r="P37" i="1"/>
  <c r="P64" i="1"/>
  <c r="R64" i="1"/>
  <c r="R37" i="1"/>
  <c r="AP23" i="1"/>
  <c r="AP35" i="1"/>
  <c r="U20" i="6"/>
  <c r="U15" i="6" s="1"/>
  <c r="U21" i="6"/>
  <c r="U16" i="6" s="1"/>
  <c r="X6" i="7"/>
  <c r="W10" i="7"/>
  <c r="V20" i="6"/>
  <c r="V21" i="6"/>
  <c r="T16" i="6"/>
  <c r="V12" i="4"/>
  <c r="V11" i="4" s="1"/>
  <c r="AD12" i="4"/>
  <c r="AD11" i="4" s="1"/>
  <c r="AL12" i="4"/>
  <c r="AL11" i="4" s="1"/>
  <c r="Z12" i="4"/>
  <c r="Z11" i="4" s="1"/>
  <c r="AH12" i="4"/>
  <c r="AH11" i="4" s="1"/>
  <c r="AJ12" i="4"/>
  <c r="AJ11" i="4" s="1"/>
  <c r="AN12" i="4"/>
  <c r="AN11" i="4" s="1"/>
  <c r="AF12" i="4"/>
  <c r="AF11" i="4" s="1"/>
  <c r="X12" i="4"/>
  <c r="X11" i="4" s="1"/>
  <c r="AB12" i="4"/>
  <c r="AB11" i="4" s="1"/>
  <c r="W12" i="4"/>
  <c r="W11" i="4" s="1"/>
  <c r="AM12" i="4"/>
  <c r="AM11" i="4" s="1"/>
  <c r="AE12" i="4"/>
  <c r="AE11" i="4" s="1"/>
  <c r="AA12" i="4"/>
  <c r="AA11" i="4" s="1"/>
  <c r="AI12" i="4"/>
  <c r="AI11" i="4" s="1"/>
  <c r="AO12" i="4"/>
  <c r="AO11" i="4" s="1"/>
  <c r="AG12" i="4"/>
  <c r="AG11" i="4" s="1"/>
  <c r="Y12" i="4"/>
  <c r="Y11" i="4" s="1"/>
  <c r="AK12" i="4"/>
  <c r="AK11" i="4" s="1"/>
  <c r="AC12" i="4"/>
  <c r="AC11" i="4" s="1"/>
  <c r="U12" i="4"/>
  <c r="U11" i="4" s="1"/>
  <c r="X21" i="6" l="1"/>
  <c r="X16" i="6" s="1"/>
  <c r="X10" i="6" s="1"/>
  <c r="AE23" i="1"/>
  <c r="AE35" i="1"/>
  <c r="AI35" i="1"/>
  <c r="AI23" i="1"/>
  <c r="AN35" i="1"/>
  <c r="AN23" i="1"/>
  <c r="AA23" i="1"/>
  <c r="AA35" i="1"/>
  <c r="AJ35" i="1"/>
  <c r="AJ23" i="1"/>
  <c r="AH35" i="1"/>
  <c r="AH23" i="1"/>
  <c r="AC35" i="1"/>
  <c r="AC23" i="1"/>
  <c r="AM23" i="1"/>
  <c r="AM35" i="1"/>
  <c r="Z35" i="1"/>
  <c r="Z23" i="1"/>
  <c r="AK23" i="1"/>
  <c r="AK35" i="1"/>
  <c r="W23" i="1"/>
  <c r="W35" i="1"/>
  <c r="AL35" i="1"/>
  <c r="AL23" i="1"/>
  <c r="Y35" i="1"/>
  <c r="Y23" i="1"/>
  <c r="AB23" i="1"/>
  <c r="AB35" i="1"/>
  <c r="AD23" i="1"/>
  <c r="AD35" i="1"/>
  <c r="AG35" i="1"/>
  <c r="AG23" i="1"/>
  <c r="X35" i="1"/>
  <c r="X23" i="1"/>
  <c r="V35" i="1"/>
  <c r="V23" i="1"/>
  <c r="AO35" i="1"/>
  <c r="AO23" i="1"/>
  <c r="AF35" i="1"/>
  <c r="AF23" i="1"/>
  <c r="W21" i="6"/>
  <c r="W16" i="6" s="1"/>
  <c r="W10" i="6" s="1"/>
  <c r="W30" i="6" s="1"/>
  <c r="W63" i="1" s="1"/>
  <c r="X20" i="6"/>
  <c r="X15" i="6" s="1"/>
  <c r="X9" i="6" s="1"/>
  <c r="X12" i="2" s="1"/>
  <c r="Y6" i="7"/>
  <c r="X10" i="7"/>
  <c r="T15" i="6"/>
  <c r="T31" i="6" s="1"/>
  <c r="W20" i="6"/>
  <c r="W15" i="6" s="1"/>
  <c r="W9" i="6" s="1"/>
  <c r="W12" i="2" s="1"/>
  <c r="V16" i="6"/>
  <c r="V10" i="6" s="1"/>
  <c r="V15" i="6"/>
  <c r="V9" i="6" s="1"/>
  <c r="V12" i="2" s="1"/>
  <c r="T64" i="1" l="1"/>
  <c r="T37" i="1"/>
  <c r="Y21" i="6"/>
  <c r="Y16" i="6" s="1"/>
  <c r="Y10" i="6" s="1"/>
  <c r="Y30" i="6" s="1"/>
  <c r="Y63" i="1" s="1"/>
  <c r="Z21" i="6"/>
  <c r="Z16" i="6" s="1"/>
  <c r="Z10" i="6" s="1"/>
  <c r="Z30" i="6" s="1"/>
  <c r="Z63" i="1" s="1"/>
  <c r="Y20" i="6"/>
  <c r="Y15" i="6" s="1"/>
  <c r="Y9" i="6" s="1"/>
  <c r="Y12" i="2" s="1"/>
  <c r="Z20" i="6"/>
  <c r="Z15" i="6" s="1"/>
  <c r="Z9" i="6" s="1"/>
  <c r="Z12" i="2" s="1"/>
  <c r="V30" i="6"/>
  <c r="V63" i="1" s="1"/>
  <c r="X30" i="6"/>
  <c r="X63" i="1" s="1"/>
  <c r="Y10" i="7"/>
  <c r="Z6" i="7"/>
  <c r="T11" i="6"/>
  <c r="AA20" i="6" l="1"/>
  <c r="AC20" i="6" s="1"/>
  <c r="AC15" i="6" s="1"/>
  <c r="AC9" i="6" s="1"/>
  <c r="AC12" i="2" s="1"/>
  <c r="AB21" i="6"/>
  <c r="AB16" i="6" s="1"/>
  <c r="AB10" i="6" s="1"/>
  <c r="AB30" i="6" s="1"/>
  <c r="AB63" i="1" s="1"/>
  <c r="AB20" i="6"/>
  <c r="AB15" i="6" s="1"/>
  <c r="AB9" i="6" s="1"/>
  <c r="AB12" i="2" s="1"/>
  <c r="AA21" i="6"/>
  <c r="AD21" i="6" s="1"/>
  <c r="Z10" i="7"/>
  <c r="AA6" i="7"/>
  <c r="AA15" i="6"/>
  <c r="AA9" i="6" s="1"/>
  <c r="AA12" i="2" s="1"/>
  <c r="AE20" i="6" l="1"/>
  <c r="AE15" i="6" s="1"/>
  <c r="AE9" i="6" s="1"/>
  <c r="AE12" i="2" s="1"/>
  <c r="AD20" i="6"/>
  <c r="AD15" i="6" s="1"/>
  <c r="AD9" i="6" s="1"/>
  <c r="AD12" i="2" s="1"/>
  <c r="AA16" i="6"/>
  <c r="AA10" i="6" s="1"/>
  <c r="AA30" i="6" s="1"/>
  <c r="AA63" i="1" s="1"/>
  <c r="AC21" i="6"/>
  <c r="AB6" i="7"/>
  <c r="AA10" i="7"/>
  <c r="AD16" i="6"/>
  <c r="AD10" i="6" s="1"/>
  <c r="AF20" i="6" l="1"/>
  <c r="AG20" i="6"/>
  <c r="AG15" i="6" s="1"/>
  <c r="AG9" i="6" s="1"/>
  <c r="AG12" i="2" s="1"/>
  <c r="AH20" i="6"/>
  <c r="AH15" i="6" s="1"/>
  <c r="AH9" i="6" s="1"/>
  <c r="AH12" i="2" s="1"/>
  <c r="AF15" i="6"/>
  <c r="AF9" i="6" s="1"/>
  <c r="AF12" i="2" s="1"/>
  <c r="AC16" i="6"/>
  <c r="AC10" i="6" s="1"/>
  <c r="AC30" i="6" s="1"/>
  <c r="AC63" i="1" s="1"/>
  <c r="AE21" i="6"/>
  <c r="AF21" i="6"/>
  <c r="AF16" i="6" s="1"/>
  <c r="AF10" i="6" s="1"/>
  <c r="AF30" i="6" s="1"/>
  <c r="AF63" i="1" s="1"/>
  <c r="AD30" i="6"/>
  <c r="AD63" i="1" s="1"/>
  <c r="AC6" i="7"/>
  <c r="AB10" i="7"/>
  <c r="AI20" i="6" l="1"/>
  <c r="AI15" i="6" s="1"/>
  <c r="AI9" i="6" s="1"/>
  <c r="AI12" i="2" s="1"/>
  <c r="AJ20" i="6"/>
  <c r="AH21" i="6"/>
  <c r="AH16" i="6" s="1"/>
  <c r="AH10" i="6" s="1"/>
  <c r="AH30" i="6" s="1"/>
  <c r="AH63" i="1" s="1"/>
  <c r="AE16" i="6"/>
  <c r="AE10" i="6" s="1"/>
  <c r="AE30" i="6" s="1"/>
  <c r="AE63" i="1" s="1"/>
  <c r="AG21" i="6"/>
  <c r="AD6" i="7"/>
  <c r="AC10" i="7"/>
  <c r="AK20" i="6" l="1"/>
  <c r="AK15" i="6" s="1"/>
  <c r="AK9" i="6" s="1"/>
  <c r="AK12" i="2" s="1"/>
  <c r="AM20" i="6"/>
  <c r="AM15" i="6" s="1"/>
  <c r="AM9" i="6" s="1"/>
  <c r="AM12" i="2" s="1"/>
  <c r="AJ15" i="6"/>
  <c r="AJ9" i="6" s="1"/>
  <c r="AJ12" i="2" s="1"/>
  <c r="AL20" i="6"/>
  <c r="AL15" i="6" s="1"/>
  <c r="AL9" i="6" s="1"/>
  <c r="AL12" i="2" s="1"/>
  <c r="AG16" i="6"/>
  <c r="AG10" i="6" s="1"/>
  <c r="AG30" i="6" s="1"/>
  <c r="AG63" i="1" s="1"/>
  <c r="AI21" i="6"/>
  <c r="AK21" i="6" s="1"/>
  <c r="AK16" i="6" s="1"/>
  <c r="AK10" i="6" s="1"/>
  <c r="AK30" i="6" s="1"/>
  <c r="AK63" i="1" s="1"/>
  <c r="AJ21" i="6"/>
  <c r="AJ16" i="6" s="1"/>
  <c r="AJ10" i="6" s="1"/>
  <c r="AJ30" i="6" s="1"/>
  <c r="AJ63" i="1" s="1"/>
  <c r="AD10" i="7"/>
  <c r="AE6" i="7"/>
  <c r="AO20" i="6" l="1"/>
  <c r="AO15" i="6" s="1"/>
  <c r="AO9" i="6" s="1"/>
  <c r="AO12" i="2" s="1"/>
  <c r="AN20" i="6"/>
  <c r="AP20" i="6" s="1"/>
  <c r="AP15" i="6" s="1"/>
  <c r="AP9" i="6" s="1"/>
  <c r="AP12" i="2" s="1"/>
  <c r="AI16" i="6"/>
  <c r="AI10" i="6" s="1"/>
  <c r="AI30" i="6" s="1"/>
  <c r="AI63" i="1" s="1"/>
  <c r="AL21" i="6"/>
  <c r="AN21" i="6" s="1"/>
  <c r="AN16" i="6" s="1"/>
  <c r="AN10" i="6" s="1"/>
  <c r="AN30" i="6" s="1"/>
  <c r="AN63" i="1" s="1"/>
  <c r="AM21" i="6"/>
  <c r="AM16" i="6" s="1"/>
  <c r="AM10" i="6" s="1"/>
  <c r="AM30" i="6" s="1"/>
  <c r="AM63" i="1" s="1"/>
  <c r="AF6" i="7"/>
  <c r="AE10" i="7"/>
  <c r="AN15" i="6" l="1"/>
  <c r="AN9" i="6" s="1"/>
  <c r="AN12" i="2" s="1"/>
  <c r="AL16" i="6"/>
  <c r="AL10" i="6" s="1"/>
  <c r="AL30" i="6" s="1"/>
  <c r="AL63" i="1" s="1"/>
  <c r="AO21" i="6"/>
  <c r="AO16" i="6" s="1"/>
  <c r="AO10" i="6" s="1"/>
  <c r="AO30" i="6" s="1"/>
  <c r="AO63" i="1" s="1"/>
  <c r="AP21" i="6"/>
  <c r="AP16" i="6" s="1"/>
  <c r="AP10" i="6" s="1"/>
  <c r="AP30" i="6" s="1"/>
  <c r="AP63" i="1" s="1"/>
  <c r="AG6" i="7"/>
  <c r="AF10" i="7"/>
  <c r="AG10" i="7" l="1"/>
  <c r="AH6" i="7"/>
  <c r="AH10" i="7" l="1"/>
  <c r="AI6" i="7"/>
  <c r="AJ6" i="7" l="1"/>
  <c r="AI10" i="7"/>
  <c r="AK6" i="7" l="1"/>
  <c r="AJ10" i="7"/>
  <c r="AL6" i="7" l="1"/>
  <c r="AK10" i="7"/>
  <c r="AL10" i="7" l="1"/>
  <c r="AM6" i="7"/>
  <c r="AN6" i="7" l="1"/>
  <c r="AM10" i="7"/>
  <c r="AO6" i="7" l="1"/>
  <c r="AN10" i="7"/>
  <c r="AO10" i="7" l="1"/>
  <c r="AP6" i="7"/>
  <c r="AP10" i="7" l="1"/>
  <c r="AQ6" i="7"/>
  <c r="AQ10" i="7" s="1"/>
  <c r="R63" i="3" l="1"/>
  <c r="Q63" i="3"/>
  <c r="P63" i="3"/>
  <c r="O63" i="3"/>
  <c r="N63" i="3"/>
  <c r="M63" i="3"/>
  <c r="L63" i="3"/>
  <c r="K63" i="3"/>
  <c r="J63" i="3"/>
  <c r="I63" i="3"/>
  <c r="H63" i="3"/>
  <c r="G63" i="3"/>
  <c r="F63" i="3"/>
  <c r="E63" i="3"/>
  <c r="D63" i="3"/>
  <c r="C63" i="3"/>
  <c r="P42" i="3"/>
  <c r="P47" i="3" s="1"/>
  <c r="O42" i="3"/>
  <c r="O47" i="3" s="1"/>
  <c r="N42" i="3"/>
  <c r="N47" i="3" s="1"/>
  <c r="M42" i="3"/>
  <c r="M47" i="3" s="1"/>
  <c r="L42" i="3"/>
  <c r="L47" i="3" s="1"/>
  <c r="K42" i="3"/>
  <c r="K47" i="3" s="1"/>
  <c r="J42" i="3"/>
  <c r="J47" i="3" s="1"/>
  <c r="I47" i="3"/>
  <c r="H42" i="3"/>
  <c r="H47" i="3" s="1"/>
  <c r="G42" i="3"/>
  <c r="G47" i="3" s="1"/>
  <c r="F42" i="3"/>
  <c r="F47" i="3" s="1"/>
  <c r="E42" i="3"/>
  <c r="E47" i="3" s="1"/>
  <c r="D42" i="3"/>
  <c r="D47" i="3" s="1"/>
  <c r="C42" i="3"/>
  <c r="C47" i="3" s="1"/>
  <c r="Q33" i="3"/>
  <c r="Q46" i="3" s="1"/>
  <c r="P33" i="3"/>
  <c r="P46" i="3" s="1"/>
  <c r="O33" i="3"/>
  <c r="O46" i="3" s="1"/>
  <c r="N46" i="3"/>
  <c r="M33" i="3"/>
  <c r="M46" i="3" s="1"/>
  <c r="L33" i="3"/>
  <c r="L46" i="3" s="1"/>
  <c r="K33" i="3"/>
  <c r="K46" i="3" s="1"/>
  <c r="J33" i="3"/>
  <c r="J46" i="3" s="1"/>
  <c r="I33" i="3"/>
  <c r="I46" i="3" s="1"/>
  <c r="H46" i="3"/>
  <c r="G33" i="3"/>
  <c r="G46" i="3" s="1"/>
  <c r="F33" i="3"/>
  <c r="F46" i="3" s="1"/>
  <c r="E33" i="3"/>
  <c r="E46" i="3" s="1"/>
  <c r="D33" i="3"/>
  <c r="D46" i="3" s="1"/>
  <c r="C33" i="3"/>
  <c r="C46" i="3" s="1"/>
  <c r="R45" i="3"/>
  <c r="Q45" i="3"/>
  <c r="O45" i="3"/>
  <c r="N45" i="3"/>
  <c r="L45" i="3"/>
  <c r="K45" i="3"/>
  <c r="J45" i="3"/>
  <c r="I45" i="3"/>
  <c r="H45" i="3"/>
  <c r="G45" i="3"/>
  <c r="F45" i="3"/>
  <c r="D45" i="3"/>
  <c r="C45" i="3"/>
  <c r="P14" i="2"/>
  <c r="P21" i="2" s="1"/>
  <c r="O21" i="2"/>
  <c r="N14" i="2"/>
  <c r="N21" i="2" s="1"/>
  <c r="M14" i="2"/>
  <c r="M21" i="2" s="1"/>
  <c r="L14" i="2"/>
  <c r="L21" i="2" s="1"/>
  <c r="K14" i="2"/>
  <c r="K21" i="2" s="1"/>
  <c r="J14" i="2"/>
  <c r="J21" i="2" s="1"/>
  <c r="I14" i="2"/>
  <c r="I21" i="2" s="1"/>
  <c r="H14" i="2"/>
  <c r="H21" i="2" s="1"/>
  <c r="G14" i="2"/>
  <c r="G21" i="2" s="1"/>
  <c r="F14" i="2"/>
  <c r="F21" i="2" s="1"/>
  <c r="E14" i="2"/>
  <c r="E21" i="2" s="1"/>
  <c r="D14" i="2"/>
  <c r="D21" i="2" s="1"/>
  <c r="C21" i="2"/>
  <c r="P28" i="2"/>
  <c r="P33" i="2" s="1"/>
  <c r="O28" i="2"/>
  <c r="O33" i="2" s="1"/>
  <c r="N28" i="2"/>
  <c r="N33" i="2" s="1"/>
  <c r="M28" i="2"/>
  <c r="M33" i="2" s="1"/>
  <c r="M43" i="2" s="1"/>
  <c r="L28" i="2"/>
  <c r="L33" i="2" s="1"/>
  <c r="K28" i="2"/>
  <c r="K33" i="2" s="1"/>
  <c r="J28" i="2"/>
  <c r="J33" i="2" s="1"/>
  <c r="I28" i="2"/>
  <c r="I33" i="2" s="1"/>
  <c r="H28" i="2"/>
  <c r="H33" i="2" s="1"/>
  <c r="G33" i="2"/>
  <c r="F28" i="2"/>
  <c r="F33" i="2" s="1"/>
  <c r="E28" i="2"/>
  <c r="E33" i="2" s="1"/>
  <c r="D28" i="2"/>
  <c r="D33" i="2" s="1"/>
  <c r="D43" i="2" s="1"/>
  <c r="C28" i="2"/>
  <c r="C33" i="2" s="1"/>
  <c r="Q42" i="2"/>
  <c r="P42" i="2"/>
  <c r="O42" i="2"/>
  <c r="N42" i="2"/>
  <c r="L42" i="2"/>
  <c r="K42" i="2"/>
  <c r="J42" i="2"/>
  <c r="I42" i="2"/>
  <c r="H42" i="2"/>
  <c r="G42" i="2"/>
  <c r="F42" i="2"/>
  <c r="R42" i="2"/>
  <c r="S42" i="2"/>
  <c r="Q21" i="1"/>
  <c r="P21" i="1"/>
  <c r="O21" i="1"/>
  <c r="K21" i="1"/>
  <c r="J21" i="1"/>
  <c r="I21" i="1"/>
  <c r="H21" i="1"/>
  <c r="G21" i="1"/>
  <c r="C21" i="1"/>
  <c r="E8" i="1"/>
  <c r="G8" i="1"/>
  <c r="H8" i="1"/>
  <c r="I8" i="1"/>
  <c r="K8" i="1"/>
  <c r="M8" i="1"/>
  <c r="O8" i="1"/>
  <c r="P8" i="1"/>
  <c r="Q8" i="1"/>
  <c r="R8" i="1"/>
  <c r="S8" i="1"/>
  <c r="T8" i="1"/>
  <c r="T21" i="1"/>
  <c r="Q33" i="2"/>
  <c r="Q14" i="2"/>
  <c r="Q21" i="2" s="1"/>
  <c r="R42" i="3"/>
  <c r="R47" i="3" s="1"/>
  <c r="R33" i="3"/>
  <c r="R46" i="3" s="1"/>
  <c r="R35" i="1"/>
  <c r="R23" i="1"/>
  <c r="R28" i="2"/>
  <c r="R33" i="2" s="1"/>
  <c r="R14" i="2"/>
  <c r="R21" i="2" s="1"/>
  <c r="S36" i="1"/>
  <c r="S21" i="1"/>
  <c r="S63" i="3"/>
  <c r="S47" i="3"/>
  <c r="S33" i="3"/>
  <c r="S28" i="2"/>
  <c r="S33" i="2" s="1"/>
  <c r="S14" i="2"/>
  <c r="S21" i="2" s="1"/>
  <c r="G43" i="2" l="1"/>
  <c r="F43" i="2"/>
  <c r="T55" i="1"/>
  <c r="T59" i="1"/>
  <c r="I55" i="1"/>
  <c r="I59" i="1"/>
  <c r="H55" i="1"/>
  <c r="H59" i="1"/>
  <c r="R59" i="1"/>
  <c r="R55" i="1"/>
  <c r="E55" i="1"/>
  <c r="E59" i="1"/>
  <c r="P55" i="1"/>
  <c r="P59" i="1"/>
  <c r="O55" i="1"/>
  <c r="O59" i="1"/>
  <c r="Q55" i="1"/>
  <c r="Q59" i="1"/>
  <c r="M55" i="1"/>
  <c r="M59" i="1"/>
  <c r="S55" i="1"/>
  <c r="S59" i="1"/>
  <c r="G55" i="1"/>
  <c r="G59" i="1"/>
  <c r="K55" i="1"/>
  <c r="K59" i="1"/>
  <c r="H52" i="1"/>
  <c r="H44" i="1"/>
  <c r="H54" i="1"/>
  <c r="H53" i="1"/>
  <c r="G52" i="1"/>
  <c r="G54" i="1"/>
  <c r="G53" i="1"/>
  <c r="G44" i="1"/>
  <c r="T16" i="1"/>
  <c r="T43" i="1" s="1"/>
  <c r="T54" i="1"/>
  <c r="T44" i="1"/>
  <c r="T52" i="1"/>
  <c r="T53" i="1"/>
  <c r="U44" i="1"/>
  <c r="R52" i="1"/>
  <c r="R53" i="1"/>
  <c r="R54" i="1"/>
  <c r="E54" i="1"/>
  <c r="E44" i="1"/>
  <c r="E53" i="1"/>
  <c r="E52" i="1"/>
  <c r="F44" i="1"/>
  <c r="O54" i="1"/>
  <c r="O52" i="1"/>
  <c r="O53" i="1"/>
  <c r="O44" i="1"/>
  <c r="M16" i="1"/>
  <c r="M43" i="1" s="1"/>
  <c r="M54" i="1"/>
  <c r="M53" i="1"/>
  <c r="M44" i="1"/>
  <c r="M52" i="1"/>
  <c r="N44" i="1"/>
  <c r="I53" i="1"/>
  <c r="I52" i="1"/>
  <c r="I44" i="1"/>
  <c r="I54" i="1"/>
  <c r="J44" i="1"/>
  <c r="S53" i="1"/>
  <c r="S52" i="1"/>
  <c r="S54" i="1"/>
  <c r="Q53" i="1"/>
  <c r="Q52" i="1"/>
  <c r="Q54" i="1"/>
  <c r="Q44" i="1"/>
  <c r="P44" i="1"/>
  <c r="P52" i="1"/>
  <c r="P54" i="1"/>
  <c r="P53" i="1"/>
  <c r="K16" i="1"/>
  <c r="K43" i="1" s="1"/>
  <c r="K53" i="1"/>
  <c r="L44" i="1"/>
  <c r="K52" i="1"/>
  <c r="K54" i="1"/>
  <c r="K44" i="1"/>
  <c r="R44" i="1"/>
  <c r="S44" i="1"/>
  <c r="R50" i="3"/>
  <c r="K50" i="3"/>
  <c r="N50" i="3"/>
  <c r="N53" i="3" s="1"/>
  <c r="I50" i="3"/>
  <c r="I53" i="3" s="1"/>
  <c r="P50" i="3"/>
  <c r="P53" i="3" s="1"/>
  <c r="S43" i="2"/>
  <c r="S44" i="2" s="1"/>
  <c r="I43" i="2"/>
  <c r="I44" i="2" s="1"/>
  <c r="J43" i="2"/>
  <c r="J44" i="2" s="1"/>
  <c r="R43" i="2"/>
  <c r="R44" i="2" s="1"/>
  <c r="K53" i="3"/>
  <c r="C50" i="3"/>
  <c r="C53" i="3" s="1"/>
  <c r="D50" i="3"/>
  <c r="D53" i="3" s="1"/>
  <c r="L50" i="3"/>
  <c r="L53" i="3" s="1"/>
  <c r="J50" i="3"/>
  <c r="J53" i="3" s="1"/>
  <c r="F50" i="3"/>
  <c r="F53" i="3" s="1"/>
  <c r="E50" i="3"/>
  <c r="E53" i="3" s="1"/>
  <c r="G50" i="3"/>
  <c r="G53" i="3" s="1"/>
  <c r="O50" i="3"/>
  <c r="O53" i="3" s="1"/>
  <c r="H50" i="3"/>
  <c r="H53" i="3" s="1"/>
  <c r="Q43" i="2"/>
  <c r="Q44" i="2" s="1"/>
  <c r="M44" i="2"/>
  <c r="F44" i="2"/>
  <c r="C43" i="2"/>
  <c r="C44" i="2" s="1"/>
  <c r="L43" i="2"/>
  <c r="L44" i="2" s="1"/>
  <c r="E43" i="2"/>
  <c r="E44" i="2" s="1"/>
  <c r="O43" i="2"/>
  <c r="O44" i="2" s="1"/>
  <c r="K43" i="2"/>
  <c r="K44" i="2" s="1"/>
  <c r="D44" i="2"/>
  <c r="N43" i="2"/>
  <c r="N44" i="2" s="1"/>
  <c r="G44" i="2"/>
  <c r="H43" i="2"/>
  <c r="H44" i="2" s="1"/>
  <c r="P43" i="2"/>
  <c r="P44" i="2" s="1"/>
  <c r="J22" i="1"/>
  <c r="J19" i="6"/>
  <c r="J24" i="6"/>
  <c r="I24" i="6"/>
  <c r="I16" i="1"/>
  <c r="I19" i="6"/>
  <c r="S16" i="1"/>
  <c r="S43" i="1" s="1"/>
  <c r="S24" i="6"/>
  <c r="S19" i="6"/>
  <c r="H16" i="1"/>
  <c r="H24" i="6"/>
  <c r="H19" i="6"/>
  <c r="O16" i="1"/>
  <c r="O24" i="6"/>
  <c r="O19" i="6"/>
  <c r="N24" i="6"/>
  <c r="N16" i="1"/>
  <c r="N19" i="6"/>
  <c r="C14" i="6"/>
  <c r="C24" i="6"/>
  <c r="C16" i="1"/>
  <c r="P19" i="6"/>
  <c r="P16" i="1"/>
  <c r="P24" i="6"/>
  <c r="G24" i="6"/>
  <c r="G16" i="1"/>
  <c r="G19" i="6"/>
  <c r="K19" i="6"/>
  <c r="K24" i="6"/>
  <c r="K22" i="1"/>
  <c r="K27" i="1" s="1"/>
  <c r="R19" i="6"/>
  <c r="R24" i="6"/>
  <c r="Q19" i="6"/>
  <c r="Q16" i="1"/>
  <c r="Q24" i="6"/>
  <c r="F24" i="6"/>
  <c r="F16" i="1"/>
  <c r="F19" i="6"/>
  <c r="M19" i="6"/>
  <c r="M22" i="1"/>
  <c r="M24" i="6"/>
  <c r="E19" i="6"/>
  <c r="E16" i="1"/>
  <c r="E24" i="6"/>
  <c r="T9" i="4"/>
  <c r="T49" i="2"/>
  <c r="T54" i="2"/>
  <c r="T19" i="6"/>
  <c r="T53" i="2"/>
  <c r="T24" i="6"/>
  <c r="T57" i="2"/>
  <c r="T47" i="2"/>
  <c r="L19" i="6"/>
  <c r="L16" i="1"/>
  <c r="L24" i="6"/>
  <c r="D19" i="6"/>
  <c r="D16" i="1"/>
  <c r="D24" i="6"/>
  <c r="R48" i="2"/>
  <c r="R57" i="2"/>
  <c r="R47" i="2"/>
  <c r="R49" i="2"/>
  <c r="R50" i="2"/>
  <c r="R53" i="2"/>
  <c r="R54" i="2"/>
  <c r="R9" i="4"/>
  <c r="J48" i="2"/>
  <c r="J47" i="2"/>
  <c r="J57" i="2"/>
  <c r="J9" i="4"/>
  <c r="J54" i="2"/>
  <c r="J49" i="2"/>
  <c r="J50" i="2"/>
  <c r="J53" i="2"/>
  <c r="R16" i="1"/>
  <c r="Q47" i="2"/>
  <c r="Q9" i="4"/>
  <c r="Q57" i="2"/>
  <c r="Q48" i="2"/>
  <c r="Q49" i="2"/>
  <c r="Q50" i="2"/>
  <c r="Q53" i="2"/>
  <c r="Q54" i="2"/>
  <c r="I57" i="2"/>
  <c r="I48" i="2"/>
  <c r="I47" i="2"/>
  <c r="I49" i="2"/>
  <c r="I50" i="2"/>
  <c r="I53" i="2"/>
  <c r="I54" i="2"/>
  <c r="I9" i="4"/>
  <c r="P57" i="2"/>
  <c r="P48" i="2"/>
  <c r="P47" i="2"/>
  <c r="P49" i="2"/>
  <c r="P53" i="2"/>
  <c r="P50" i="2"/>
  <c r="P54" i="2"/>
  <c r="P9" i="4"/>
  <c r="H57" i="2"/>
  <c r="H48" i="2"/>
  <c r="H47" i="2"/>
  <c r="H49" i="2"/>
  <c r="H53" i="2"/>
  <c r="H9" i="4"/>
  <c r="H50" i="2"/>
  <c r="H54" i="2"/>
  <c r="O48" i="2"/>
  <c r="O49" i="2"/>
  <c r="O53" i="2"/>
  <c r="O50" i="2"/>
  <c r="O54" i="2"/>
  <c r="O9" i="4"/>
  <c r="O47" i="2"/>
  <c r="O57" i="2"/>
  <c r="G9" i="4"/>
  <c r="G48" i="2"/>
  <c r="G49" i="2"/>
  <c r="G57" i="2"/>
  <c r="G50" i="2"/>
  <c r="G54" i="2"/>
  <c r="G47" i="2"/>
  <c r="N50" i="2"/>
  <c r="N54" i="2"/>
  <c r="N49" i="2"/>
  <c r="N53" i="2"/>
  <c r="N48" i="2"/>
  <c r="N57" i="2"/>
  <c r="N9" i="4"/>
  <c r="N47" i="2"/>
  <c r="F48" i="2"/>
  <c r="F57" i="2"/>
  <c r="F9" i="4"/>
  <c r="F49" i="2"/>
  <c r="F53" i="2"/>
  <c r="F50" i="2"/>
  <c r="F54" i="2"/>
  <c r="F47" i="2"/>
  <c r="M9" i="4"/>
  <c r="M50" i="2"/>
  <c r="M53" i="2"/>
  <c r="M54" i="2"/>
  <c r="M57" i="2"/>
  <c r="M47" i="2"/>
  <c r="M48" i="2"/>
  <c r="E9" i="4"/>
  <c r="E50" i="2"/>
  <c r="E53" i="2"/>
  <c r="E54" i="2"/>
  <c r="E49" i="2"/>
  <c r="E47" i="2"/>
  <c r="E57" i="2"/>
  <c r="E48" i="2"/>
  <c r="L49" i="2"/>
  <c r="L50" i="2"/>
  <c r="L53" i="2"/>
  <c r="L54" i="2"/>
  <c r="L9" i="4"/>
  <c r="L48" i="2"/>
  <c r="L47" i="2"/>
  <c r="L57" i="2"/>
  <c r="D9" i="4"/>
  <c r="D49" i="2"/>
  <c r="D50" i="2"/>
  <c r="D53" i="2"/>
  <c r="D54" i="2"/>
  <c r="D57" i="2"/>
  <c r="D48" i="2"/>
  <c r="D47" i="2"/>
  <c r="S50" i="2"/>
  <c r="S53" i="2"/>
  <c r="S54" i="2"/>
  <c r="S47" i="2"/>
  <c r="S57" i="2"/>
  <c r="S9" i="4"/>
  <c r="S48" i="2"/>
  <c r="K49" i="2"/>
  <c r="K50" i="2"/>
  <c r="K53" i="2"/>
  <c r="K54" i="2"/>
  <c r="K47" i="2"/>
  <c r="K9" i="4"/>
  <c r="K57" i="2"/>
  <c r="K48" i="2"/>
  <c r="C47" i="2"/>
  <c r="C54" i="2"/>
  <c r="C49" i="2"/>
  <c r="C50" i="2"/>
  <c r="C9" i="4"/>
  <c r="C48" i="2"/>
  <c r="C53" i="2"/>
  <c r="R53" i="3"/>
  <c r="S46" i="3"/>
  <c r="P22" i="1" l="1"/>
  <c r="P43" i="1"/>
  <c r="O22" i="1"/>
  <c r="O24" i="1" s="1"/>
  <c r="O43" i="1"/>
  <c r="I22" i="1"/>
  <c r="I24" i="1" s="1"/>
  <c r="I43" i="1"/>
  <c r="E22" i="1"/>
  <c r="E24" i="1" s="1"/>
  <c r="E43" i="1"/>
  <c r="L22" i="1"/>
  <c r="L27" i="1" s="1"/>
  <c r="L31" i="1" s="1"/>
  <c r="L43" i="1"/>
  <c r="C22" i="1"/>
  <c r="C24" i="1" s="1"/>
  <c r="C43" i="1"/>
  <c r="Q22" i="1"/>
  <c r="Q27" i="1" s="1"/>
  <c r="Q31" i="1" s="1"/>
  <c r="Q43" i="1"/>
  <c r="G22" i="1"/>
  <c r="G24" i="1" s="1"/>
  <c r="G43" i="1"/>
  <c r="H22" i="1"/>
  <c r="H43" i="1"/>
  <c r="R22" i="1"/>
  <c r="R27" i="1" s="1"/>
  <c r="R31" i="1" s="1"/>
  <c r="R33" i="1" s="1"/>
  <c r="R43" i="1"/>
  <c r="F22" i="1"/>
  <c r="F27" i="1" s="1"/>
  <c r="F31" i="1" s="1"/>
  <c r="F43" i="1"/>
  <c r="D22" i="1"/>
  <c r="D27" i="1" s="1"/>
  <c r="D31" i="1" s="1"/>
  <c r="D43" i="1"/>
  <c r="N22" i="1"/>
  <c r="N43" i="1"/>
  <c r="H24" i="1"/>
  <c r="H27" i="1"/>
  <c r="H31" i="1" s="1"/>
  <c r="J27" i="1"/>
  <c r="J31" i="1" s="1"/>
  <c r="J24" i="1"/>
  <c r="K31" i="1"/>
  <c r="K24" i="1"/>
  <c r="M27" i="1"/>
  <c r="M31" i="1" s="1"/>
  <c r="M38" i="1" s="1"/>
  <c r="M24" i="1"/>
  <c r="L24" i="1"/>
  <c r="N24" i="1"/>
  <c r="N27" i="1"/>
  <c r="N31" i="1" s="1"/>
  <c r="P24" i="1"/>
  <c r="P27" i="1"/>
  <c r="P31" i="1" s="1"/>
  <c r="D14" i="6"/>
  <c r="U19" i="6"/>
  <c r="M14" i="6"/>
  <c r="R14" i="6"/>
  <c r="O14" i="6"/>
  <c r="P14" i="6"/>
  <c r="L14" i="6"/>
  <c r="T14" i="6"/>
  <c r="G14" i="6"/>
  <c r="F14" i="6"/>
  <c r="H14" i="6"/>
  <c r="E14" i="6"/>
  <c r="V19" i="6"/>
  <c r="N14" i="6"/>
  <c r="J14" i="6"/>
  <c r="I14" i="6"/>
  <c r="K14" i="6"/>
  <c r="Q14" i="6"/>
  <c r="S14" i="6"/>
  <c r="R24" i="1"/>
  <c r="S22" i="1"/>
  <c r="S45" i="3"/>
  <c r="S50" i="3" s="1"/>
  <c r="S53" i="3" s="1"/>
  <c r="S23" i="1"/>
  <c r="Q24" i="1" l="1"/>
  <c r="C27" i="1"/>
  <c r="C31" i="1" s="1"/>
  <c r="C38" i="1" s="1"/>
  <c r="C12" i="5" s="1"/>
  <c r="C14" i="5" s="1"/>
  <c r="I27" i="1"/>
  <c r="I31" i="1" s="1"/>
  <c r="I33" i="1" s="1"/>
  <c r="F24" i="1"/>
  <c r="G27" i="1"/>
  <c r="G31" i="1" s="1"/>
  <c r="G38" i="1" s="1"/>
  <c r="G12" i="5" s="1"/>
  <c r="G13" i="5" s="1"/>
  <c r="E27" i="1"/>
  <c r="E31" i="1" s="1"/>
  <c r="E33" i="1" s="1"/>
  <c r="D24" i="1"/>
  <c r="O27" i="1"/>
  <c r="O31" i="1" s="1"/>
  <c r="O38" i="1" s="1"/>
  <c r="O12" i="5" s="1"/>
  <c r="O13" i="5" s="1"/>
  <c r="D38" i="1"/>
  <c r="D12" i="5" s="1"/>
  <c r="D14" i="5" s="1"/>
  <c r="D33" i="1"/>
  <c r="W19" i="6"/>
  <c r="F38" i="1"/>
  <c r="F12" i="5" s="1"/>
  <c r="F13" i="5" s="1"/>
  <c r="F33" i="1"/>
  <c r="X19" i="6"/>
  <c r="X14" i="6" s="1"/>
  <c r="H38" i="1"/>
  <c r="H12" i="5" s="1"/>
  <c r="H14" i="5" s="1"/>
  <c r="H33" i="1"/>
  <c r="J38" i="1"/>
  <c r="J12" i="5" s="1"/>
  <c r="J14" i="5" s="1"/>
  <c r="J33" i="1"/>
  <c r="K38" i="1"/>
  <c r="K12" i="5" s="1"/>
  <c r="K13" i="5" s="1"/>
  <c r="K33" i="1"/>
  <c r="L33" i="1"/>
  <c r="L38" i="1"/>
  <c r="L12" i="5" s="1"/>
  <c r="S27" i="1"/>
  <c r="S31" i="1" s="1"/>
  <c r="S38" i="1" s="1"/>
  <c r="S12" i="5" s="1"/>
  <c r="M33" i="1"/>
  <c r="M12" i="5"/>
  <c r="P33" i="1"/>
  <c r="P38" i="1"/>
  <c r="P12" i="5" s="1"/>
  <c r="Q33" i="1"/>
  <c r="Q38" i="1"/>
  <c r="Q12" i="5" s="1"/>
  <c r="V14" i="6"/>
  <c r="U14" i="6"/>
  <c r="R38" i="1"/>
  <c r="R12" i="5" s="1"/>
  <c r="S24" i="1"/>
  <c r="I38" i="1" l="1"/>
  <c r="I12" i="5" s="1"/>
  <c r="I14" i="5" s="1"/>
  <c r="O33" i="1"/>
  <c r="C33" i="1"/>
  <c r="E38" i="1"/>
  <c r="E12" i="5" s="1"/>
  <c r="E14" i="5" s="1"/>
  <c r="G33" i="1"/>
  <c r="G14" i="5"/>
  <c r="Z19" i="6"/>
  <c r="Z14" i="6" s="1"/>
  <c r="W14" i="6"/>
  <c r="Y19" i="6"/>
  <c r="H13" i="5"/>
  <c r="F14" i="5"/>
  <c r="J13" i="5"/>
  <c r="K14" i="5"/>
  <c r="O14" i="5"/>
  <c r="M14" i="5"/>
  <c r="M13" i="5"/>
  <c r="L14" i="5"/>
  <c r="L13" i="5"/>
  <c r="P14" i="5"/>
  <c r="P13" i="5"/>
  <c r="Q14" i="5"/>
  <c r="Q13" i="5"/>
  <c r="S13" i="5"/>
  <c r="S14" i="5"/>
  <c r="R14" i="5"/>
  <c r="R13" i="5"/>
  <c r="I13" i="5" l="1"/>
  <c r="E13" i="5"/>
  <c r="Y14" i="6"/>
  <c r="AA19" i="6"/>
  <c r="AC19" i="6" s="1"/>
  <c r="AC14" i="6" s="1"/>
  <c r="AB19" i="6"/>
  <c r="AB14" i="6" s="1"/>
  <c r="T22" i="1"/>
  <c r="T27" i="1" s="1"/>
  <c r="U16" i="1"/>
  <c r="U22" i="1" l="1"/>
  <c r="U27" i="1" s="1"/>
  <c r="U43" i="1"/>
  <c r="AA14" i="6"/>
  <c r="AE19" i="6"/>
  <c r="AE14" i="6" s="1"/>
  <c r="AD19" i="6"/>
  <c r="U31" i="1"/>
  <c r="U24" i="1"/>
  <c r="T31" i="1"/>
  <c r="T24" i="1"/>
  <c r="U33" i="1" l="1"/>
  <c r="AD14" i="6"/>
  <c r="AF19" i="6"/>
  <c r="AG19" i="6"/>
  <c r="AG14" i="6" s="1"/>
  <c r="T38" i="1"/>
  <c r="T12" i="5" s="1"/>
  <c r="T13" i="5" s="1"/>
  <c r="V16" i="1"/>
  <c r="V22" i="1" s="1"/>
  <c r="V27" i="1" s="1"/>
  <c r="V8" i="6"/>
  <c r="V11" i="2" s="1"/>
  <c r="V14" i="2" s="1"/>
  <c r="V21" i="2" s="1"/>
  <c r="U29" i="6"/>
  <c r="U11" i="6"/>
  <c r="U31" i="6" l="1"/>
  <c r="U62" i="1"/>
  <c r="AF14" i="6"/>
  <c r="AI19" i="6"/>
  <c r="AI14" i="6" s="1"/>
  <c r="AH19" i="6"/>
  <c r="T14" i="5"/>
  <c r="T8" i="5" s="1"/>
  <c r="T9" i="5" s="1"/>
  <c r="V31" i="1"/>
  <c r="V24" i="1"/>
  <c r="V11" i="6"/>
  <c r="V29" i="6"/>
  <c r="W16" i="1"/>
  <c r="W22" i="1" s="1"/>
  <c r="W27" i="1" s="1"/>
  <c r="W8" i="6"/>
  <c r="W11" i="2" s="1"/>
  <c r="W14" i="2" s="1"/>
  <c r="W21" i="2" s="1"/>
  <c r="U64" i="1" l="1"/>
  <c r="U37" i="1"/>
  <c r="U38" i="1" s="1"/>
  <c r="V31" i="6"/>
  <c r="V62" i="1"/>
  <c r="V13" i="5"/>
  <c r="V14" i="5"/>
  <c r="V33" i="1"/>
  <c r="AH14" i="6"/>
  <c r="AK19" i="6"/>
  <c r="AJ19" i="6"/>
  <c r="AJ14" i="6" s="1"/>
  <c r="X16" i="1"/>
  <c r="X22" i="1" s="1"/>
  <c r="X27" i="1" s="1"/>
  <c r="X8" i="6"/>
  <c r="X11" i="2" s="1"/>
  <c r="X14" i="2" s="1"/>
  <c r="X21" i="2" s="1"/>
  <c r="W24" i="1"/>
  <c r="W31" i="1"/>
  <c r="W29" i="6"/>
  <c r="W11" i="6"/>
  <c r="V8" i="7" l="1"/>
  <c r="U12" i="5"/>
  <c r="W31" i="6"/>
  <c r="W62" i="1"/>
  <c r="V37" i="1"/>
  <c r="V38" i="1" s="1"/>
  <c r="V64" i="1"/>
  <c r="W33" i="1"/>
  <c r="AL19" i="6"/>
  <c r="AL14" i="6" s="1"/>
  <c r="AK14" i="6"/>
  <c r="AM19" i="6"/>
  <c r="X29" i="6"/>
  <c r="X11" i="6"/>
  <c r="Y16" i="1"/>
  <c r="Y22" i="1" s="1"/>
  <c r="Y27" i="1" s="1"/>
  <c r="Y8" i="6"/>
  <c r="Y11" i="2" s="1"/>
  <c r="Y14" i="2" s="1"/>
  <c r="Y21" i="2" s="1"/>
  <c r="X31" i="1"/>
  <c r="X24" i="1"/>
  <c r="U13" i="5" l="1"/>
  <c r="U14" i="5"/>
  <c r="U8" i="5" s="1"/>
  <c r="X31" i="6"/>
  <c r="X62" i="1"/>
  <c r="V11" i="7"/>
  <c r="W8" i="7"/>
  <c r="W37" i="1"/>
  <c r="W38" i="1" s="1"/>
  <c r="W64" i="1"/>
  <c r="X33" i="1"/>
  <c r="AN19" i="6"/>
  <c r="AN14" i="6" s="1"/>
  <c r="AM14" i="6"/>
  <c r="AO19" i="6"/>
  <c r="AO14" i="6" s="1"/>
  <c r="Y11" i="6"/>
  <c r="Y29" i="6"/>
  <c r="Y24" i="1"/>
  <c r="Y31" i="1"/>
  <c r="Z16" i="1"/>
  <c r="Z22" i="1" s="1"/>
  <c r="Z27" i="1" s="1"/>
  <c r="Z8" i="6"/>
  <c r="Z11" i="2" s="1"/>
  <c r="Z14" i="2" s="1"/>
  <c r="Z21" i="2" s="1"/>
  <c r="U9" i="5" l="1"/>
  <c r="V8" i="5"/>
  <c r="Y31" i="6"/>
  <c r="Y62" i="1"/>
  <c r="W11" i="7"/>
  <c r="X8" i="7"/>
  <c r="X37" i="1"/>
  <c r="X38" i="1" s="1"/>
  <c r="X64" i="1"/>
  <c r="Y33" i="1"/>
  <c r="AP19" i="6"/>
  <c r="AP14" i="6" s="1"/>
  <c r="AA16" i="1"/>
  <c r="AA22" i="1" s="1"/>
  <c r="AA27" i="1" s="1"/>
  <c r="AA8" i="6"/>
  <c r="AA11" i="2" s="1"/>
  <c r="AA14" i="2" s="1"/>
  <c r="AA21" i="2" s="1"/>
  <c r="Z29" i="6"/>
  <c r="Z11" i="6"/>
  <c r="Z24" i="1"/>
  <c r="Z31" i="1"/>
  <c r="V9" i="5" l="1"/>
  <c r="W8" i="5"/>
  <c r="Z31" i="6"/>
  <c r="Z62" i="1"/>
  <c r="X11" i="7"/>
  <c r="Y8" i="7"/>
  <c r="Y37" i="1"/>
  <c r="Y38" i="1" s="1"/>
  <c r="Y64" i="1"/>
  <c r="Z33" i="1"/>
  <c r="AA29" i="6"/>
  <c r="AA11" i="6"/>
  <c r="AB16" i="1"/>
  <c r="AB22" i="1" s="1"/>
  <c r="AB27" i="1" s="1"/>
  <c r="AB8" i="6"/>
  <c r="AB11" i="2" s="1"/>
  <c r="AB14" i="2" s="1"/>
  <c r="AB21" i="2" s="1"/>
  <c r="AA31" i="1"/>
  <c r="AA24" i="1"/>
  <c r="W9" i="5" l="1"/>
  <c r="X8" i="5"/>
  <c r="Y11" i="7"/>
  <c r="Z8" i="7"/>
  <c r="AA31" i="6"/>
  <c r="AA62" i="1"/>
  <c r="Z37" i="1"/>
  <c r="Z38" i="1" s="1"/>
  <c r="Z64" i="1"/>
  <c r="AA33" i="1"/>
  <c r="AC16" i="1"/>
  <c r="AC22" i="1" s="1"/>
  <c r="AC27" i="1" s="1"/>
  <c r="AC8" i="6"/>
  <c r="AC11" i="2" s="1"/>
  <c r="AC14" i="2" s="1"/>
  <c r="AC21" i="2" s="1"/>
  <c r="AB31" i="1"/>
  <c r="AB24" i="1"/>
  <c r="AB29" i="6"/>
  <c r="AB11" i="6"/>
  <c r="X9" i="5" l="1"/>
  <c r="Y8" i="5"/>
  <c r="AB31" i="6"/>
  <c r="AB62" i="1"/>
  <c r="Z11" i="7"/>
  <c r="AA8" i="7"/>
  <c r="AA11" i="7" s="1"/>
  <c r="AA37" i="1"/>
  <c r="AA38" i="1" s="1"/>
  <c r="AB8" i="7" s="1"/>
  <c r="AA64" i="1"/>
  <c r="AB33" i="1"/>
  <c r="AC29" i="6"/>
  <c r="AC11" i="6"/>
  <c r="AD16" i="1"/>
  <c r="AD22" i="1" s="1"/>
  <c r="AD27" i="1" s="1"/>
  <c r="AD8" i="6"/>
  <c r="AD11" i="2" s="1"/>
  <c r="AD14" i="2" s="1"/>
  <c r="AD21" i="2" s="1"/>
  <c r="AC31" i="1"/>
  <c r="AC24" i="1"/>
  <c r="Y9" i="5" l="1"/>
  <c r="Z8" i="5"/>
  <c r="AC31" i="6"/>
  <c r="AC62" i="1"/>
  <c r="AB37" i="1"/>
  <c r="AB38" i="1" s="1"/>
  <c r="AC8" i="7" s="1"/>
  <c r="AB64" i="1"/>
  <c r="AB11" i="7"/>
  <c r="AB13" i="5"/>
  <c r="AB14" i="5"/>
  <c r="AC33" i="1"/>
  <c r="AE16" i="1"/>
  <c r="AE22" i="1" s="1"/>
  <c r="AE27" i="1" s="1"/>
  <c r="AE8" i="6"/>
  <c r="AE11" i="2" s="1"/>
  <c r="AE14" i="2" s="1"/>
  <c r="AE21" i="2" s="1"/>
  <c r="AD11" i="6"/>
  <c r="AD29" i="6"/>
  <c r="AD31" i="1"/>
  <c r="AD24" i="1"/>
  <c r="AA8" i="5" l="1"/>
  <c r="AA9" i="5" s="1"/>
  <c r="Z9" i="5"/>
  <c r="AB8" i="5"/>
  <c r="AB9" i="5" s="1"/>
  <c r="AD31" i="6"/>
  <c r="AD62" i="1"/>
  <c r="AC37" i="1"/>
  <c r="AC38" i="1" s="1"/>
  <c r="AD8" i="7" s="1"/>
  <c r="AC64" i="1"/>
  <c r="AC13" i="5"/>
  <c r="AC14" i="5"/>
  <c r="AC11" i="7"/>
  <c r="AD33" i="1"/>
  <c r="AE29" i="6"/>
  <c r="AE11" i="6"/>
  <c r="AF16" i="1"/>
  <c r="AF22" i="1" s="1"/>
  <c r="AF27" i="1" s="1"/>
  <c r="AF8" i="6"/>
  <c r="AF11" i="2" s="1"/>
  <c r="AF14" i="2" s="1"/>
  <c r="AF21" i="2" s="1"/>
  <c r="AE24" i="1"/>
  <c r="AE31" i="1"/>
  <c r="AC8" i="5" l="1"/>
  <c r="AC9" i="5" s="1"/>
  <c r="AE31" i="6"/>
  <c r="AE62" i="1"/>
  <c r="AD37" i="1"/>
  <c r="AD38" i="1" s="1"/>
  <c r="AE8" i="7" s="1"/>
  <c r="AD64" i="1"/>
  <c r="AD11" i="7"/>
  <c r="AD13" i="5"/>
  <c r="AD14" i="5"/>
  <c r="AE33" i="1"/>
  <c r="AG16" i="1"/>
  <c r="AG22" i="1" s="1"/>
  <c r="AG27" i="1" s="1"/>
  <c r="AG8" i="6"/>
  <c r="AG11" i="2" s="1"/>
  <c r="AG14" i="2" s="1"/>
  <c r="AG21" i="2" s="1"/>
  <c r="AF31" i="1"/>
  <c r="AF24" i="1"/>
  <c r="AF29" i="6"/>
  <c r="AF11" i="6"/>
  <c r="AD8" i="5" l="1"/>
  <c r="AD9" i="5" s="1"/>
  <c r="AF31" i="6"/>
  <c r="AF62" i="1"/>
  <c r="AE37" i="1"/>
  <c r="AE38" i="1" s="1"/>
  <c r="AF8" i="7" s="1"/>
  <c r="AE64" i="1"/>
  <c r="AE11" i="7"/>
  <c r="AF33" i="1"/>
  <c r="AE13" i="5"/>
  <c r="AE14" i="5"/>
  <c r="AE8" i="5" s="1"/>
  <c r="AE9" i="5" s="1"/>
  <c r="AG24" i="1"/>
  <c r="AG31" i="1"/>
  <c r="AG29" i="6"/>
  <c r="AG11" i="6"/>
  <c r="AH16" i="1"/>
  <c r="AH22" i="1" s="1"/>
  <c r="AH27" i="1" s="1"/>
  <c r="AH8" i="6"/>
  <c r="AH11" i="2" s="1"/>
  <c r="AH14" i="2" s="1"/>
  <c r="AH21" i="2" s="1"/>
  <c r="AG31" i="6" l="1"/>
  <c r="AG62" i="1"/>
  <c r="AF37" i="1"/>
  <c r="AF38" i="1" s="1"/>
  <c r="AG8" i="7" s="1"/>
  <c r="AF64" i="1"/>
  <c r="AG33" i="1"/>
  <c r="AF14" i="5"/>
  <c r="AF8" i="5" s="1"/>
  <c r="AF13" i="5"/>
  <c r="AF11" i="7"/>
  <c r="AH29" i="6"/>
  <c r="AH11" i="6"/>
  <c r="AH24" i="1"/>
  <c r="AH31" i="1"/>
  <c r="AI16" i="1"/>
  <c r="AI22" i="1" s="1"/>
  <c r="AI27" i="1" s="1"/>
  <c r="AI8" i="6"/>
  <c r="AI11" i="2" s="1"/>
  <c r="AI14" i="2" s="1"/>
  <c r="AI21" i="2" s="1"/>
  <c r="AH31" i="6" l="1"/>
  <c r="AH62" i="1"/>
  <c r="AG37" i="1"/>
  <c r="AG38" i="1" s="1"/>
  <c r="AH8" i="7" s="1"/>
  <c r="AG64" i="1"/>
  <c r="AF9" i="5"/>
  <c r="AG14" i="5"/>
  <c r="AG8" i="5" s="1"/>
  <c r="AG9" i="5" s="1"/>
  <c r="AG13" i="5"/>
  <c r="AH33" i="1"/>
  <c r="AG11" i="7"/>
  <c r="AI31" i="1"/>
  <c r="AI24" i="1"/>
  <c r="AJ16" i="1"/>
  <c r="AJ22" i="1" s="1"/>
  <c r="AJ27" i="1" s="1"/>
  <c r="AJ8" i="6"/>
  <c r="AJ11" i="2" s="1"/>
  <c r="AJ14" i="2" s="1"/>
  <c r="AJ21" i="2" s="1"/>
  <c r="AI11" i="6"/>
  <c r="AI29" i="6"/>
  <c r="AI31" i="6" l="1"/>
  <c r="AI62" i="1"/>
  <c r="AH37" i="1"/>
  <c r="AH38" i="1" s="1"/>
  <c r="AI8" i="7" s="1"/>
  <c r="AH64" i="1"/>
  <c r="AH11" i="7"/>
  <c r="AH14" i="5"/>
  <c r="AH8" i="5" s="1"/>
  <c r="AH9" i="5" s="1"/>
  <c r="AH13" i="5"/>
  <c r="AI33" i="1"/>
  <c r="AK8" i="6"/>
  <c r="AK11" i="2" s="1"/>
  <c r="AK14" i="2" s="1"/>
  <c r="AK21" i="2" s="1"/>
  <c r="AK16" i="1"/>
  <c r="AK22" i="1" s="1"/>
  <c r="AK27" i="1" s="1"/>
  <c r="AJ11" i="6"/>
  <c r="AJ29" i="6"/>
  <c r="AJ31" i="1"/>
  <c r="AJ24" i="1"/>
  <c r="AJ31" i="6" l="1"/>
  <c r="AJ62" i="1"/>
  <c r="AI37" i="1"/>
  <c r="AI38" i="1" s="1"/>
  <c r="AJ8" i="7" s="1"/>
  <c r="AI64" i="1"/>
  <c r="AI14" i="5"/>
  <c r="AI8" i="5" s="1"/>
  <c r="AI9" i="5" s="1"/>
  <c r="AI13" i="5"/>
  <c r="AI11" i="7"/>
  <c r="AJ33" i="1"/>
  <c r="AK31" i="1"/>
  <c r="AK24" i="1"/>
  <c r="AK11" i="6"/>
  <c r="AK29" i="6"/>
  <c r="AL16" i="1"/>
  <c r="AL22" i="1" s="1"/>
  <c r="AL27" i="1" s="1"/>
  <c r="AL8" i="6"/>
  <c r="AL11" i="2" s="1"/>
  <c r="AL14" i="2" s="1"/>
  <c r="AL21" i="2" s="1"/>
  <c r="AK31" i="6" l="1"/>
  <c r="AK62" i="1"/>
  <c r="AJ37" i="1"/>
  <c r="AJ38" i="1" s="1"/>
  <c r="AK8" i="7" s="1"/>
  <c r="AJ64" i="1"/>
  <c r="AJ11" i="7"/>
  <c r="AK33" i="1"/>
  <c r="AJ14" i="5"/>
  <c r="AJ8" i="5" s="1"/>
  <c r="AJ9" i="5" s="1"/>
  <c r="AJ13" i="5"/>
  <c r="AL11" i="6"/>
  <c r="AL29" i="6"/>
  <c r="AL31" i="1"/>
  <c r="AL24" i="1"/>
  <c r="AM16" i="1"/>
  <c r="AM22" i="1" s="1"/>
  <c r="AM27" i="1" s="1"/>
  <c r="AM8" i="6"/>
  <c r="AM11" i="2" s="1"/>
  <c r="AM14" i="2" s="1"/>
  <c r="AM21" i="2" s="1"/>
  <c r="AL31" i="6" l="1"/>
  <c r="AL62" i="1"/>
  <c r="AK37" i="1"/>
  <c r="AK38" i="1" s="1"/>
  <c r="AL8" i="7" s="1"/>
  <c r="AK64" i="1"/>
  <c r="AK11" i="7"/>
  <c r="AK14" i="5"/>
  <c r="AK8" i="5" s="1"/>
  <c r="AK9" i="5" s="1"/>
  <c r="AK13" i="5"/>
  <c r="AL33" i="1"/>
  <c r="AN16" i="1"/>
  <c r="AN22" i="1" s="1"/>
  <c r="AN27" i="1" s="1"/>
  <c r="AN8" i="6"/>
  <c r="AN11" i="2" s="1"/>
  <c r="AN14" i="2" s="1"/>
  <c r="AN21" i="2" s="1"/>
  <c r="AM24" i="1"/>
  <c r="AM31" i="1"/>
  <c r="AM29" i="6"/>
  <c r="AM11" i="6"/>
  <c r="AM31" i="6" l="1"/>
  <c r="AM62" i="1"/>
  <c r="AL37" i="1"/>
  <c r="AL38" i="1" s="1"/>
  <c r="AM8" i="7" s="1"/>
  <c r="AL64" i="1"/>
  <c r="AM33" i="1"/>
  <c r="AL11" i="7"/>
  <c r="AL14" i="5"/>
  <c r="AL8" i="5" s="1"/>
  <c r="AL13" i="5"/>
  <c r="AO16" i="1"/>
  <c r="AO22" i="1" s="1"/>
  <c r="AO27" i="1" s="1"/>
  <c r="AO8" i="6"/>
  <c r="AO11" i="2" s="1"/>
  <c r="AO14" i="2" s="1"/>
  <c r="AO21" i="2" s="1"/>
  <c r="AN29" i="6"/>
  <c r="AN11" i="6"/>
  <c r="AN24" i="1"/>
  <c r="AN31" i="1"/>
  <c r="AN31" i="6" l="1"/>
  <c r="AN62" i="1"/>
  <c r="AM37" i="1"/>
  <c r="AM38" i="1" s="1"/>
  <c r="AN8" i="7" s="1"/>
  <c r="AM64" i="1"/>
  <c r="AM11" i="7"/>
  <c r="AL9" i="5"/>
  <c r="AN33" i="1"/>
  <c r="AM13" i="5"/>
  <c r="AM14" i="5"/>
  <c r="AM8" i="5" s="1"/>
  <c r="AP16" i="1"/>
  <c r="AP22" i="1" s="1"/>
  <c r="AP27" i="1" s="1"/>
  <c r="AP8" i="6"/>
  <c r="AP11" i="2" s="1"/>
  <c r="AP14" i="2" s="1"/>
  <c r="AP21" i="2" s="1"/>
  <c r="AO29" i="6"/>
  <c r="AO11" i="6"/>
  <c r="AO24" i="1"/>
  <c r="AO31" i="1"/>
  <c r="AO31" i="6" l="1"/>
  <c r="AO62" i="1"/>
  <c r="AN37" i="1"/>
  <c r="AN38" i="1" s="1"/>
  <c r="AO8" i="7" s="1"/>
  <c r="AN64" i="1"/>
  <c r="AM9" i="5"/>
  <c r="AN14" i="5"/>
  <c r="AN8" i="5" s="1"/>
  <c r="AN13" i="5"/>
  <c r="AO33" i="1"/>
  <c r="AN11" i="7"/>
  <c r="AP11" i="6"/>
  <c r="AP29" i="6"/>
  <c r="AP24" i="1"/>
  <c r="AP31" i="1"/>
  <c r="AP31" i="6" l="1"/>
  <c r="AP62" i="1"/>
  <c r="AO37" i="1"/>
  <c r="AO38" i="1" s="1"/>
  <c r="AP8" i="7" s="1"/>
  <c r="AO64" i="1"/>
  <c r="AN9" i="5"/>
  <c r="AP33" i="1"/>
  <c r="AO13" i="5"/>
  <c r="AO14" i="5"/>
  <c r="AO8" i="5" s="1"/>
  <c r="AO11" i="7"/>
  <c r="AP37" i="1" l="1"/>
  <c r="AP38" i="1" s="1"/>
  <c r="AP64" i="1"/>
  <c r="AO9" i="5"/>
  <c r="AP14" i="5"/>
  <c r="AP8" i="5" s="1"/>
  <c r="AP9" i="5" s="1"/>
  <c r="AP13" i="5"/>
  <c r="S33" i="1"/>
  <c r="T33" i="1"/>
  <c r="U22" i="7"/>
  <c r="Q42" i="3"/>
  <c r="Q47" i="3" s="1"/>
  <c r="M50" i="3"/>
  <c r="M53" i="3" s="1"/>
  <c r="AP11" i="7" l="1"/>
  <c r="AQ8" i="7"/>
  <c r="Q50" i="3"/>
  <c r="Q53" i="3" s="1"/>
  <c r="U15" i="7" l="1"/>
  <c r="U16" i="7" s="1"/>
  <c r="AQ11" i="7"/>
  <c r="U14" i="7" s="1"/>
  <c r="N33" i="1"/>
  <c r="U17" i="7" l="1"/>
  <c r="U20" i="7" s="1"/>
  <c r="U23" i="7" s="1"/>
  <c r="M9" i="8"/>
  <c r="N38" i="1"/>
  <c r="N12" i="5" s="1"/>
  <c r="N14" i="5" s="1"/>
  <c r="N13"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tc={153D5C93-5C51-0A4A-9D18-BC5D277557D5}</author>
    <author>tc={341815CC-FE19-0E47-8F05-5C1B7343ED9B}</author>
  </authors>
  <commentList>
    <comment ref="U18" authorId="0" shapeId="0" xr:uid="{153D5C93-5C51-0A4A-9D18-BC5D277557D5}">
      <text>
        <t>[Threaded comment]
Your version of Excel allows you to read this threaded comment; however, any edits to it will get removed if the file is opened in a newer version of Excel. Learn more: https://go.microsoft.com/fwlink/?linkid=870924
Comment:
    Most Recent:
Long Term Debt + Other Noncurrent Liabilities - Cash - Short Term Investments - Investments - Other CA</t>
      </text>
    </comment>
    <comment ref="U19" authorId="1" shapeId="0" xr:uid="{341815CC-FE19-0E47-8F05-5C1B7343ED9B}">
      <text>
        <t>[Threaded comment]
Your version of Excel allows you to read this threaded comment; however, any edits to it will get removed if the file is opened in a newer version of Excel. Learn more: https://go.microsoft.com/fwlink/?linkid=870924
Comment:
    Most Recent Quarter’s Cash from the Balance Sheet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<sst xmlns="http://schemas.openxmlformats.org/spreadsheetml/2006/main" count="584" uniqueCount="261">
  <si>
    <t>Q1Y18</t>
  </si>
  <si>
    <t>Q2Y18</t>
  </si>
  <si>
    <t>Q3Y18</t>
  </si>
  <si>
    <t>Q4Y18</t>
  </si>
  <si>
    <t>Q1Y19</t>
  </si>
  <si>
    <t>Q2Y19</t>
  </si>
  <si>
    <t>Q3Y19</t>
  </si>
  <si>
    <t>Q4Y19</t>
  </si>
  <si>
    <t>Q1Y20</t>
  </si>
  <si>
    <t>Q2Y20</t>
  </si>
  <si>
    <t>Q3Y20</t>
  </si>
  <si>
    <t>Q4Y20</t>
  </si>
  <si>
    <t>Q1Y21</t>
  </si>
  <si>
    <t>Q2Y21</t>
  </si>
  <si>
    <t>Q3Y21</t>
  </si>
  <si>
    <t>Q4Y21</t>
  </si>
  <si>
    <t>Q1Y22</t>
  </si>
  <si>
    <t>Q2Y22</t>
  </si>
  <si>
    <t>Q3Y22</t>
  </si>
  <si>
    <t>Q4Y22</t>
  </si>
  <si>
    <t>Q1Y23</t>
  </si>
  <si>
    <t>Q2Y23</t>
  </si>
  <si>
    <t>Q3Y23</t>
  </si>
  <si>
    <t>Q4Y23</t>
  </si>
  <si>
    <t>Q1Y24</t>
  </si>
  <si>
    <t>Q2Y24</t>
  </si>
  <si>
    <t>Q3Y24</t>
  </si>
  <si>
    <t>Q4Y24</t>
  </si>
  <si>
    <t>Q1Y25</t>
  </si>
  <si>
    <t>Q2Y25</t>
  </si>
  <si>
    <t>Q3Y25</t>
  </si>
  <si>
    <t>Q4Y25</t>
  </si>
  <si>
    <t>Q1Y26</t>
  </si>
  <si>
    <t>Q2Y26</t>
  </si>
  <si>
    <t>Q3Y26</t>
  </si>
  <si>
    <t>Q4Y26</t>
  </si>
  <si>
    <t>Q1Y27</t>
  </si>
  <si>
    <t>Q2Y27</t>
  </si>
  <si>
    <t>Q3Y27</t>
  </si>
  <si>
    <t>Q4Y27</t>
  </si>
  <si>
    <t>Sales</t>
  </si>
  <si>
    <t>WACC</t>
  </si>
  <si>
    <t>Gross Profit</t>
  </si>
  <si>
    <t>SG&amp;A</t>
  </si>
  <si>
    <t>R&amp;D</t>
  </si>
  <si>
    <t>OPEX</t>
  </si>
  <si>
    <t>EBIT (Operating Profit)</t>
  </si>
  <si>
    <t>D&amp;A</t>
  </si>
  <si>
    <t>EBITDA</t>
  </si>
  <si>
    <t>EBT (Income Before Taxes)</t>
  </si>
  <si>
    <t>Taxes Paid</t>
  </si>
  <si>
    <t>Net Income (from Continuing Ops)</t>
  </si>
  <si>
    <t>Additional Net Income from Discontinued Ops</t>
  </si>
  <si>
    <t>Total Net Income</t>
  </si>
  <si>
    <t>Shares Outstanding</t>
  </si>
  <si>
    <t>EPS</t>
  </si>
  <si>
    <t xml:space="preserve">Plus: D&amp;A </t>
  </si>
  <si>
    <t>Less: CapEx</t>
  </si>
  <si>
    <t>(Increase) Decrease in Working
Capital from previous year</t>
  </si>
  <si>
    <t>Unlevered Free Cash Flow
(EBIT+D&amp;A+CapEx+WC)</t>
  </si>
  <si>
    <t>Marginal Tax Rate</t>
  </si>
  <si>
    <t>Gross Margin</t>
  </si>
  <si>
    <t>Q/Q Revenue Growth</t>
  </si>
  <si>
    <t xml:space="preserve">Net Profit Percentage </t>
  </si>
  <si>
    <t>COGS as a % of Sales</t>
  </si>
  <si>
    <t>SG&amp;A as a % of Sales</t>
  </si>
  <si>
    <t>R&amp;D as a % of Sales</t>
  </si>
  <si>
    <t>Interest Income as % of Sales</t>
  </si>
  <si>
    <t>Capital Expenditures (CapEx)</t>
  </si>
  <si>
    <t xml:space="preserve">Capital Expenditures as a %
of Revenue </t>
  </si>
  <si>
    <t>Current Assets</t>
  </si>
  <si>
    <t>Current Liabilities</t>
  </si>
  <si>
    <t>Working Capital</t>
  </si>
  <si>
    <t>Current Assets:</t>
  </si>
  <si>
    <t>Cash</t>
  </si>
  <si>
    <t>Short-Term Investments</t>
  </si>
  <si>
    <t>Accounts Receivable</t>
  </si>
  <si>
    <t>Inventory</t>
  </si>
  <si>
    <t>Other CA</t>
  </si>
  <si>
    <t>Total CA</t>
  </si>
  <si>
    <t>PPE</t>
  </si>
  <si>
    <t>Goodwill</t>
  </si>
  <si>
    <t>Other Net Intangibles</t>
  </si>
  <si>
    <t>Other Assets</t>
  </si>
  <si>
    <t>Total Assets</t>
  </si>
  <si>
    <t>Liabilities:</t>
  </si>
  <si>
    <t>Current Liabilities:</t>
  </si>
  <si>
    <t>Loans Payable</t>
  </si>
  <si>
    <t>Accounts Payable</t>
  </si>
  <si>
    <t>Other Current Liabilities</t>
  </si>
  <si>
    <t>Income Tax Payable</t>
  </si>
  <si>
    <t>Total CL</t>
  </si>
  <si>
    <t>Deferred Income Tax</t>
  </si>
  <si>
    <t>Other Noncurrent Liabilities</t>
  </si>
  <si>
    <t>Total Liabilities</t>
  </si>
  <si>
    <t>Stockholder's Equity</t>
  </si>
  <si>
    <t>Other Paid-In Capital</t>
  </si>
  <si>
    <t>Retained Earnings</t>
  </si>
  <si>
    <t>Accumulated Other Comphrehensive Loss</t>
  </si>
  <si>
    <t>Less Treasury Stock, at Cost</t>
  </si>
  <si>
    <t>Total Stockholders' Equity</t>
  </si>
  <si>
    <t>Sum of Total Liabiltiies and Equity</t>
  </si>
  <si>
    <t>Deferred Taxes</t>
  </si>
  <si>
    <t>Cash Flows from Operating Activities of Continuing Operations:</t>
  </si>
  <si>
    <t>Net Income from Continuing Operations</t>
  </si>
  <si>
    <t>Adjustments to reconcile net income from continuing operations to 
net cash provided by operating activities of continuing operations:</t>
  </si>
  <si>
    <t>Deferred Income Taxes</t>
  </si>
  <si>
    <t>Net Cash Provided by Operating Activities of Continuing Ops</t>
  </si>
  <si>
    <t>Cash Flows from Investing Activities:</t>
  </si>
  <si>
    <t>Net Cash used in Investing Activities</t>
  </si>
  <si>
    <t>Cash Flows from Financing Activities:</t>
  </si>
  <si>
    <t>Net Cash used in Financing Activities</t>
  </si>
  <si>
    <t>Cash from Discontinued Operations</t>
  </si>
  <si>
    <t>Net Cash provided by Operating Activities</t>
  </si>
  <si>
    <t>Net cash used in Investing Activities</t>
  </si>
  <si>
    <t>Net Cash Flows provided by Discontinued Operations</t>
  </si>
  <si>
    <t>Effect of Exchange Rate Changes on Cash, Cash Equivalents &amp;
Restricted Cash</t>
  </si>
  <si>
    <t xml:space="preserve">Net Increase(Decrease) in Cash, Cash Equivalents &amp; 
Restricted Cash </t>
  </si>
  <si>
    <t>Cash, Cash Equivalents &amp; Restricted Cash at Beginning of Year</t>
  </si>
  <si>
    <t>Less: Cash &amp; Cash Equivalents related to discontinued Ops</t>
  </si>
  <si>
    <t>Cash, Cash Equivalents &amp; Restricted Cash at End of Period</t>
  </si>
  <si>
    <t>Stock Based Compensation</t>
  </si>
  <si>
    <t>Changes in Assets &amp; Liabilities, Net of effects from 
Acquisitions &amp; Diverstitures</t>
  </si>
  <si>
    <t>Capex</t>
  </si>
  <si>
    <t>Acqusitions</t>
  </si>
  <si>
    <t>Fair value of Assets Acquired</t>
  </si>
  <si>
    <t>Fair Value of Liuabilities assumed and noncontrolling Interests</t>
  </si>
  <si>
    <t>Net Cash Paid for Acquistions</t>
  </si>
  <si>
    <t>Interest Income</t>
  </si>
  <si>
    <t>Depreciation as a % of CapEx</t>
  </si>
  <si>
    <t>Template Stock</t>
  </si>
  <si>
    <t>Trade Receivables</t>
  </si>
  <si>
    <t>Trade Payables</t>
  </si>
  <si>
    <t>Net Trade Cycle</t>
  </si>
  <si>
    <t>Selected Case</t>
  </si>
  <si>
    <t>DSO</t>
  </si>
  <si>
    <t>DIO</t>
  </si>
  <si>
    <t>DPO</t>
  </si>
  <si>
    <t>Using Average</t>
  </si>
  <si>
    <t>Using Most Recent</t>
  </si>
  <si>
    <t>Legend:</t>
  </si>
  <si>
    <t>Case 1 = Using Average Scenario</t>
  </si>
  <si>
    <t>Case 2 = Using Most Recent
 (Q1Y22) Scenario</t>
  </si>
  <si>
    <t>Long term debt</t>
  </si>
  <si>
    <t>Interest Expenses</t>
  </si>
  <si>
    <t>Interest Rate</t>
  </si>
  <si>
    <t>Unlevered Free Cash Flow
(NOPAT+D&amp;A+CapEx+WC)</t>
  </si>
  <si>
    <t>Equity</t>
  </si>
  <si>
    <t>Debt</t>
  </si>
  <si>
    <t>G</t>
  </si>
  <si>
    <t>UFCF</t>
  </si>
  <si>
    <t>Discount Factor</t>
  </si>
  <si>
    <t>Present Value</t>
  </si>
  <si>
    <t>PV of Cash Flows</t>
  </si>
  <si>
    <t>Continuing Value</t>
  </si>
  <si>
    <t>PV of Continuing Value</t>
  </si>
  <si>
    <t>EV</t>
  </si>
  <si>
    <t>Financial Liability</t>
  </si>
  <si>
    <t>Equity Value</t>
  </si>
  <si>
    <t>S/O</t>
  </si>
  <si>
    <t>TRIKAFTA / KAFTRIO</t>
  </si>
  <si>
    <t>SYMDEKO / SYMKEVI</t>
  </si>
  <si>
    <t>KAYLDECO</t>
  </si>
  <si>
    <t>ORKAMBI</t>
  </si>
  <si>
    <t>Acquired In Process R&amp;D</t>
  </si>
  <si>
    <t>Change in Fair Value of Contingent Consideration</t>
  </si>
  <si>
    <t>Operating Lease Assets</t>
  </si>
  <si>
    <t>-</t>
  </si>
  <si>
    <t>Accrued Liabilities / Expenses</t>
  </si>
  <si>
    <t>Long-Term Finance lease Liabilities</t>
  </si>
  <si>
    <t>Long -Term Operating Lease Liabilities</t>
  </si>
  <si>
    <t>Long-Term Contingent Consideration</t>
  </si>
  <si>
    <t>Common Stock</t>
  </si>
  <si>
    <t>Balance:</t>
  </si>
  <si>
    <t xml:space="preserve"> </t>
  </si>
  <si>
    <t>Other non-cash Items, net</t>
  </si>
  <si>
    <t>Inventories</t>
  </si>
  <si>
    <t xml:space="preserve"> Other Current and Non-Current Liabilities</t>
  </si>
  <si>
    <t>Accrued Expenses</t>
  </si>
  <si>
    <t xml:space="preserve">Accounts Payable </t>
  </si>
  <si>
    <t xml:space="preserve">Prepaid Expenses </t>
  </si>
  <si>
    <t>Purchases of Available-for-sale debt securities</t>
  </si>
  <si>
    <t>Maturities of Available-for-sale debt securities</t>
  </si>
  <si>
    <t>Repurchases of Common Stock</t>
  </si>
  <si>
    <t>Payments in connection with common stock witheld for employee tax</t>
  </si>
  <si>
    <t>Payments on Finance Leases</t>
  </si>
  <si>
    <t>Proceeds from Finance Leases</t>
  </si>
  <si>
    <t>Other Financing Activities</t>
  </si>
  <si>
    <t>Supplemental Disclosures</t>
  </si>
  <si>
    <t>Cash Paid for Interest</t>
  </si>
  <si>
    <t>Cash Paid for Income Taxes</t>
  </si>
  <si>
    <t>Y21</t>
  </si>
  <si>
    <t>Increase (Decrease) in Fair Value of Contingent Consideration</t>
  </si>
  <si>
    <t>Collaborative &amp; Royality Revenues</t>
  </si>
  <si>
    <t>Issuances of Common Stock under benefits Plan</t>
  </si>
  <si>
    <t>Other Income Expenses (Interest Benefits)</t>
  </si>
  <si>
    <t>Issuances of common stock frome employee benefits plans receivable</t>
  </si>
  <si>
    <t>Sale and Investment in Equity Securities and Notes Receivable, Others</t>
  </si>
  <si>
    <t>Cost of Sales</t>
  </si>
  <si>
    <t>Losses (Gains) on Equity Securities</t>
  </si>
  <si>
    <t>Tax Rate with the tax benefits</t>
  </si>
  <si>
    <t>Revenue</t>
  </si>
  <si>
    <t>COGS</t>
  </si>
  <si>
    <t>Opex</t>
  </si>
  <si>
    <t>FX Gains/Losses</t>
  </si>
  <si>
    <t>Interest Income as a % of Sales</t>
  </si>
  <si>
    <t>Taxes</t>
  </si>
  <si>
    <t>Shares</t>
  </si>
  <si>
    <t>Base Case</t>
  </si>
  <si>
    <t>Best Case</t>
  </si>
  <si>
    <t>Worst Case</t>
  </si>
  <si>
    <t>Shares Outstanding Growth Rate</t>
  </si>
  <si>
    <t>TRIKAFTA / KAFTRIO Reveneue Growth</t>
  </si>
  <si>
    <t>SYMDEKO / SYMKEVI Revenue Growth</t>
  </si>
  <si>
    <t>ORKAMBI Revenue Growth</t>
  </si>
  <si>
    <t>KAYLDECO Revenue Growth</t>
  </si>
  <si>
    <t>Name</t>
  </si>
  <si>
    <t>Indication</t>
  </si>
  <si>
    <t>Approved</t>
  </si>
  <si>
    <t>Economics</t>
  </si>
  <si>
    <t>Price</t>
  </si>
  <si>
    <t>Market Cap</t>
  </si>
  <si>
    <t>Admin</t>
  </si>
  <si>
    <t>IP</t>
  </si>
  <si>
    <t>Pipeline</t>
  </si>
  <si>
    <t>Mechanism of Action (MOA)</t>
  </si>
  <si>
    <t>OKRAMBI (Lumacaftor)</t>
  </si>
  <si>
    <t>KAYLDECO (Ivacaftor)</t>
  </si>
  <si>
    <t>CF</t>
  </si>
  <si>
    <t>*CF = Cystic Fibrosis</t>
  </si>
  <si>
    <t>Increasing CFTR Delivery</t>
  </si>
  <si>
    <t>SYMDEKO / SYMKEVI (tezacaftor/ivacaftor)</t>
  </si>
  <si>
    <r>
      <t>TRIKAFTA / KAFTRIO (</t>
    </r>
    <r>
      <rPr>
        <sz val="12"/>
        <color theme="1"/>
        <rFont val="TimesNewRomanPSMT"/>
      </rPr>
      <t>Elexacaftor/ivacaftor/tezacaftor</t>
    </r>
    <r>
      <rPr>
        <b/>
        <sz val="12"/>
        <color theme="1"/>
        <rFont val="TimesNewRomanPSMT"/>
      </rPr>
      <t>)</t>
    </r>
  </si>
  <si>
    <t>CFTR Delivery &amp; Cl- channel opening</t>
  </si>
  <si>
    <t>Oral</t>
  </si>
  <si>
    <t>VX121 + Tezacaftor + VX-561</t>
  </si>
  <si>
    <t>Phase</t>
  </si>
  <si>
    <t>III</t>
  </si>
  <si>
    <t>VX-548</t>
  </si>
  <si>
    <t xml:space="preserve">Pain </t>
  </si>
  <si>
    <t>Exa-cel</t>
  </si>
  <si>
    <t>Sickle Cell</t>
  </si>
  <si>
    <t>II/III</t>
  </si>
  <si>
    <t>CRISPR</t>
  </si>
  <si>
    <t>VX-864</t>
  </si>
  <si>
    <t>II</t>
  </si>
  <si>
    <t>AATD</t>
  </si>
  <si>
    <t>VX-147</t>
  </si>
  <si>
    <t>APOL1</t>
  </si>
  <si>
    <t>VX-880</t>
  </si>
  <si>
    <t>T1 Diabetes</t>
  </si>
  <si>
    <t>I/II</t>
  </si>
  <si>
    <t>Outlicensed Pipeline</t>
  </si>
  <si>
    <t>VX-970</t>
  </si>
  <si>
    <t>VX-803</t>
  </si>
  <si>
    <t>VX-984</t>
  </si>
  <si>
    <t>Cancer</t>
  </si>
  <si>
    <t>MRK</t>
  </si>
  <si>
    <t>I</t>
  </si>
  <si>
    <t>Dividend</t>
  </si>
  <si>
    <t>Q3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</si>
</sst>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44" formatCode="_(&quot;$&quot;* #,##0.00_);_(&quot;$&quot;* \(#,##0.00\);_(&quot;$&quot;* &quot;-&quot;??_);_(@_)"/>
    <numFmt numFmtId="43" formatCode="_(* #,##0.00_);_(* \(#,##0.00\);_(* &quot;-&quot;??_);_(@_)"/>
    <numFmt numFmtId="164" formatCode="_(&quot;$&quot;* #,##0_);_(&quot;$&quot;* \(#,##0\);_(&quot;$&quot;* &quot;-&quot;??_);_(@_)"/>
    <numFmt numFmtId="165" formatCode="0.0"/>
    <numFmt numFmtId="166" formatCode="&quot;$&quot;#,##0.000_);[Red]\(&quot;$&quot;#,##0.000\)"/>
    <numFmt numFmtId="167" formatCode="_(&quot;$&quot;* #,##0.0_);_(&quot;$&quot;* \(#,##0.0\);_(&quot;$&quot;* &quot;-&quot;??_);_(@_)"/>
    <numFmt numFmtId="168" formatCode="_(&quot;$&quot;* #,##0.000_);_(&quot;$&quot;* \(#,##0.000\);_(&quot;$&quot;* &quot;-&quot;??_);_(@_)"/>
    <numFmt numFmtId="169" formatCode="0.0%"/>
    <numFmt numFmtId="170" formatCode="0.000000000000000%"/>
    <numFmt numFmtId="171" formatCode="_([$$-409]* #,##0_);_([$$-409]* \(#,##0\);_([$$-409]* &quot;-&quot;_);_(@_)"/>
    <numFmt numFmtId="172" formatCode="_([$$-409]* #,##0.00_);_([$$-409]* \(#,##0.00\);_([$$-409]* &quot;-&quot;??_);_(@_)"/>
  </numFmts>
  <fonts count="21">
    <font>
      <sz val="12"/>
      <color theme="1"/>
      <name val="TimesNewRomanPSMT"/>
      <family val="2"/>
    </font>
    <font>
      <sz val="12"/>
      <color theme="0"/>
      <name val="TimesNewRomanPSMT"/>
      <family val="2"/>
    </font>
    <font>
      <sz val="12"/>
      <color theme="1"/>
      <name val="TimesNewRomanPSMT"/>
    </font>
    <font>
      <b/>
      <sz val="12"/>
      <color theme="1"/>
      <name val="TimesNewRomanPSMT"/>
    </font>
    <font>
      <b/>
      <sz val="12"/>
      <color theme="1"/>
      <name val="Calibri"/>
      <family val="2"/>
      <scheme val="minor"/>
    </font>
    <font>
      <sz val="10"/>
      <name val="Arial"/>
      <family val="2"/>
    </font>
    <font>
      <sz val="12"/>
      <name val="Times Roman"/>
    </font>
    <font>
      <sz val="12"/>
      <name val="Times New Roman"/>
      <family val="1"/>
    </font>
    <font>
      <sz val="12"/>
      <color theme="1"/>
      <name val="Times Roman"/>
    </font>
    <font>
      <sz val="12"/>
      <color theme="1"/>
      <name val="Times New Roman"/>
      <family val="1"/>
    </font>
    <font>
      <b/>
      <sz val="12"/>
      <color theme="1"/>
      <name val="Times New Roman"/>
      <family val="1"/>
    </font>
    <font>
      <sz val="12"/>
      <color theme="1"/>
      <name val="TimesNewRomanPSMT"/>
      <family val="2"/>
    </font>
    <font>
      <sz val="12"/>
      <color rgb="FFFF0000"/>
      <name val="TimesNewRomanPSMT"/>
      <family val="2"/>
    </font>
    <font>
      <b/>
      <sz val="12"/>
      <color theme="4" tint="-0.499984740745262"/>
      <name val="Calibri"/>
      <family val="2"/>
      <scheme val="minor"/>
    </font>
    <font>
      <sz val="12"/>
      <color rgb="FF000000"/>
      <name val="Times New Roman"/>
      <family val="1"/>
    </font>
    <font>
      <sz val="9"/>
      <color theme="1"/>
      <name val="Arial"/>
      <family val="2"/>
    </font>
    <font>
      <b/>
      <sz val="12"/>
      <color rgb="FFFF0000"/>
      <name val="Calibri"/>
      <family val="2"/>
      <scheme val="minor"/>
    </font>
    <font>
      <u/>
      <sz val="12"/>
      <color theme="1"/>
      <name val="TimesNewRomanPSMT"/>
      <family val="2"/>
    </font>
    <font>
      <b/>
      <i/>
      <sz val="12"/>
      <color theme="1"/>
      <name val="Times New Roman"/>
      <family val="1"/>
    </font>
    <font>
      <sz val="12"/>
      <color rgb="FF000000"/>
      <name val="TimesNewRomanPSMT"/>
      <family val="2"/>
    </font>
    <font>
      <b/>
      <i/>
      <sz val="12"/>
      <color theme="0"/>
      <name val="Times New Roman"/>
      <family val="1"/>
    </font>
  </fonts>
  <fills count="7">
    <fill>
      <patternFill patternType="none"/>
    </fill>
    <fill>
      <patternFill patternType="gray125"/>
    </fill>
    <fill>
      <patternFill patternType="solid">
        <fgColor theme="3"/>
        <bgColor indexed="64"/>
      </patternFill>
    </fill>
    <fill>
      <patternFill patternType="solid">
        <fgColor theme="0" tint="-0.14999847407452621"/>
        <bgColor indexed="64"/>
      </patternFill>
    </fill>
    <fill>
      <patternFill patternType="gray0625">
        <bgColor theme="3" tint="-0.24994659260841701"/>
      </patternFill>
    </fill>
    <fill>
      <patternFill patternType="solid">
        <fgColor theme="3" tint="-0.249977111117893"/>
        <bgColor indexed="64"/>
      </patternFill>
    </fill>
    <fill>
      <patternFill patternType="solid">
        <fgColor theme="0"/>
        <bgColor indexed="64"/>
      </patternFill>
    </fill>
  </fills>
  <borders count="13">
    <border>
      <left/>
      <right/>
      <top/>
      <bottom/>
      <diagonal/>
    </border>
    <border>
      <left/>
      <right/>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0" fontId="5"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cellStyleXfs>
  <cellXfs count="91">
    <xf numFmtId="0" fontId="0" fillId="0" borderId="0" xfId="0"/>
    <xf numFmtId="0" fontId="2" fillId="0" borderId="0" xfId="0" applyFont="1" applyAlignment="1">
      <alignment horizontal="left"/>
    </xf>
    <xf numFmtId="0" fontId="3" fillId="0" borderId="1" xfId="0" applyFont="1" applyBorder="1"/>
    <xf numFmtId="164" fontId="0" fillId="0" borderId="1" xfId="0" applyNumberFormat="1" applyBorder="1"/>
    <xf numFmtId="164" fontId="0" fillId="0" borderId="0" xfId="0" applyNumberFormat="1"/>
    <xf numFmtId="0" fontId="4" fillId="0" borderId="0" xfId="0" applyFont="1"/>
    <xf numFmtId="10" fontId="4" fillId="0" borderId="0" xfId="0" applyNumberFormat="1" applyFont="1"/>
    <xf numFmtId="164" fontId="6" fillId="0" borderId="0" xfId="1" applyNumberFormat="1" applyFont="1" applyAlignment="1">
      <alignment horizontal="right" vertical="center"/>
    </xf>
    <xf numFmtId="164" fontId="7" fillId="0" borderId="0" xfId="1" applyNumberFormat="1" applyFont="1" applyAlignment="1">
      <alignment horizontal="left" vertical="center"/>
    </xf>
    <xf numFmtId="0" fontId="0" fillId="0" borderId="1" xfId="0" applyBorder="1"/>
    <xf numFmtId="164" fontId="8" fillId="0" borderId="0" xfId="0" applyNumberFormat="1" applyFont="1"/>
    <xf numFmtId="0" fontId="2" fillId="0" borderId="0" xfId="0" applyFont="1"/>
    <xf numFmtId="1" fontId="0" fillId="0" borderId="0" xfId="0" applyNumberFormat="1"/>
    <xf numFmtId="44" fontId="0" fillId="0" borderId="0" xfId="0" applyNumberFormat="1"/>
    <xf numFmtId="2" fontId="0" fillId="0" borderId="0" xfId="0" applyNumberFormat="1"/>
    <xf numFmtId="0" fontId="9" fillId="0" borderId="0" xfId="0" applyFont="1" applyAlignment="1">
      <alignment vertical="center"/>
    </xf>
    <xf numFmtId="0" fontId="9" fillId="0" borderId="0" xfId="0" applyFont="1" applyAlignment="1">
      <alignment vertical="center" wrapText="1"/>
    </xf>
    <xf numFmtId="0" fontId="10" fillId="0" borderId="0" xfId="0" applyFont="1" applyAlignment="1">
      <alignment vertical="center" wrapText="1"/>
    </xf>
    <xf numFmtId="0" fontId="1" fillId="2" borderId="2" xfId="0" applyFont="1" applyFill="1" applyBorder="1"/>
    <xf numFmtId="0" fontId="1" fillId="2" borderId="1" xfId="0" applyFont="1" applyFill="1" applyBorder="1"/>
    <xf numFmtId="0" fontId="3" fillId="0" borderId="0" xfId="0" applyFont="1"/>
    <xf numFmtId="0" fontId="0" fillId="0" borderId="0" xfId="0" applyAlignment="1">
      <alignment wrapText="1"/>
    </xf>
    <xf numFmtId="0" fontId="3" fillId="0" borderId="0" xfId="0" applyFont="1" applyAlignment="1">
      <alignment wrapText="1"/>
    </xf>
    <xf numFmtId="164" fontId="3" fillId="0" borderId="0" xfId="0" applyNumberFormat="1" applyFont="1"/>
    <xf numFmtId="10" fontId="0" fillId="0" borderId="0" xfId="0" applyNumberFormat="1"/>
    <xf numFmtId="9" fontId="0" fillId="0" borderId="0" xfId="0" applyNumberFormat="1"/>
    <xf numFmtId="0" fontId="0" fillId="0" borderId="3" xfId="0" applyBorder="1"/>
    <xf numFmtId="0" fontId="4" fillId="0" borderId="4" xfId="0" applyFont="1" applyBorder="1"/>
    <xf numFmtId="0" fontId="13" fillId="0" borderId="0" xfId="0" applyFont="1"/>
    <xf numFmtId="165" fontId="0" fillId="0" borderId="0" xfId="0" applyNumberFormat="1"/>
    <xf numFmtId="164" fontId="9" fillId="0" borderId="0" xfId="0" applyNumberFormat="1" applyFont="1"/>
    <xf numFmtId="164" fontId="14" fillId="0" borderId="0" xfId="0" applyNumberFormat="1" applyFont="1" applyAlignment="1">
      <alignment horizontal="right"/>
    </xf>
    <xf numFmtId="0" fontId="9" fillId="0" borderId="0" xfId="0" applyFont="1"/>
    <xf numFmtId="0" fontId="0" fillId="0" borderId="0" xfId="0" applyAlignment="1">
      <alignment horizontal="center" vertical="center"/>
    </xf>
    <xf numFmtId="0" fontId="2" fillId="0" borderId="0" xfId="0" applyFont="1" applyAlignment="1">
      <alignment horizontal="center" vertical="center"/>
    </xf>
    <xf numFmtId="43" fontId="15" fillId="3" borderId="0" xfId="2" applyFont="1" applyFill="1" applyBorder="1"/>
    <xf numFmtId="0" fontId="0" fillId="0" borderId="5" xfId="0" applyBorder="1"/>
    <xf numFmtId="0" fontId="0" fillId="0" borderId="6" xfId="0" applyBorder="1"/>
    <xf numFmtId="164" fontId="0" fillId="0" borderId="7" xfId="0" applyNumberFormat="1" applyBorder="1"/>
    <xf numFmtId="0" fontId="12" fillId="0" borderId="0" xfId="0" applyFont="1"/>
    <xf numFmtId="164" fontId="12" fillId="0" borderId="0" xfId="0" applyNumberFormat="1" applyFont="1"/>
    <xf numFmtId="0" fontId="0" fillId="0" borderId="8" xfId="0" applyBorder="1"/>
    <xf numFmtId="164" fontId="0" fillId="0" borderId="9" xfId="0" applyNumberFormat="1" applyBorder="1"/>
    <xf numFmtId="0" fontId="16" fillId="0" borderId="0" xfId="0" applyFont="1"/>
    <xf numFmtId="164" fontId="0" fillId="0" borderId="10" xfId="0" applyNumberFormat="1" applyBorder="1"/>
    <xf numFmtId="6" fontId="0" fillId="0" borderId="0" xfId="0" applyNumberFormat="1"/>
    <xf numFmtId="0" fontId="0" fillId="0" borderId="9" xfId="0" applyBorder="1"/>
    <xf numFmtId="1" fontId="0" fillId="0" borderId="9" xfId="0" applyNumberFormat="1" applyBorder="1"/>
    <xf numFmtId="1" fontId="12" fillId="0" borderId="0" xfId="0" applyNumberFormat="1" applyFont="1"/>
    <xf numFmtId="166" fontId="0" fillId="0" borderId="0" xfId="0" applyNumberFormat="1"/>
    <xf numFmtId="0" fontId="0" fillId="0" borderId="11" xfId="0" applyBorder="1"/>
    <xf numFmtId="44" fontId="0" fillId="0" borderId="12" xfId="0" applyNumberFormat="1" applyBorder="1"/>
    <xf numFmtId="165" fontId="12" fillId="0" borderId="0" xfId="0" applyNumberFormat="1" applyFont="1"/>
    <xf numFmtId="167" fontId="0" fillId="0" borderId="0" xfId="0" applyNumberFormat="1"/>
    <xf numFmtId="167" fontId="3" fillId="0" borderId="0" xfId="0" applyNumberFormat="1" applyFont="1"/>
    <xf numFmtId="167" fontId="0" fillId="0" borderId="1" xfId="0" applyNumberFormat="1" applyBorder="1"/>
    <xf numFmtId="1" fontId="1" fillId="2" borderId="2" xfId="0" applyNumberFormat="1" applyFont="1" applyFill="1" applyBorder="1"/>
    <xf numFmtId="1" fontId="1" fillId="2" borderId="1" xfId="0" applyNumberFormat="1" applyFont="1" applyFill="1" applyBorder="1"/>
    <xf numFmtId="168" fontId="0" fillId="0" borderId="0" xfId="0" applyNumberFormat="1"/>
    <xf numFmtId="0" fontId="17" fillId="0" borderId="0" xfId="0" applyFont="1"/>
    <xf numFmtId="168" fontId="3" fillId="0" borderId="0" xfId="0" applyNumberFormat="1" applyFont="1"/>
    <xf numFmtId="168" fontId="6" fillId="0" borderId="0" xfId="1" applyNumberFormat="1" applyFont="1" applyAlignment="1">
      <alignment horizontal="right" vertical="center"/>
    </xf>
    <xf numFmtId="44" fontId="0" fillId="0" borderId="1" xfId="0" applyNumberFormat="1" applyBorder="1"/>
    <xf numFmtId="0" fontId="0" fillId="4" borderId="0" xfId="0" applyFill="1"/>
    <xf numFmtId="9" fontId="0" fillId="0" borderId="0" xfId="4" applyFont="1"/>
    <xf numFmtId="44" fontId="9" fillId="0" borderId="0" xfId="0" applyNumberFormat="1" applyFont="1"/>
    <xf numFmtId="44" fontId="0" fillId="4" borderId="0" xfId="0" applyNumberFormat="1" applyFill="1"/>
    <xf numFmtId="44" fontId="0" fillId="0" borderId="0" xfId="4" applyNumberFormat="1" applyFont="1"/>
    <xf numFmtId="10" fontId="0" fillId="0" borderId="0" xfId="4" applyNumberFormat="1" applyFont="1"/>
    <xf numFmtId="1" fontId="0" fillId="0" borderId="0" xfId="4" applyNumberFormat="1" applyFont="1"/>
    <xf numFmtId="0" fontId="18" fillId="0" borderId="0" xfId="0" applyFont="1"/>
    <xf numFmtId="164" fontId="0" fillId="4" borderId="0" xfId="0" applyNumberFormat="1" applyFill="1"/>
    <xf numFmtId="169" fontId="0" fillId="0" borderId="0" xfId="0" applyNumberFormat="1"/>
    <xf numFmtId="10" fontId="19" fillId="0" borderId="0" xfId="0" applyNumberFormat="1" applyFont="1"/>
    <xf numFmtId="0" fontId="20" fillId="5" borderId="0" xfId="0" applyFont="1" applyFill="1"/>
    <xf numFmtId="0" fontId="1" fillId="5" borderId="0" xfId="0" applyFont="1" applyFill="1"/>
    <xf numFmtId="169" fontId="0" fillId="0" borderId="0" xfId="4" applyNumberFormat="1" applyFont="1"/>
    <xf numFmtId="170" fontId="0" fillId="0" borderId="0" xfId="0" applyNumberFormat="1"/>
    <xf numFmtId="164" fontId="0" fillId="0" borderId="0" xfId="3" applyNumberFormat="1" applyFont="1"/>
    <xf numFmtId="1" fontId="0" fillId="0" borderId="4" xfId="0" applyNumberFormat="1" applyBorder="1"/>
    <xf numFmtId="0" fontId="0" fillId="6" borderId="0" xfId="0" applyFill="1"/>
    <xf numFmtId="0" fontId="0" fillId="6" borderId="0" xfId="0" applyFill="1" applyAlignment="1">
      <alignment horizontal="center"/>
    </xf>
    <xf numFmtId="14" fontId="0" fillId="6" borderId="0" xfId="0" applyNumberFormat="1" applyFill="1"/>
    <xf numFmtId="9" fontId="0" fillId="6" borderId="0" xfId="0" applyNumberFormat="1" applyFill="1"/>
    <xf numFmtId="171" fontId="0" fillId="6" borderId="0" xfId="0" applyNumberFormat="1" applyFill="1"/>
    <xf numFmtId="172" fontId="0" fillId="6" borderId="0" xfId="0" applyNumberFormat="1" applyFill="1"/>
    <xf numFmtId="3" fontId="0" fillId="6" borderId="0" xfId="0" applyNumberFormat="1" applyFill="1"/>
    <xf numFmtId="1" fontId="0" fillId="6" borderId="0" xfId="0" applyNumberFormat="1" applyFill="1"/>
    <xf numFmtId="164" fontId="0" fillId="6" borderId="0" xfId="3" applyNumberFormat="1" applyFont="1" applyFill="1"/>
    <xf numFmtId="164" fontId="0" fillId="0" borderId="1" xfId="3" applyNumberFormat="1" applyFont="1" applyBorder="1"/>
    <xf numFmtId="2" fontId="1" fillId="2" borderId="2" xfId="0" applyNumberFormat="1" applyFont="1" applyFill="1" applyBorder="1"/>
  </cellXfs>
  <cellStyles count="5">
    <cellStyle name="Comma" xfId="2" builtinId="3"/>
    <cellStyle name="Currency" xfId="3" builtinId="4"/>
    <cellStyle name="Normal" xfId="0" builtinId="0"/>
    <cellStyle name="Normal_New Co Proforma GAAP to NonGAAP P&amp;L" xfId="1" xr:uid="{81B64779-3823-444D-8CDD-AAEDE774F6A4}"/>
    <cellStyle name="Per 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externalLink" Target="externalLinks/externalLink2.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u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erc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come Statement"/>
      <sheetName val="Balance Sheet"/>
      <sheetName val="Cash Flow Statement"/>
      <sheetName val="D&amp;A_CapEx"/>
      <sheetName val="WC (Days)"/>
      <sheetName val="Interest Financing"/>
      <sheetName val="DCF_Sens"/>
      <sheetName val="Charts"/>
      <sheetName val="Current Issues"/>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ivers &amp; Assumptions"/>
      <sheetName val="Income Statement"/>
      <sheetName val="Balance Sheet"/>
      <sheetName val="CF Statement"/>
      <sheetName val="D&amp;A_CapEx"/>
      <sheetName val="WC (Days Evaluation)"/>
      <sheetName val="Interest Financing"/>
      <sheetName val="DCF"/>
      <sheetName val="Charts"/>
      <sheetName val="Drug Patents &amp; Info"/>
      <sheetName val="Management"/>
      <sheetName val="M&amp;A"/>
    </sheetNames>
    <sheetDataSet>
      <sheetData sheetId="0"/>
      <sheetData sheetId="1">
        <row r="71">
          <cell r="W71">
            <v>5099.5944798234368</v>
          </cell>
          <cell r="X71">
            <v>5214.3353556194634</v>
          </cell>
          <cell r="Y71">
            <v>5331.6579011209014</v>
          </cell>
          <cell r="Z71">
            <v>5451.620203896121</v>
          </cell>
          <cell r="AA71">
            <v>5574.2816584837838</v>
          </cell>
          <cell r="AB71">
            <v>5699.7029957996683</v>
          </cell>
          <cell r="AC71">
            <v>5827.9463132051605</v>
          </cell>
          <cell r="AD71">
            <v>5959.0751052522764</v>
          </cell>
          <cell r="AE71">
            <v>6093.1542951204528</v>
          </cell>
          <cell r="AF71">
            <v>6230.2502667606623</v>
          </cell>
          <cell r="AG71">
            <v>6370.430897762777</v>
          </cell>
          <cell r="AH71">
            <v>6513.7655929624389</v>
          </cell>
          <cell r="AI71">
            <v>4987.5</v>
          </cell>
          <cell r="AJ71">
            <v>5099.71875</v>
          </cell>
          <cell r="AK71">
            <v>5214.4624218749996</v>
          </cell>
          <cell r="AL71">
            <v>5331.7878263671864</v>
          </cell>
          <cell r="AM71">
            <v>5451.7530524604472</v>
          </cell>
          <cell r="AN71">
            <v>5574.417496140808</v>
          </cell>
          <cell r="AO71">
            <v>5699.8418898039763</v>
          </cell>
          <cell r="AP71">
            <v>5828.0883323245662</v>
          </cell>
          <cell r="AQ71">
            <v>5959.2203198018678</v>
          </cell>
        </row>
        <row r="92">
          <cell r="D92">
            <v>1867</v>
          </cell>
          <cell r="E92">
            <v>3947</v>
          </cell>
          <cell r="F92">
            <v>2824</v>
          </cell>
          <cell r="G92">
            <v>5603</v>
          </cell>
          <cell r="H92">
            <v>2795</v>
          </cell>
          <cell r="I92">
            <v>3328</v>
          </cell>
          <cell r="J92">
            <v>137</v>
          </cell>
          <cell r="K92">
            <v>4485</v>
          </cell>
          <cell r="L92">
            <v>4359</v>
          </cell>
          <cell r="M92">
            <v>5142</v>
          </cell>
          <cell r="N92">
            <v>-9053</v>
          </cell>
          <cell r="O92">
            <v>3918</v>
          </cell>
          <cell r="P92">
            <v>5251</v>
          </cell>
          <cell r="Q92">
            <v>3066</v>
          </cell>
          <cell r="R92">
            <v>3704</v>
          </cell>
          <cell r="S92">
            <v>7697</v>
          </cell>
        </row>
      </sheetData>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Microsoft Office User" id="{E0170CB4-AB76-5F44-BF61-ACFDA5A2012B}" userId="Microsoft Office User" providerId="Non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https://www.bing.com/financeapi/forcetrigger?t=a25k5r&amp;q=XNAS%3aVRTX&amp;form=skydnc</v>
    <v>Learn more on Bing</v>
  </rv>
  <rv s="1">
    <v>0</v>
    <v>VERTEX PHARMACEUTICALS INCORPORATED (XNAS:VRTX)</v>
    <v>2</v>
    <v>3</v>
    <v>Finance</v>
    <v>4</v>
    <v>en-GB</v>
    <v>a25k5r</v>
    <v>268435456</v>
    <v>1</v>
    <v>Powered by Refinitiv</v>
    <v>323.61</v>
    <v>179.96</v>
    <v>0.43890000000000001</v>
    <v>-5.32</v>
    <v>-1.6548E-2</v>
    <v>1.73</v>
    <v>5.4720000000000003E-3</v>
    <v>USD</v>
    <v>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v>
    <v>3900</v>
    <v>Nasdaq Stock Market</v>
    <v>XNAS</v>
    <v>XNAS</v>
    <v>50 Northern Avenue, BOSTON, MA, 02210 US</v>
    <v>323.61</v>
    <v>Biotechnology &amp; Medical Research</v>
    <v>Stock</v>
    <v>44888.919933274999</v>
    <v>0</v>
    <v>315.27999999999997</v>
    <v>81155553024</v>
    <v>VERTEX PHARMACEUTICALS INCORPORATED</v>
    <v>VERTEX PHARMACEUTICALS INCORPORATED</v>
    <v>323.48</v>
    <v>25.3721</v>
    <v>321.48</v>
    <v>316.16000000000003</v>
    <v>317.89</v>
    <v>256691400</v>
    <v>VRTX</v>
    <v>VERTEX PHARMACEUTICALS INCORPORATED (XNAS:VRTX)</v>
    <v>1042758</v>
    <v>1563538</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8" dT="2022-10-29T02:44:34.78" personId="{E0170CB4-AB76-5F44-BF61-ACFDA5A2012B}" id="{153D5C93-5C51-0A4A-9D18-BC5D277557D5}">
    <text>Most Recent:
Long Term Debt + Other Noncurrent Liabilities - Cash - Short Term Investments - Investments - Other CA</text>
  </threadedComment>
  <threadedComment ref="U19" dT="2022-10-29T02:43:01.49" personId="{E0170CB4-AB76-5F44-BF61-ACFDA5A2012B}" id="{341815CC-FE19-0E47-8F05-5C1B7343ED9B}">
    <text>Most Recent Quarter’s Cash from the Balance Sheet</text>
  </threadedComment>
</ThreadedComment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32F0-089A-CC45-8578-6C1ED91311B5}">
  <dimension ref="B2:O33"/>
  <sheetViews>
    <sheetView zoomScale="101" zoomScaleNormal="100" workbookViewId="0">
      <selection activeCell="M14" sqref="M14"/>
    </sheetView>
  </sheetViews>
  <sheetFormatPr baseColWidth="10" defaultRowHeight="16"/>
  <cols>
    <col min="1" max="1" width="2.33203125" style="80" customWidth="1"/>
    <col min="2" max="2" width="32.83203125" style="80" bestFit="1" customWidth="1"/>
    <col min="3" max="3" width="9" style="80" bestFit="1" customWidth="1"/>
    <col min="4" max="4" width="10" style="80" customWidth="1"/>
    <col min="5" max="5" width="11.83203125" style="80" customWidth="1"/>
    <col min="6" max="6" width="25.33203125" style="80" bestFit="1" customWidth="1"/>
    <col min="7" max="12" width="10.83203125" style="80"/>
    <col min="13" max="13" width="18.6640625" style="80" bestFit="1" customWidth="1"/>
    <col min="14" max="14" width="12.1640625" style="80" bestFit="1" customWidth="1"/>
    <col min="15" max="15" width="18.6640625" style="80" bestFit="1" customWidth="1"/>
    <col min="16" max="16384" width="10.83203125" style="80"/>
  </cols>
  <sheetData>
    <row r="2" spans="2:15">
      <c r="B2" s="80" t="e" vm="1">
        <v>#VALUE!</v>
      </c>
      <c r="M2" s="84"/>
      <c r="N2" s="87"/>
    </row>
    <row r="3" spans="2:15">
      <c r="B3" s="81" t="s">
        <v>218</v>
      </c>
      <c r="C3" s="81"/>
      <c r="D3" s="81"/>
      <c r="E3" s="81"/>
      <c r="F3" s="81"/>
      <c r="G3" s="81"/>
      <c r="H3" s="81"/>
    </row>
    <row r="4" spans="2:15">
      <c r="B4" s="81" t="s">
        <v>216</v>
      </c>
      <c r="C4" s="81" t="s">
        <v>217</v>
      </c>
      <c r="D4" s="81" t="s">
        <v>218</v>
      </c>
      <c r="E4" s="81" t="s">
        <v>219</v>
      </c>
      <c r="F4" s="81" t="s">
        <v>225</v>
      </c>
      <c r="G4" s="81" t="s">
        <v>222</v>
      </c>
      <c r="H4" s="81" t="s">
        <v>223</v>
      </c>
      <c r="L4" s="80" t="s">
        <v>220</v>
      </c>
      <c r="M4" s="85" cm="1">
        <f t="array" ref="M4">_FV(B2,"Price")</f>
        <v>316.16000000000003</v>
      </c>
    </row>
    <row r="5" spans="2:15">
      <c r="B5" s="80" t="s">
        <v>232</v>
      </c>
      <c r="C5" s="80" t="s">
        <v>228</v>
      </c>
      <c r="D5" s="82">
        <v>43759</v>
      </c>
      <c r="E5" s="83">
        <v>1</v>
      </c>
      <c r="F5" s="83" t="s">
        <v>230</v>
      </c>
      <c r="G5" s="80" t="s">
        <v>234</v>
      </c>
      <c r="L5" s="80" t="s">
        <v>207</v>
      </c>
      <c r="M5" s="86" cm="1">
        <f t="array" ref="M5">_FV(B2,"Shares outstanding",TRUE)</f>
        <v>256691400</v>
      </c>
      <c r="O5" s="85"/>
    </row>
    <row r="6" spans="2:15">
      <c r="B6" s="80" t="s">
        <v>231</v>
      </c>
      <c r="C6" s="80" t="s">
        <v>228</v>
      </c>
      <c r="D6" s="82">
        <v>43143</v>
      </c>
      <c r="E6" s="83">
        <v>1</v>
      </c>
      <c r="F6" s="83" t="s">
        <v>230</v>
      </c>
      <c r="G6" s="80" t="s">
        <v>234</v>
      </c>
      <c r="L6" s="80" t="s">
        <v>221</v>
      </c>
      <c r="M6" s="84">
        <f>M4*M5</f>
        <v>81155553024</v>
      </c>
    </row>
    <row r="7" spans="2:15">
      <c r="B7" s="80" t="s">
        <v>226</v>
      </c>
      <c r="C7" s="80" t="s">
        <v>228</v>
      </c>
      <c r="D7" s="82">
        <v>42157</v>
      </c>
      <c r="E7" s="83">
        <v>1</v>
      </c>
      <c r="F7" s="83" t="s">
        <v>230</v>
      </c>
      <c r="G7" s="80" t="s">
        <v>234</v>
      </c>
      <c r="L7" s="80" t="s">
        <v>74</v>
      </c>
      <c r="M7" s="80">
        <f>'Balance Sheet'!U9</f>
        <v>9171.5</v>
      </c>
      <c r="N7" s="81" t="s">
        <v>260</v>
      </c>
    </row>
    <row r="8" spans="2:15">
      <c r="B8" s="80" t="s">
        <v>227</v>
      </c>
      <c r="C8" s="80" t="s">
        <v>228</v>
      </c>
      <c r="D8" s="82">
        <v>40939</v>
      </c>
      <c r="E8" s="83">
        <v>1</v>
      </c>
      <c r="F8" s="83" t="s">
        <v>233</v>
      </c>
      <c r="G8" s="80" t="s">
        <v>234</v>
      </c>
      <c r="L8" s="80" t="s">
        <v>259</v>
      </c>
      <c r="M8" s="80">
        <v>3.59</v>
      </c>
      <c r="N8" s="81" t="s">
        <v>260</v>
      </c>
    </row>
    <row r="9" spans="2:15">
      <c r="L9" s="80" t="s">
        <v>156</v>
      </c>
      <c r="M9" s="88">
        <f>DCF!U17*10^6</f>
        <v>80266516500.48555</v>
      </c>
    </row>
    <row r="10" spans="2:15">
      <c r="B10" s="81" t="s">
        <v>224</v>
      </c>
    </row>
    <row r="11" spans="2:15">
      <c r="D11" s="80" t="s">
        <v>236</v>
      </c>
    </row>
    <row r="12" spans="2:15">
      <c r="B12" s="80" t="s">
        <v>235</v>
      </c>
      <c r="C12" s="80" t="s">
        <v>228</v>
      </c>
      <c r="D12" s="80" t="s">
        <v>237</v>
      </c>
      <c r="E12" s="83">
        <v>1</v>
      </c>
    </row>
    <row r="13" spans="2:15">
      <c r="B13" s="80" t="s">
        <v>238</v>
      </c>
      <c r="C13" s="80" t="s">
        <v>239</v>
      </c>
      <c r="D13" s="80" t="s">
        <v>237</v>
      </c>
      <c r="E13" s="83">
        <v>1</v>
      </c>
    </row>
    <row r="14" spans="2:15">
      <c r="B14" s="80" t="s">
        <v>240</v>
      </c>
      <c r="C14" s="80" t="s">
        <v>241</v>
      </c>
      <c r="D14" s="80" t="s">
        <v>237</v>
      </c>
      <c r="E14" s="83" t="s">
        <v>243</v>
      </c>
    </row>
    <row r="15" spans="2:15">
      <c r="B15" s="80" t="s">
        <v>244</v>
      </c>
      <c r="C15" s="80" t="s">
        <v>246</v>
      </c>
      <c r="D15" s="80" t="s">
        <v>245</v>
      </c>
      <c r="E15" s="83">
        <v>1</v>
      </c>
    </row>
    <row r="16" spans="2:15">
      <c r="B16" s="80" t="s">
        <v>247</v>
      </c>
      <c r="C16" s="80" t="s">
        <v>248</v>
      </c>
      <c r="D16" s="80" t="s">
        <v>242</v>
      </c>
      <c r="E16" s="83">
        <v>1</v>
      </c>
    </row>
    <row r="17" spans="2:5">
      <c r="B17" s="80" t="s">
        <v>249</v>
      </c>
      <c r="C17" s="80" t="s">
        <v>250</v>
      </c>
      <c r="D17" s="80" t="s">
        <v>251</v>
      </c>
      <c r="E17" s="83">
        <v>1</v>
      </c>
    </row>
    <row r="19" spans="2:5">
      <c r="B19" s="80" t="s">
        <v>252</v>
      </c>
    </row>
    <row r="20" spans="2:5">
      <c r="B20" s="80" t="s">
        <v>253</v>
      </c>
      <c r="C20" s="80" t="s">
        <v>256</v>
      </c>
      <c r="D20" s="80" t="s">
        <v>245</v>
      </c>
      <c r="E20" s="80" t="s">
        <v>257</v>
      </c>
    </row>
    <row r="21" spans="2:5">
      <c r="B21" s="80" t="s">
        <v>254</v>
      </c>
      <c r="C21" s="80" t="s">
        <v>256</v>
      </c>
      <c r="D21" s="80" t="s">
        <v>258</v>
      </c>
      <c r="E21" s="80" t="s">
        <v>257</v>
      </c>
    </row>
    <row r="22" spans="2:5">
      <c r="B22" s="80" t="s">
        <v>255</v>
      </c>
      <c r="C22" s="80" t="s">
        <v>256</v>
      </c>
      <c r="D22" s="80" t="s">
        <v>258</v>
      </c>
      <c r="E22" s="80" t="s">
        <v>257</v>
      </c>
    </row>
    <row r="33" spans="2:2">
      <c r="B33" s="80"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0FF5-FC68-7D4F-8BA4-A00099FCD0AE}">
  <dimension ref="A1:XFD111"/>
  <sheetViews>
    <sheetView zoomScale="75" workbookViewId="0">
      <pane xSplit="2" ySplit="8" topLeftCell="E9" activePane="bottomRight" state="frozen"/>
      <selection pane="topRight" activeCell="C1" sqref="C1"/>
      <selection pane="bottomLeft" activeCell="A9" sqref="A9"/>
      <selection pane="bottomRight" activeCell="AQ28" sqref="AQ28"/>
    </sheetView>
  </sheetViews>
  <sheetFormatPr baseColWidth="10" defaultRowHeight="16"/>
  <cols>
    <col min="1" max="1" width="2" customWidth="1"/>
    <col min="2" max="2" width="42.1640625" bestFit="1" customWidth="1"/>
    <col min="4" max="4" width="11.1640625" bestFit="1" customWidth="1"/>
    <col min="6" max="6" width="10.5" customWidth="1"/>
    <col min="12" max="14" width="11.5" bestFit="1" customWidth="1"/>
    <col min="19" max="19" width="11.5" style="4" bestFit="1" customWidth="1"/>
    <col min="22" max="22" width="14.83203125" bestFit="1" customWidth="1"/>
    <col min="27" max="27" width="11.5" bestFit="1" customWidth="1"/>
    <col min="30" max="30" width="10.33203125" customWidth="1"/>
  </cols>
  <sheetData>
    <row r="1" spans="1:45 16383:16383">
      <c r="B1" t="e" vm="1">
        <v>#VALUE!</v>
      </c>
    </row>
    <row r="5" spans="1:45 16383:16383">
      <c r="B5" s="74" t="s">
        <v>134</v>
      </c>
      <c r="C5" s="75">
        <v>1</v>
      </c>
    </row>
    <row r="7" spans="1:45 16383:16383">
      <c r="C7" t="s">
        <v>0</v>
      </c>
      <c r="D7" t="s">
        <v>1</v>
      </c>
      <c r="E7" t="s">
        <v>2</v>
      </c>
      <c r="F7" t="s">
        <v>3</v>
      </c>
      <c r="G7" t="s">
        <v>4</v>
      </c>
      <c r="H7" t="s">
        <v>5</v>
      </c>
      <c r="I7" t="s">
        <v>6</v>
      </c>
      <c r="J7" t="s">
        <v>7</v>
      </c>
      <c r="K7" t="s">
        <v>8</v>
      </c>
      <c r="L7" t="s">
        <v>9</v>
      </c>
      <c r="M7" s="1" t="s">
        <v>10</v>
      </c>
      <c r="N7" s="1" t="s">
        <v>11</v>
      </c>
      <c r="O7" t="s">
        <v>12</v>
      </c>
      <c r="P7" t="s">
        <v>13</v>
      </c>
      <c r="Q7" t="s">
        <v>14</v>
      </c>
      <c r="R7" t="s">
        <v>15</v>
      </c>
      <c r="S7" s="4"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1:45 16383:16383" ht="17" thickBot="1">
      <c r="B8" s="2" t="s">
        <v>40</v>
      </c>
      <c r="C8" s="3">
        <f>SUM(C9:C13)</f>
        <v>640.79900000000009</v>
      </c>
      <c r="D8" s="3">
        <f>SUM(D9:D14)</f>
        <v>752.15700000000004</v>
      </c>
      <c r="E8" s="3">
        <f t="shared" ref="E8:U8" si="0">SUM(E9:E14)</f>
        <v>784.53499999999997</v>
      </c>
      <c r="F8" s="3">
        <f>SUM(F9:F14)</f>
        <v>877.44500000000016</v>
      </c>
      <c r="G8" s="3">
        <f t="shared" si="0"/>
        <v>858.43499999999995</v>
      </c>
      <c r="H8" s="3">
        <f t="shared" si="0"/>
        <v>941.29299999999989</v>
      </c>
      <c r="I8" s="3">
        <f t="shared" si="0"/>
        <v>949.82799999999997</v>
      </c>
      <c r="J8" s="3">
        <f>SUM(J9:J14)</f>
        <v>1413.2649999999999</v>
      </c>
      <c r="K8" s="3">
        <f t="shared" si="0"/>
        <v>1515.1069999999997</v>
      </c>
      <c r="L8" s="3">
        <f t="shared" si="0"/>
        <v>1524.4849999999999</v>
      </c>
      <c r="M8" s="3">
        <f t="shared" si="0"/>
        <v>1538.271</v>
      </c>
      <c r="N8" s="3">
        <f t="shared" si="0"/>
        <v>1627.82</v>
      </c>
      <c r="O8" s="3">
        <f t="shared" si="0"/>
        <v>1724.2</v>
      </c>
      <c r="P8" s="3">
        <f t="shared" si="0"/>
        <v>1793.3</v>
      </c>
      <c r="Q8" s="55">
        <f t="shared" si="0"/>
        <v>1984.2</v>
      </c>
      <c r="R8" s="55">
        <f t="shared" si="0"/>
        <v>2073.6999999999998</v>
      </c>
      <c r="S8" s="55">
        <f t="shared" si="0"/>
        <v>2097.5</v>
      </c>
      <c r="T8" s="55">
        <f t="shared" si="0"/>
        <v>2196.1999999999998</v>
      </c>
      <c r="U8" s="55">
        <f t="shared" si="0"/>
        <v>2334.2999999999997</v>
      </c>
      <c r="V8" s="55">
        <f>V9+V10+V11+V12+V13</f>
        <v>2435.9654999999993</v>
      </c>
      <c r="W8" s="55">
        <f t="shared" ref="W8:AP8" si="1">W9+W10+W11+W12+W13</f>
        <v>2545.5307304999997</v>
      </c>
      <c r="X8" s="55">
        <f t="shared" si="1"/>
        <v>2663.3598033794997</v>
      </c>
      <c r="Y8" s="55">
        <f t="shared" si="1"/>
        <v>2789.8438946542897</v>
      </c>
      <c r="Z8" s="55">
        <f t="shared" si="1"/>
        <v>2925.4025283790147</v>
      </c>
      <c r="AA8" s="55">
        <f t="shared" si="1"/>
        <v>3046.3844357380935</v>
      </c>
      <c r="AB8" s="55">
        <f t="shared" si="1"/>
        <v>3174.743630127819</v>
      </c>
      <c r="AC8" s="55">
        <f t="shared" si="1"/>
        <v>3310.7781016669069</v>
      </c>
      <c r="AD8" s="55">
        <f t="shared" si="1"/>
        <v>3454.8045962171327</v>
      </c>
      <c r="AE8" s="55">
        <f t="shared" si="1"/>
        <v>3607.1593384818352</v>
      </c>
      <c r="AF8" s="55">
        <f t="shared" si="1"/>
        <v>3768.1988035251693</v>
      </c>
      <c r="AG8" s="55">
        <f t="shared" si="1"/>
        <v>3938.3005384126295</v>
      </c>
      <c r="AH8" s="55">
        <f t="shared" si="1"/>
        <v>4117.8640358019711</v>
      </c>
      <c r="AI8" s="55">
        <f t="shared" si="1"/>
        <v>4307.3116614458968</v>
      </c>
      <c r="AJ8" s="55">
        <f t="shared" si="1"/>
        <v>4507.0896377042827</v>
      </c>
      <c r="AK8" s="55">
        <f t="shared" si="1"/>
        <v>4717.6690853044893</v>
      </c>
      <c r="AL8" s="55">
        <f t="shared" si="1"/>
        <v>4939.5471257339905</v>
      </c>
      <c r="AM8" s="55">
        <f t="shared" si="1"/>
        <v>5173.2480468003341</v>
      </c>
      <c r="AN8" s="55">
        <f t="shared" si="1"/>
        <v>5419.3245340499407</v>
      </c>
      <c r="AO8" s="55">
        <f t="shared" si="1"/>
        <v>5678.3589708996533</v>
      </c>
      <c r="AP8" s="55">
        <f t="shared" si="1"/>
        <v>5950.9648105037795</v>
      </c>
      <c r="AR8" s="5"/>
      <c r="AS8" s="6"/>
    </row>
    <row r="9" spans="1:45 16383:16383">
      <c r="A9" s="11"/>
      <c r="B9" s="11" t="s">
        <v>160</v>
      </c>
      <c r="C9">
        <v>0</v>
      </c>
      <c r="D9">
        <v>0</v>
      </c>
      <c r="E9">
        <v>0</v>
      </c>
      <c r="F9">
        <v>0</v>
      </c>
      <c r="G9">
        <v>0</v>
      </c>
      <c r="H9">
        <v>0</v>
      </c>
      <c r="I9">
        <v>0</v>
      </c>
      <c r="J9">
        <v>420.10500000000002</v>
      </c>
      <c r="K9">
        <v>895.23299999999995</v>
      </c>
      <c r="L9">
        <v>917.71500000000003</v>
      </c>
      <c r="M9">
        <v>960.30799999999999</v>
      </c>
      <c r="N9">
        <f>3863.824-M9-L9-K9</f>
        <v>1090.568</v>
      </c>
      <c r="O9">
        <v>1193.2</v>
      </c>
      <c r="P9">
        <v>1255.5999999999999</v>
      </c>
      <c r="Q9">
        <v>1555.8</v>
      </c>
      <c r="R9" s="53">
        <f>5698.2-Q9-P9-O9</f>
        <v>1693.5999999999997</v>
      </c>
      <c r="S9" s="53">
        <v>1761.6</v>
      </c>
      <c r="T9" s="53">
        <v>1893.2</v>
      </c>
      <c r="U9" s="53">
        <v>2010.5</v>
      </c>
      <c r="V9" s="53">
        <f>U9*1.059</f>
        <v>2129.1194999999998</v>
      </c>
      <c r="W9" s="53">
        <f t="shared" ref="W9:Z9" si="2">V9*1.059</f>
        <v>2254.7375504999995</v>
      </c>
      <c r="X9" s="53">
        <f t="shared" si="2"/>
        <v>2387.7670659794994</v>
      </c>
      <c r="Y9" s="53">
        <f t="shared" si="2"/>
        <v>2528.6453228722899</v>
      </c>
      <c r="Z9" s="53">
        <f t="shared" si="2"/>
        <v>2677.8353969217546</v>
      </c>
      <c r="AA9" s="53">
        <f>Z9*1.05</f>
        <v>2811.7271667678424</v>
      </c>
      <c r="AB9" s="53">
        <f t="shared" ref="AB9:AP9" si="3">AA9*1.05</f>
        <v>2952.3135251062345</v>
      </c>
      <c r="AC9" s="53">
        <f t="shared" si="3"/>
        <v>3099.9292013615463</v>
      </c>
      <c r="AD9" s="53">
        <f t="shared" si="3"/>
        <v>3254.9256614296237</v>
      </c>
      <c r="AE9" s="53">
        <f t="shared" si="3"/>
        <v>3417.6719445011049</v>
      </c>
      <c r="AF9" s="53">
        <f t="shared" si="3"/>
        <v>3588.5555417261603</v>
      </c>
      <c r="AG9" s="53">
        <f t="shared" si="3"/>
        <v>3767.9833188124685</v>
      </c>
      <c r="AH9" s="53">
        <f t="shared" si="3"/>
        <v>3956.3824847530923</v>
      </c>
      <c r="AI9" s="53">
        <f t="shared" si="3"/>
        <v>4154.2016089907474</v>
      </c>
      <c r="AJ9" s="53">
        <f t="shared" si="3"/>
        <v>4361.911689440285</v>
      </c>
      <c r="AK9" s="53">
        <f t="shared" si="3"/>
        <v>4580.0072739122998</v>
      </c>
      <c r="AL9" s="53">
        <f t="shared" si="3"/>
        <v>4809.0076376079151</v>
      </c>
      <c r="AM9" s="53">
        <f t="shared" si="3"/>
        <v>5049.458019488311</v>
      </c>
      <c r="AN9" s="53">
        <f t="shared" si="3"/>
        <v>5301.930920462727</v>
      </c>
      <c r="AO9" s="53">
        <f t="shared" si="3"/>
        <v>5567.0274664858634</v>
      </c>
      <c r="AP9" s="53">
        <f t="shared" si="3"/>
        <v>5845.3788398101569</v>
      </c>
    </row>
    <row r="10" spans="1:45 16383:16383">
      <c r="A10" s="11"/>
      <c r="B10" s="11" t="s">
        <v>161</v>
      </c>
      <c r="C10">
        <v>34.124000000000002</v>
      </c>
      <c r="D10">
        <v>185.55799999999999</v>
      </c>
      <c r="E10">
        <v>254.91900000000001</v>
      </c>
      <c r="F10">
        <f>768.657-E10-D10-C10</f>
        <v>294.05600000000004</v>
      </c>
      <c r="G10">
        <v>320.27499999999998</v>
      </c>
      <c r="H10">
        <v>361.83199999999999</v>
      </c>
      <c r="I10">
        <v>403.714</v>
      </c>
      <c r="J10">
        <f>1417.668-I10-H10-G10</f>
        <v>331.84699999999998</v>
      </c>
      <c r="K10">
        <v>173.15899999999999</v>
      </c>
      <c r="L10">
        <v>171.72900000000001</v>
      </c>
      <c r="M10">
        <v>156.178</v>
      </c>
      <c r="N10">
        <f>628.577-M10-L10-K10</f>
        <v>127.51099999999997</v>
      </c>
      <c r="O10">
        <v>125</v>
      </c>
      <c r="P10">
        <v>133.5</v>
      </c>
      <c r="Q10">
        <v>81.400000000000006</v>
      </c>
      <c r="R10" s="53">
        <f>420.4-Q10-P10-O10</f>
        <v>80.5</v>
      </c>
      <c r="S10" s="53">
        <v>64.8</v>
      </c>
      <c r="T10" s="53">
        <v>42.7</v>
      </c>
      <c r="U10" s="53">
        <v>38.200000000000003</v>
      </c>
      <c r="V10" s="13">
        <f>U10*0.93</f>
        <v>35.526000000000003</v>
      </c>
      <c r="W10" s="13">
        <f t="shared" ref="W10:AP10" si="4">V10*0.93</f>
        <v>33.039180000000002</v>
      </c>
      <c r="X10" s="13">
        <f t="shared" si="4"/>
        <v>30.726437400000002</v>
      </c>
      <c r="Y10" s="13">
        <f t="shared" si="4"/>
        <v>28.575586782000002</v>
      </c>
      <c r="Z10" s="13">
        <f t="shared" si="4"/>
        <v>26.575295707260004</v>
      </c>
      <c r="AA10" s="13">
        <f t="shared" si="4"/>
        <v>24.715025007751805</v>
      </c>
      <c r="AB10" s="13">
        <f t="shared" si="4"/>
        <v>22.98497325720918</v>
      </c>
      <c r="AC10" s="13">
        <f t="shared" si="4"/>
        <v>21.376025129204539</v>
      </c>
      <c r="AD10" s="13">
        <f t="shared" si="4"/>
        <v>19.879703370160222</v>
      </c>
      <c r="AE10" s="13">
        <f t="shared" si="4"/>
        <v>18.488124134249006</v>
      </c>
      <c r="AF10" s="13">
        <f t="shared" si="4"/>
        <v>17.193955444851575</v>
      </c>
      <c r="AG10" s="13">
        <f t="shared" si="4"/>
        <v>15.990378563711966</v>
      </c>
      <c r="AH10" s="13">
        <f t="shared" si="4"/>
        <v>14.87105206425213</v>
      </c>
      <c r="AI10" s="13">
        <f t="shared" si="4"/>
        <v>13.83007841975448</v>
      </c>
      <c r="AJ10" s="13">
        <f t="shared" si="4"/>
        <v>12.861972930371667</v>
      </c>
      <c r="AK10" s="13">
        <f t="shared" si="4"/>
        <v>11.961634825245651</v>
      </c>
      <c r="AL10" s="13">
        <f t="shared" si="4"/>
        <v>11.124320387478457</v>
      </c>
      <c r="AM10" s="13">
        <f t="shared" si="4"/>
        <v>10.345617960354966</v>
      </c>
      <c r="AN10" s="13">
        <f t="shared" si="4"/>
        <v>9.6214247031301188</v>
      </c>
      <c r="AO10" s="13">
        <f t="shared" si="4"/>
        <v>8.9479249739110109</v>
      </c>
      <c r="AP10" s="13">
        <f t="shared" si="4"/>
        <v>8.3215702257372399</v>
      </c>
    </row>
    <row r="11" spans="1:45 16383:16383">
      <c r="A11" s="11"/>
      <c r="B11" s="11" t="s">
        <v>163</v>
      </c>
      <c r="C11">
        <v>354.06599999999997</v>
      </c>
      <c r="D11">
        <v>311.26100000000002</v>
      </c>
      <c r="E11">
        <v>281.85899999999998</v>
      </c>
      <c r="F11">
        <f>1262.166-E11-D11-C11</f>
        <v>314.98000000000008</v>
      </c>
      <c r="G11">
        <v>293.00700000000001</v>
      </c>
      <c r="H11">
        <v>316.44099999999997</v>
      </c>
      <c r="I11">
        <v>296.71100000000001</v>
      </c>
      <c r="J11">
        <f>1331.891-I11-H11-G11</f>
        <v>425.73200000000003</v>
      </c>
      <c r="K11">
        <v>234.13800000000001</v>
      </c>
      <c r="L11">
        <v>231.98099999999999</v>
      </c>
      <c r="M11">
        <v>225.91900000000001</v>
      </c>
      <c r="N11">
        <f>907.512-M11-L11-K11</f>
        <v>215.47399999999996</v>
      </c>
      <c r="O11">
        <v>218.7</v>
      </c>
      <c r="P11">
        <v>221</v>
      </c>
      <c r="Q11" s="78">
        <v>184.6</v>
      </c>
      <c r="R11" s="78">
        <f>771.6-Q11-P11-O11</f>
        <v>147.30000000000001</v>
      </c>
      <c r="S11" s="78">
        <v>132.1</v>
      </c>
      <c r="T11" s="78">
        <v>121.6</v>
      </c>
      <c r="U11" s="78">
        <v>146.19999999999999</v>
      </c>
      <c r="V11" s="78">
        <f>U11*0.95</f>
        <v>138.88999999999999</v>
      </c>
      <c r="W11" s="78">
        <f t="shared" ref="W11:AP11" si="5">V11*0.95</f>
        <v>131.94549999999998</v>
      </c>
      <c r="X11" s="78">
        <f t="shared" si="5"/>
        <v>125.34822499999997</v>
      </c>
      <c r="Y11" s="78">
        <f t="shared" si="5"/>
        <v>119.08081374999996</v>
      </c>
      <c r="Z11" s="78">
        <f t="shared" si="5"/>
        <v>113.12677306249996</v>
      </c>
      <c r="AA11" s="78">
        <f t="shared" si="5"/>
        <v>107.47043440937496</v>
      </c>
      <c r="AB11" s="78">
        <f t="shared" si="5"/>
        <v>102.0969126889062</v>
      </c>
      <c r="AC11" s="78">
        <f t="shared" si="5"/>
        <v>96.99206705446089</v>
      </c>
      <c r="AD11" s="78">
        <f t="shared" si="5"/>
        <v>92.142463701737839</v>
      </c>
      <c r="AE11" s="78">
        <f t="shared" si="5"/>
        <v>87.535340516650948</v>
      </c>
      <c r="AF11" s="78">
        <f t="shared" si="5"/>
        <v>83.158573490818398</v>
      </c>
      <c r="AG11" s="78">
        <f t="shared" si="5"/>
        <v>79.000644816277472</v>
      </c>
      <c r="AH11" s="78">
        <f t="shared" si="5"/>
        <v>75.050612575463589</v>
      </c>
      <c r="AI11" s="78">
        <f t="shared" si="5"/>
        <v>71.298081946690402</v>
      </c>
      <c r="AJ11" s="78">
        <f t="shared" si="5"/>
        <v>67.733177849355883</v>
      </c>
      <c r="AK11" s="78">
        <f t="shared" si="5"/>
        <v>64.34651895688809</v>
      </c>
      <c r="AL11" s="78">
        <f t="shared" si="5"/>
        <v>61.129193009043682</v>
      </c>
      <c r="AM11" s="78">
        <f t="shared" si="5"/>
        <v>58.072733358591492</v>
      </c>
      <c r="AN11" s="78">
        <f t="shared" si="5"/>
        <v>55.169096690661917</v>
      </c>
      <c r="AO11" s="78">
        <f>AN11*0.95</f>
        <v>52.410641856128819</v>
      </c>
      <c r="AP11" s="78">
        <f t="shared" si="5"/>
        <v>49.790109763322377</v>
      </c>
    </row>
    <row r="12" spans="1:45 16383:16383">
      <c r="B12" s="11" t="s">
        <v>162</v>
      </c>
      <c r="C12">
        <v>249.53899999999999</v>
      </c>
      <c r="D12">
        <v>253.09299999999999</v>
      </c>
      <c r="E12">
        <v>245.733</v>
      </c>
      <c r="F12">
        <f>1007.502-E12-D12-C12</f>
        <v>259.13700000000006</v>
      </c>
      <c r="G12">
        <v>243.971</v>
      </c>
      <c r="H12">
        <v>262.10700000000003</v>
      </c>
      <c r="I12">
        <v>249.40299999999999</v>
      </c>
      <c r="J12">
        <f>991.062-I12-H12-G12</f>
        <v>235.58099999999996</v>
      </c>
      <c r="K12">
        <v>212.577</v>
      </c>
      <c r="L12">
        <v>203.06</v>
      </c>
      <c r="M12">
        <v>193.86600000000001</v>
      </c>
      <c r="N12">
        <f>802.87-M12-L12-K12</f>
        <v>193.36700000000002</v>
      </c>
      <c r="O12">
        <v>186.3</v>
      </c>
      <c r="P12">
        <v>183.2</v>
      </c>
      <c r="Q12" s="78">
        <v>162.4</v>
      </c>
      <c r="R12" s="78">
        <f>684.2-Q12-P12-O12</f>
        <v>152.30000000000007</v>
      </c>
      <c r="S12" s="78">
        <v>139</v>
      </c>
      <c r="T12" s="78">
        <v>138.69999999999999</v>
      </c>
      <c r="U12" s="78">
        <v>139.4</v>
      </c>
      <c r="V12" s="78">
        <f>U12*0.95</f>
        <v>132.43</v>
      </c>
      <c r="W12" s="78">
        <f t="shared" ref="W12:AP12" si="6">V12*0.95</f>
        <v>125.8085</v>
      </c>
      <c r="X12" s="78">
        <f t="shared" si="6"/>
        <v>119.518075</v>
      </c>
      <c r="Y12" s="78">
        <f t="shared" si="6"/>
        <v>113.54217125</v>
      </c>
      <c r="Z12" s="78">
        <f t="shared" si="6"/>
        <v>107.86506268749999</v>
      </c>
      <c r="AA12" s="78">
        <f t="shared" si="6"/>
        <v>102.47180955312498</v>
      </c>
      <c r="AB12" s="78">
        <f t="shared" si="6"/>
        <v>97.348219075468734</v>
      </c>
      <c r="AC12" s="78">
        <f t="shared" si="6"/>
        <v>92.48080812169529</v>
      </c>
      <c r="AD12" s="78">
        <f t="shared" si="6"/>
        <v>87.856767715610516</v>
      </c>
      <c r="AE12" s="78">
        <f t="shared" si="6"/>
        <v>83.46392932982998</v>
      </c>
      <c r="AF12" s="78">
        <f t="shared" si="6"/>
        <v>79.290732863338476</v>
      </c>
      <c r="AG12" s="78">
        <f t="shared" si="6"/>
        <v>75.326196220171553</v>
      </c>
      <c r="AH12" s="78">
        <f t="shared" si="6"/>
        <v>71.559886409162971</v>
      </c>
      <c r="AI12" s="78">
        <f t="shared" si="6"/>
        <v>67.981892088704825</v>
      </c>
      <c r="AJ12" s="78">
        <f t="shared" si="6"/>
        <v>64.582797484269577</v>
      </c>
      <c r="AK12" s="78">
        <f t="shared" si="6"/>
        <v>61.353657610056096</v>
      </c>
      <c r="AL12" s="78">
        <f t="shared" si="6"/>
        <v>58.285974729553288</v>
      </c>
      <c r="AM12" s="78">
        <f t="shared" si="6"/>
        <v>55.37167599307562</v>
      </c>
      <c r="AN12" s="78">
        <f t="shared" si="6"/>
        <v>52.603092193421837</v>
      </c>
      <c r="AO12" s="78">
        <f t="shared" si="6"/>
        <v>49.972937583750742</v>
      </c>
      <c r="AP12" s="78">
        <f t="shared" si="6"/>
        <v>47.474290704563202</v>
      </c>
    </row>
    <row r="13" spans="1:45 16383:16383">
      <c r="B13" s="11" t="s">
        <v>193</v>
      </c>
      <c r="C13">
        <f>1.714+1.356</f>
        <v>3.0700000000000003</v>
      </c>
      <c r="D13">
        <f>1.16+1.085</f>
        <v>2.2450000000000001</v>
      </c>
      <c r="E13">
        <f>1.238+0.786</f>
        <v>2.024</v>
      </c>
      <c r="F13">
        <v>9.2720000000000002</v>
      </c>
      <c r="G13">
        <v>1.1819999999999999</v>
      </c>
      <c r="H13">
        <v>0.91300000000000003</v>
      </c>
      <c r="I13">
        <v>0</v>
      </c>
      <c r="J13">
        <f>2.095-I13-H13-G13</f>
        <v>0</v>
      </c>
      <c r="K13">
        <v>0</v>
      </c>
      <c r="L13">
        <v>0</v>
      </c>
      <c r="M13">
        <v>2</v>
      </c>
      <c r="N13" s="53">
        <f>2.9-M13</f>
        <v>0.89999999999999991</v>
      </c>
      <c r="O13" s="4">
        <v>1</v>
      </c>
      <c r="P13" s="53">
        <v>0</v>
      </c>
      <c r="Q13" s="78">
        <v>0</v>
      </c>
      <c r="R13" s="78">
        <v>0</v>
      </c>
      <c r="S13" s="78">
        <v>0</v>
      </c>
      <c r="T13" s="78">
        <v>0</v>
      </c>
      <c r="U13" s="78">
        <v>0</v>
      </c>
      <c r="V13" s="78">
        <v>0</v>
      </c>
      <c r="W13" s="78">
        <v>0</v>
      </c>
      <c r="X13" s="78">
        <v>0</v>
      </c>
      <c r="Y13" s="78">
        <v>0</v>
      </c>
      <c r="Z13" s="78">
        <v>0</v>
      </c>
      <c r="AA13" s="78">
        <v>0</v>
      </c>
      <c r="AB13" s="78">
        <v>0</v>
      </c>
      <c r="AC13" s="78">
        <v>0</v>
      </c>
      <c r="AD13" s="78">
        <v>0</v>
      </c>
      <c r="AE13" s="78">
        <v>0</v>
      </c>
      <c r="AF13" s="78">
        <v>0</v>
      </c>
      <c r="AG13" s="78">
        <v>0</v>
      </c>
      <c r="AH13" s="78">
        <v>0</v>
      </c>
      <c r="AI13" s="78">
        <v>0</v>
      </c>
      <c r="AJ13" s="78">
        <v>0</v>
      </c>
      <c r="AK13" s="78">
        <v>0</v>
      </c>
      <c r="AL13" s="78">
        <v>0</v>
      </c>
      <c r="AM13" s="78">
        <v>0</v>
      </c>
      <c r="AN13" s="78">
        <v>0</v>
      </c>
      <c r="AO13" s="78">
        <v>0</v>
      </c>
      <c r="AP13" s="78">
        <v>0</v>
      </c>
    </row>
    <row r="14" spans="1:45 16383:16383" ht="8" customHeight="1">
      <c r="B14" s="20"/>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row>
    <row r="15" spans="1:45 16383:16383">
      <c r="B15" t="s">
        <v>198</v>
      </c>
      <c r="C15" s="4">
        <v>71.613</v>
      </c>
      <c r="D15" s="4">
        <v>104.38200000000001</v>
      </c>
      <c r="E15" s="4">
        <v>111.255</v>
      </c>
      <c r="F15" s="4">
        <f>409.539-E15-D15-C15</f>
        <v>122.28899999999999</v>
      </c>
      <c r="G15" s="4">
        <v>95.091999999999999</v>
      </c>
      <c r="H15" s="4">
        <v>135.74</v>
      </c>
      <c r="I15" s="4">
        <v>131.91399999999999</v>
      </c>
      <c r="J15" s="4">
        <f>547.758-I15-H15-G15</f>
        <v>185.01200000000006</v>
      </c>
      <c r="K15" s="4">
        <v>162.49700000000001</v>
      </c>
      <c r="L15" s="13">
        <v>184.52</v>
      </c>
      <c r="M15" s="61">
        <v>186.18199999999999</v>
      </c>
      <c r="N15" s="7">
        <f>736.3-M15-L15-K15</f>
        <v>203.10099999999994</v>
      </c>
      <c r="O15" s="8">
        <v>192.3</v>
      </c>
      <c r="P15" s="4">
        <v>228</v>
      </c>
      <c r="Q15" s="78">
        <v>236.5</v>
      </c>
      <c r="R15" s="78">
        <f>904.2-Q15-P15-O15</f>
        <v>247.40000000000003</v>
      </c>
      <c r="S15" s="78">
        <v>245.8</v>
      </c>
      <c r="T15" s="78">
        <v>261.8</v>
      </c>
      <c r="U15" s="78">
        <v>289.39999999999998</v>
      </c>
      <c r="V15" s="78">
        <f>V52*V8</f>
        <v>292.31585999999993</v>
      </c>
      <c r="W15" s="78">
        <f t="shared" ref="W15:AP15" si="7">W52*W8</f>
        <v>305.46368765999995</v>
      </c>
      <c r="X15" s="78">
        <f t="shared" si="7"/>
        <v>319.60317640553995</v>
      </c>
      <c r="Y15" s="78">
        <f t="shared" si="7"/>
        <v>334.78126735851475</v>
      </c>
      <c r="Z15" s="78">
        <f t="shared" si="7"/>
        <v>351.04830340548176</v>
      </c>
      <c r="AA15" s="78">
        <f t="shared" si="7"/>
        <v>365.56613228857123</v>
      </c>
      <c r="AB15" s="78">
        <f t="shared" si="7"/>
        <v>380.96923561533828</v>
      </c>
      <c r="AC15" s="78">
        <f t="shared" si="7"/>
        <v>397.29337220002878</v>
      </c>
      <c r="AD15" s="78">
        <f t="shared" si="7"/>
        <v>414.5765515460559</v>
      </c>
      <c r="AE15" s="78">
        <f t="shared" si="7"/>
        <v>432.85912061782022</v>
      </c>
      <c r="AF15" s="78">
        <f t="shared" si="7"/>
        <v>452.1838564230203</v>
      </c>
      <c r="AG15" s="78">
        <f t="shared" si="7"/>
        <v>472.59606460951551</v>
      </c>
      <c r="AH15" s="78">
        <f t="shared" si="7"/>
        <v>494.14368429623653</v>
      </c>
      <c r="AI15" s="78">
        <f t="shared" si="7"/>
        <v>516.87739937350761</v>
      </c>
      <c r="AJ15" s="78">
        <f t="shared" si="7"/>
        <v>540.85075652451394</v>
      </c>
      <c r="AK15" s="78">
        <f t="shared" si="7"/>
        <v>566.12029023653872</v>
      </c>
      <c r="AL15" s="78">
        <f t="shared" si="7"/>
        <v>592.74565508807882</v>
      </c>
      <c r="AM15" s="78">
        <f t="shared" si="7"/>
        <v>620.78976561604009</v>
      </c>
      <c r="AN15" s="78">
        <f t="shared" si="7"/>
        <v>650.31894408599283</v>
      </c>
      <c r="AO15" s="78">
        <f t="shared" si="7"/>
        <v>681.40307650795842</v>
      </c>
      <c r="AP15" s="78">
        <f t="shared" si="7"/>
        <v>714.11577726045357</v>
      </c>
    </row>
    <row r="16" spans="1:45 16383:16383">
      <c r="B16" t="s">
        <v>42</v>
      </c>
      <c r="C16" s="4">
        <f t="shared" ref="C16:AP16" si="8">C8-C15</f>
        <v>569.18600000000015</v>
      </c>
      <c r="D16" s="4">
        <f t="shared" si="8"/>
        <v>647.77500000000009</v>
      </c>
      <c r="E16" s="4">
        <f t="shared" si="8"/>
        <v>673.28</v>
      </c>
      <c r="F16" s="4">
        <f t="shared" si="8"/>
        <v>755.15600000000018</v>
      </c>
      <c r="G16" s="4">
        <f t="shared" si="8"/>
        <v>763.34299999999996</v>
      </c>
      <c r="H16" s="4">
        <f t="shared" si="8"/>
        <v>805.55299999999988</v>
      </c>
      <c r="I16" s="4">
        <f t="shared" si="8"/>
        <v>817.91399999999999</v>
      </c>
      <c r="J16" s="4">
        <f>(J8-J15)</f>
        <v>1228.2529999999997</v>
      </c>
      <c r="K16" s="4">
        <f t="shared" si="8"/>
        <v>1352.6099999999997</v>
      </c>
      <c r="L16" s="4">
        <f t="shared" si="8"/>
        <v>1339.9649999999999</v>
      </c>
      <c r="M16" s="4">
        <f>M8-M15</f>
        <v>1352.0889999999999</v>
      </c>
      <c r="N16" s="4">
        <f t="shared" si="8"/>
        <v>1424.7190000000001</v>
      </c>
      <c r="O16" s="4">
        <f t="shared" si="8"/>
        <v>1531.9</v>
      </c>
      <c r="P16" s="4">
        <f t="shared" si="8"/>
        <v>1565.3</v>
      </c>
      <c r="Q16" s="78">
        <f t="shared" si="8"/>
        <v>1747.7</v>
      </c>
      <c r="R16" s="78">
        <f t="shared" si="8"/>
        <v>1826.2999999999997</v>
      </c>
      <c r="S16" s="78">
        <f t="shared" si="8"/>
        <v>1851.7</v>
      </c>
      <c r="T16" s="78">
        <f t="shared" si="8"/>
        <v>1934.3999999999999</v>
      </c>
      <c r="U16" s="78">
        <f t="shared" si="8"/>
        <v>2044.8999999999996</v>
      </c>
      <c r="V16" s="78">
        <f t="shared" si="8"/>
        <v>2143.6496399999996</v>
      </c>
      <c r="W16" s="78">
        <f t="shared" si="8"/>
        <v>2240.0670428399999</v>
      </c>
      <c r="X16" s="78">
        <f t="shared" si="8"/>
        <v>2343.7566269739596</v>
      </c>
      <c r="Y16" s="78">
        <f t="shared" si="8"/>
        <v>2455.0626272957747</v>
      </c>
      <c r="Z16" s="78">
        <f t="shared" si="8"/>
        <v>2574.3542249735328</v>
      </c>
      <c r="AA16" s="78">
        <f t="shared" si="8"/>
        <v>2680.8183034495223</v>
      </c>
      <c r="AB16" s="78">
        <f t="shared" si="8"/>
        <v>2793.7743945124807</v>
      </c>
      <c r="AC16" s="78">
        <f t="shared" si="8"/>
        <v>2913.484729466878</v>
      </c>
      <c r="AD16" s="78">
        <f t="shared" si="8"/>
        <v>3040.228044671077</v>
      </c>
      <c r="AE16" s="78">
        <f t="shared" si="8"/>
        <v>3174.3002178640149</v>
      </c>
      <c r="AF16" s="78">
        <f t="shared" si="8"/>
        <v>3316.0149471021491</v>
      </c>
      <c r="AG16" s="78">
        <f t="shared" si="8"/>
        <v>3465.7044738031141</v>
      </c>
      <c r="AH16" s="78">
        <f t="shared" si="8"/>
        <v>3623.7203515057345</v>
      </c>
      <c r="AI16" s="78">
        <f t="shared" si="8"/>
        <v>3790.4342620723892</v>
      </c>
      <c r="AJ16" s="78">
        <f t="shared" si="8"/>
        <v>3966.2388811797687</v>
      </c>
      <c r="AK16" s="78">
        <f t="shared" si="8"/>
        <v>4151.5487950679508</v>
      </c>
      <c r="AL16" s="78">
        <f t="shared" si="8"/>
        <v>4346.8014706459116</v>
      </c>
      <c r="AM16" s="78">
        <f t="shared" si="8"/>
        <v>4552.4582811842938</v>
      </c>
      <c r="AN16" s="78">
        <f t="shared" si="8"/>
        <v>4769.0055899639483</v>
      </c>
      <c r="AO16" s="78">
        <f t="shared" si="8"/>
        <v>4996.9558943916945</v>
      </c>
      <c r="AP16" s="78">
        <f t="shared" si="8"/>
        <v>5236.8490332433257</v>
      </c>
      <c r="XFC16" s="4"/>
    </row>
    <row r="17" spans="1:43">
      <c r="B17" t="s">
        <v>43</v>
      </c>
      <c r="C17" s="4">
        <v>129.80799999999999</v>
      </c>
      <c r="D17" s="4">
        <v>137.303</v>
      </c>
      <c r="E17" s="4">
        <v>137.29499999999999</v>
      </c>
      <c r="F17" s="4">
        <f>557.616-E17-D17-C17</f>
        <v>153.21000000000004</v>
      </c>
      <c r="G17" s="4">
        <v>147.065</v>
      </c>
      <c r="H17" s="4">
        <v>156.50200000000001</v>
      </c>
      <c r="I17" s="4">
        <v>555.94799999999998</v>
      </c>
      <c r="J17" s="4">
        <v>195.27699999999999</v>
      </c>
      <c r="K17" s="4">
        <v>448.52800000000002</v>
      </c>
      <c r="L17" s="4">
        <v>191.804</v>
      </c>
      <c r="M17" s="61">
        <v>184.55099999999999</v>
      </c>
      <c r="N17" s="7">
        <f>211.843</f>
        <v>211.84299999999999</v>
      </c>
      <c r="O17" s="8">
        <v>192.1</v>
      </c>
      <c r="P17" s="4">
        <v>194.66900000000001</v>
      </c>
      <c r="Q17" s="78">
        <v>198.2</v>
      </c>
      <c r="R17" s="78">
        <f>840.1-Q17-P17-O17</f>
        <v>255.13100000000011</v>
      </c>
      <c r="S17" s="78">
        <v>215.2</v>
      </c>
      <c r="T17" s="78">
        <v>215.3</v>
      </c>
      <c r="U17" s="78">
        <v>246.8</v>
      </c>
      <c r="V17" s="78">
        <f>V8*V53</f>
        <v>255.77637749999991</v>
      </c>
      <c r="W17" s="78">
        <f t="shared" ref="W17:AP17" si="9">W8*W53</f>
        <v>267.28072670249998</v>
      </c>
      <c r="X17" s="78">
        <f t="shared" si="9"/>
        <v>279.65277935484744</v>
      </c>
      <c r="Y17" s="78">
        <f t="shared" si="9"/>
        <v>292.93360893870039</v>
      </c>
      <c r="Z17" s="78">
        <f t="shared" si="9"/>
        <v>307.16726547979653</v>
      </c>
      <c r="AA17" s="78">
        <f t="shared" si="9"/>
        <v>319.87036575249982</v>
      </c>
      <c r="AB17" s="78">
        <f t="shared" si="9"/>
        <v>333.348081163421</v>
      </c>
      <c r="AC17" s="78">
        <f t="shared" si="9"/>
        <v>347.63170067502523</v>
      </c>
      <c r="AD17" s="78">
        <f t="shared" si="9"/>
        <v>362.75448260279893</v>
      </c>
      <c r="AE17" s="78">
        <f t="shared" si="9"/>
        <v>378.75173054059269</v>
      </c>
      <c r="AF17" s="78">
        <f t="shared" si="9"/>
        <v>395.66087437014278</v>
      </c>
      <c r="AG17" s="78">
        <f t="shared" si="9"/>
        <v>413.52155653332608</v>
      </c>
      <c r="AH17" s="78">
        <f t="shared" si="9"/>
        <v>432.37572375920695</v>
      </c>
      <c r="AI17" s="78">
        <f t="shared" si="9"/>
        <v>452.26772445181916</v>
      </c>
      <c r="AJ17" s="78">
        <f t="shared" si="9"/>
        <v>473.24441195894968</v>
      </c>
      <c r="AK17" s="78">
        <f t="shared" si="9"/>
        <v>495.35525395697135</v>
      </c>
      <c r="AL17" s="78">
        <f t="shared" si="9"/>
        <v>518.65244820206897</v>
      </c>
      <c r="AM17" s="78">
        <f t="shared" si="9"/>
        <v>543.19104491403505</v>
      </c>
      <c r="AN17" s="78">
        <f t="shared" si="9"/>
        <v>569.02907607524378</v>
      </c>
      <c r="AO17" s="78">
        <f t="shared" si="9"/>
        <v>596.22769194446357</v>
      </c>
      <c r="AP17" s="78">
        <f t="shared" si="9"/>
        <v>624.85130510289684</v>
      </c>
    </row>
    <row r="18" spans="1:43">
      <c r="B18" t="s">
        <v>44</v>
      </c>
      <c r="C18" s="4">
        <v>310.553</v>
      </c>
      <c r="D18" s="13">
        <v>337.53199999999998</v>
      </c>
      <c r="E18" s="4">
        <v>330.51</v>
      </c>
      <c r="F18" s="4">
        <f>1416.476-E18-D18-C18</f>
        <v>437.8810000000002</v>
      </c>
      <c r="G18" s="4">
        <v>339.49</v>
      </c>
      <c r="H18" s="4">
        <v>379.09100000000001</v>
      </c>
      <c r="I18" s="4">
        <v>159.67400000000001</v>
      </c>
      <c r="J18" s="4">
        <v>480.01100000000002</v>
      </c>
      <c r="K18" s="4">
        <v>182.25800000000001</v>
      </c>
      <c r="L18" s="4">
        <v>420.928</v>
      </c>
      <c r="M18" s="61">
        <v>493.49700000000001</v>
      </c>
      <c r="N18" s="7">
        <v>466.584</v>
      </c>
      <c r="O18" s="8">
        <v>455.9</v>
      </c>
      <c r="P18" s="4">
        <v>1407.09</v>
      </c>
      <c r="Q18" s="78">
        <v>493.8</v>
      </c>
      <c r="R18" s="78">
        <f>3051.1-Q18-P18-O18</f>
        <v>694.30999999999983</v>
      </c>
      <c r="S18" s="78">
        <v>603.1</v>
      </c>
      <c r="T18" s="78">
        <v>600.1</v>
      </c>
      <c r="U18" s="78">
        <v>645</v>
      </c>
      <c r="V18" s="78">
        <f>V8*V54</f>
        <v>730.78964999999982</v>
      </c>
      <c r="W18" s="78">
        <f t="shared" ref="W18:AP18" si="10">W8*W54</f>
        <v>763.6592191499999</v>
      </c>
      <c r="X18" s="78">
        <f t="shared" si="10"/>
        <v>799.00794101384986</v>
      </c>
      <c r="Y18" s="78">
        <f t="shared" si="10"/>
        <v>836.95316839628686</v>
      </c>
      <c r="Z18" s="78">
        <f t="shared" si="10"/>
        <v>877.62075851370435</v>
      </c>
      <c r="AA18" s="78">
        <f t="shared" si="10"/>
        <v>913.91533072142806</v>
      </c>
      <c r="AB18" s="78">
        <f t="shared" si="10"/>
        <v>952.42308903834567</v>
      </c>
      <c r="AC18" s="78">
        <f t="shared" si="10"/>
        <v>993.23343050007202</v>
      </c>
      <c r="AD18" s="78">
        <f t="shared" si="10"/>
        <v>1036.4413788651398</v>
      </c>
      <c r="AE18" s="78">
        <f t="shared" si="10"/>
        <v>1082.1478015445505</v>
      </c>
      <c r="AF18" s="78">
        <f t="shared" si="10"/>
        <v>1130.4596410575507</v>
      </c>
      <c r="AG18" s="78">
        <f t="shared" si="10"/>
        <v>1181.4901615237889</v>
      </c>
      <c r="AH18" s="78">
        <f t="shared" si="10"/>
        <v>1235.3592107405914</v>
      </c>
      <c r="AI18" s="78">
        <f t="shared" si="10"/>
        <v>1292.193498433769</v>
      </c>
      <c r="AJ18" s="78">
        <f t="shared" si="10"/>
        <v>1352.1268913112847</v>
      </c>
      <c r="AK18" s="78">
        <f t="shared" si="10"/>
        <v>1415.3007255913467</v>
      </c>
      <c r="AL18" s="78">
        <f t="shared" si="10"/>
        <v>1481.864137720197</v>
      </c>
      <c r="AM18" s="78">
        <f t="shared" si="10"/>
        <v>1551.9744140401001</v>
      </c>
      <c r="AN18" s="78">
        <f t="shared" si="10"/>
        <v>1625.7973602149821</v>
      </c>
      <c r="AO18" s="78">
        <f t="shared" si="10"/>
        <v>1703.507691269896</v>
      </c>
      <c r="AP18" s="78">
        <f t="shared" si="10"/>
        <v>1785.2894431511338</v>
      </c>
    </row>
    <row r="19" spans="1:43">
      <c r="B19" t="s">
        <v>164</v>
      </c>
      <c r="C19" s="4">
        <v>0</v>
      </c>
      <c r="D19" s="4">
        <v>0</v>
      </c>
      <c r="E19" s="4">
        <v>0</v>
      </c>
      <c r="F19" s="4">
        <f>29.004</f>
        <v>29.004000000000001</v>
      </c>
      <c r="G19" s="4">
        <v>0</v>
      </c>
      <c r="H19" s="4">
        <v>0</v>
      </c>
      <c r="I19" s="4">
        <v>0</v>
      </c>
      <c r="J19" s="4">
        <v>0</v>
      </c>
      <c r="K19" s="4">
        <v>0</v>
      </c>
      <c r="L19" s="4">
        <v>0</v>
      </c>
      <c r="M19" s="7">
        <v>0</v>
      </c>
      <c r="N19" s="7">
        <v>0</v>
      </c>
      <c r="O19" s="8">
        <v>0</v>
      </c>
      <c r="P19" s="4">
        <v>0</v>
      </c>
      <c r="Q19" s="78">
        <v>0</v>
      </c>
      <c r="R19" s="78">
        <v>0</v>
      </c>
      <c r="S19" s="78">
        <v>0</v>
      </c>
      <c r="T19" s="78">
        <v>61.9</v>
      </c>
      <c r="U19" s="78">
        <v>29</v>
      </c>
      <c r="V19" s="78">
        <v>0</v>
      </c>
      <c r="W19" s="78">
        <v>0</v>
      </c>
      <c r="X19" s="78">
        <v>0</v>
      </c>
      <c r="Y19" s="78">
        <v>0</v>
      </c>
      <c r="Z19" s="78">
        <v>0</v>
      </c>
      <c r="AA19" s="78">
        <v>0</v>
      </c>
      <c r="AB19" s="78">
        <v>0</v>
      </c>
      <c r="AC19" s="78">
        <v>0</v>
      </c>
      <c r="AD19" s="78">
        <v>0</v>
      </c>
      <c r="AE19" s="78">
        <v>0</v>
      </c>
      <c r="AF19" s="78">
        <v>0</v>
      </c>
      <c r="AG19" s="78">
        <v>0</v>
      </c>
      <c r="AH19" s="78">
        <v>0</v>
      </c>
      <c r="AI19" s="78">
        <v>0</v>
      </c>
      <c r="AJ19" s="78">
        <v>0</v>
      </c>
      <c r="AK19" s="78">
        <v>0</v>
      </c>
      <c r="AL19" s="78">
        <v>0</v>
      </c>
      <c r="AM19" s="78">
        <v>0</v>
      </c>
      <c r="AN19" s="78">
        <v>0</v>
      </c>
      <c r="AO19" s="78">
        <v>0</v>
      </c>
      <c r="AP19" s="78">
        <v>0</v>
      </c>
    </row>
    <row r="20" spans="1:43">
      <c r="B20" t="s">
        <v>165</v>
      </c>
      <c r="C20" s="4">
        <v>0</v>
      </c>
      <c r="D20" s="4">
        <v>0</v>
      </c>
      <c r="E20" s="4">
        <v>-0.17399999999999999</v>
      </c>
      <c r="F20" s="4">
        <v>0</v>
      </c>
      <c r="G20" s="4">
        <v>0</v>
      </c>
      <c r="H20" s="4">
        <v>0</v>
      </c>
      <c r="I20" s="4">
        <v>2.9590000000000001</v>
      </c>
      <c r="J20" s="4">
        <v>1.5</v>
      </c>
      <c r="K20" s="4">
        <v>1.6</v>
      </c>
      <c r="L20" s="4">
        <v>9.1999999999999993</v>
      </c>
      <c r="M20" s="7">
        <v>1.8</v>
      </c>
      <c r="N20" s="7">
        <v>0.5</v>
      </c>
      <c r="O20" s="8">
        <v>-3.9</v>
      </c>
      <c r="P20" s="4">
        <v>1.6</v>
      </c>
      <c r="Q20" s="78">
        <v>1.2</v>
      </c>
      <c r="R20" s="78">
        <v>-2</v>
      </c>
      <c r="S20" s="78">
        <v>-7.5</v>
      </c>
      <c r="T20" s="78">
        <v>-49.2</v>
      </c>
      <c r="U20" s="78">
        <v>-2.6</v>
      </c>
      <c r="V20" s="78">
        <v>0</v>
      </c>
      <c r="W20" s="78">
        <v>0</v>
      </c>
      <c r="X20" s="78">
        <v>0</v>
      </c>
      <c r="Y20" s="78">
        <v>0</v>
      </c>
      <c r="Z20" s="78">
        <v>0</v>
      </c>
      <c r="AA20" s="78">
        <v>0</v>
      </c>
      <c r="AB20" s="78">
        <v>0</v>
      </c>
      <c r="AC20" s="78">
        <v>0</v>
      </c>
      <c r="AD20" s="78">
        <v>0</v>
      </c>
      <c r="AE20" s="78">
        <v>0</v>
      </c>
      <c r="AF20" s="78">
        <v>0</v>
      </c>
      <c r="AG20" s="78">
        <v>0</v>
      </c>
      <c r="AH20" s="78">
        <v>0</v>
      </c>
      <c r="AI20" s="78">
        <v>0</v>
      </c>
      <c r="AJ20" s="78">
        <v>0</v>
      </c>
      <c r="AK20" s="78">
        <v>0</v>
      </c>
      <c r="AL20" s="78">
        <v>0</v>
      </c>
      <c r="AM20" s="78">
        <v>0</v>
      </c>
      <c r="AN20" s="78">
        <v>0</v>
      </c>
      <c r="AO20" s="78">
        <v>0</v>
      </c>
      <c r="AP20" s="78">
        <v>0</v>
      </c>
    </row>
    <row r="21" spans="1:43" ht="17" thickBot="1">
      <c r="A21" s="9"/>
      <c r="B21" s="3" t="s">
        <v>45</v>
      </c>
      <c r="C21" s="3">
        <f t="shared" ref="C21:Q21" si="11">SUM(C17:C20)</f>
        <v>440.36099999999999</v>
      </c>
      <c r="D21" s="62">
        <f t="shared" si="11"/>
        <v>474.83499999999998</v>
      </c>
      <c r="E21" s="3">
        <f t="shared" si="11"/>
        <v>467.63099999999997</v>
      </c>
      <c r="F21" s="3">
        <f t="shared" si="11"/>
        <v>620.09500000000025</v>
      </c>
      <c r="G21" s="3">
        <f t="shared" si="11"/>
        <v>486.55500000000001</v>
      </c>
      <c r="H21" s="3">
        <f t="shared" si="11"/>
        <v>535.59300000000007</v>
      </c>
      <c r="I21" s="3">
        <f t="shared" si="11"/>
        <v>718.5809999999999</v>
      </c>
      <c r="J21" s="3">
        <f t="shared" si="11"/>
        <v>676.78800000000001</v>
      </c>
      <c r="K21" s="3">
        <f t="shared" si="11"/>
        <v>632.38600000000008</v>
      </c>
      <c r="L21" s="3">
        <f>SUM(L17:L20)</f>
        <v>621.93200000000002</v>
      </c>
      <c r="M21" s="3">
        <f>SUM(M17:M20)</f>
        <v>679.84799999999996</v>
      </c>
      <c r="N21" s="3">
        <f t="shared" si="11"/>
        <v>678.92700000000002</v>
      </c>
      <c r="O21" s="3">
        <f t="shared" si="11"/>
        <v>644.1</v>
      </c>
      <c r="P21" s="3">
        <f t="shared" si="11"/>
        <v>1603.3589999999999</v>
      </c>
      <c r="Q21" s="89">
        <f t="shared" si="11"/>
        <v>693.2</v>
      </c>
      <c r="R21" s="89">
        <f>SUM(R17:R20)</f>
        <v>947.44099999999992</v>
      </c>
      <c r="S21" s="89">
        <f>SUM(S17:S20)</f>
        <v>810.8</v>
      </c>
      <c r="T21" s="89">
        <f>SUM(T17:T20)</f>
        <v>828.1</v>
      </c>
      <c r="U21" s="89">
        <f t="shared" ref="U21" si="12">SUM(U17:U20)</f>
        <v>918.19999999999993</v>
      </c>
      <c r="V21" s="89">
        <f t="shared" ref="V21:AP21" si="13">SUM(V17:V19)</f>
        <v>986.56602749999979</v>
      </c>
      <c r="W21" s="89">
        <f t="shared" si="13"/>
        <v>1030.9399458524999</v>
      </c>
      <c r="X21" s="89">
        <f t="shared" si="13"/>
        <v>1078.6607203686972</v>
      </c>
      <c r="Y21" s="89">
        <f t="shared" si="13"/>
        <v>1129.8867773349873</v>
      </c>
      <c r="Z21" s="89">
        <f t="shared" si="13"/>
        <v>1184.7880239935009</v>
      </c>
      <c r="AA21" s="89">
        <f t="shared" si="13"/>
        <v>1233.7856964739278</v>
      </c>
      <c r="AB21" s="89">
        <f t="shared" si="13"/>
        <v>1285.7711702017666</v>
      </c>
      <c r="AC21" s="89">
        <f t="shared" si="13"/>
        <v>1340.8651311750973</v>
      </c>
      <c r="AD21" s="89">
        <f t="shared" si="13"/>
        <v>1399.1958614679388</v>
      </c>
      <c r="AE21" s="89">
        <f t="shared" si="13"/>
        <v>1460.8995320851432</v>
      </c>
      <c r="AF21" s="89">
        <f t="shared" si="13"/>
        <v>1526.1205154276936</v>
      </c>
      <c r="AG21" s="89">
        <f t="shared" si="13"/>
        <v>1595.0117180571149</v>
      </c>
      <c r="AH21" s="89">
        <f t="shared" si="13"/>
        <v>1667.7349344997983</v>
      </c>
      <c r="AI21" s="89">
        <f t="shared" si="13"/>
        <v>1744.4612228855881</v>
      </c>
      <c r="AJ21" s="89">
        <f t="shared" si="13"/>
        <v>1825.3713032702344</v>
      </c>
      <c r="AK21" s="89">
        <f t="shared" si="13"/>
        <v>1910.6559795483181</v>
      </c>
      <c r="AL21" s="89">
        <f t="shared" si="13"/>
        <v>2000.5165859222661</v>
      </c>
      <c r="AM21" s="89">
        <f t="shared" si="13"/>
        <v>2095.1654589541349</v>
      </c>
      <c r="AN21" s="89">
        <f t="shared" si="13"/>
        <v>2194.826436290226</v>
      </c>
      <c r="AO21" s="89">
        <f t="shared" si="13"/>
        <v>2299.7353832143594</v>
      </c>
      <c r="AP21" s="89">
        <f t="shared" si="13"/>
        <v>2410.1407482540308</v>
      </c>
    </row>
    <row r="22" spans="1:43">
      <c r="B22" t="s">
        <v>46</v>
      </c>
      <c r="C22" s="53">
        <f t="shared" ref="C22:P22" si="14">C16-C21</f>
        <v>128.82500000000016</v>
      </c>
      <c r="D22" s="53">
        <f t="shared" si="14"/>
        <v>172.94000000000011</v>
      </c>
      <c r="E22" s="53">
        <f t="shared" si="14"/>
        <v>205.649</v>
      </c>
      <c r="F22" s="53">
        <f t="shared" si="14"/>
        <v>135.06099999999992</v>
      </c>
      <c r="G22" s="53">
        <f t="shared" si="14"/>
        <v>276.78799999999995</v>
      </c>
      <c r="H22" s="53">
        <f t="shared" si="14"/>
        <v>269.95999999999981</v>
      </c>
      <c r="I22" s="53">
        <f t="shared" si="14"/>
        <v>99.333000000000084</v>
      </c>
      <c r="J22" s="53">
        <f t="shared" si="14"/>
        <v>551.46499999999969</v>
      </c>
      <c r="K22" s="53">
        <f t="shared" si="14"/>
        <v>720.22399999999959</v>
      </c>
      <c r="L22" s="53">
        <f>L16-L21</f>
        <v>718.0329999999999</v>
      </c>
      <c r="M22" s="53">
        <f t="shared" si="14"/>
        <v>672.24099999999999</v>
      </c>
      <c r="N22" s="53">
        <f t="shared" si="14"/>
        <v>745.79200000000003</v>
      </c>
      <c r="O22" s="53">
        <f t="shared" si="14"/>
        <v>887.80000000000007</v>
      </c>
      <c r="P22" s="53">
        <f t="shared" si="14"/>
        <v>-38.058999999999969</v>
      </c>
      <c r="Q22" s="53">
        <f>Q16-Q21</f>
        <v>1054.5</v>
      </c>
      <c r="R22" s="53">
        <f>R16-R21</f>
        <v>878.85899999999981</v>
      </c>
      <c r="S22" s="53">
        <f>S16-S21</f>
        <v>1040.9000000000001</v>
      </c>
      <c r="T22" s="53">
        <f>T16-T21</f>
        <v>1106.2999999999997</v>
      </c>
      <c r="U22" s="4">
        <f t="shared" ref="U22:AP22" si="15">U16-U21</f>
        <v>1126.6999999999998</v>
      </c>
      <c r="V22" s="4">
        <f t="shared" si="15"/>
        <v>1157.0836124999998</v>
      </c>
      <c r="W22" s="4">
        <f t="shared" si="15"/>
        <v>1209.1270969875</v>
      </c>
      <c r="X22" s="4">
        <f t="shared" si="15"/>
        <v>1265.0959066052624</v>
      </c>
      <c r="Y22" s="4">
        <f t="shared" si="15"/>
        <v>1325.1758499607874</v>
      </c>
      <c r="Z22" s="4">
        <f t="shared" si="15"/>
        <v>1389.5662009800319</v>
      </c>
      <c r="AA22" s="4">
        <f t="shared" si="15"/>
        <v>1447.0326069755945</v>
      </c>
      <c r="AB22" s="4">
        <f t="shared" si="15"/>
        <v>1508.0032243107141</v>
      </c>
      <c r="AC22" s="4">
        <f t="shared" si="15"/>
        <v>1572.6195982917807</v>
      </c>
      <c r="AD22" s="4">
        <f t="shared" si="15"/>
        <v>1641.0321832031382</v>
      </c>
      <c r="AE22" s="4">
        <f t="shared" si="15"/>
        <v>1713.4006857788718</v>
      </c>
      <c r="AF22" s="4">
        <f t="shared" si="15"/>
        <v>1789.8944316744555</v>
      </c>
      <c r="AG22" s="4">
        <f t="shared" si="15"/>
        <v>1870.6927557459992</v>
      </c>
      <c r="AH22" s="4">
        <f t="shared" si="15"/>
        <v>1955.9854170059361</v>
      </c>
      <c r="AI22" s="4">
        <f t="shared" si="15"/>
        <v>2045.9730391868011</v>
      </c>
      <c r="AJ22" s="4">
        <f t="shared" si="15"/>
        <v>2140.8675779095342</v>
      </c>
      <c r="AK22" s="4">
        <f t="shared" si="15"/>
        <v>2240.8928155196327</v>
      </c>
      <c r="AL22" s="4">
        <f t="shared" si="15"/>
        <v>2346.2848847236455</v>
      </c>
      <c r="AM22" s="4">
        <f t="shared" si="15"/>
        <v>2457.2928222301589</v>
      </c>
      <c r="AN22" s="4">
        <f t="shared" si="15"/>
        <v>2574.1791536737223</v>
      </c>
      <c r="AO22" s="4">
        <f t="shared" si="15"/>
        <v>2697.2205111773351</v>
      </c>
      <c r="AP22" s="4">
        <f t="shared" si="15"/>
        <v>2826.708284989295</v>
      </c>
    </row>
    <row r="23" spans="1:43">
      <c r="B23" t="s">
        <v>47</v>
      </c>
      <c r="C23" s="4">
        <f>'Cash Flow Statement'!C12</f>
        <v>16.343</v>
      </c>
      <c r="D23" s="4">
        <f>'Cash Flow Statement'!D12</f>
        <v>34.402000000000001</v>
      </c>
      <c r="E23" s="4">
        <f>'Cash Flow Statement'!E12</f>
        <v>53.594000000000001</v>
      </c>
      <c r="F23" s="4">
        <f>'Cash Flow Statement'!F12</f>
        <v>72.42</v>
      </c>
      <c r="G23" s="4">
        <f>'Cash Flow Statement'!G12</f>
        <v>27.14</v>
      </c>
      <c r="H23" s="4">
        <f>'Cash Flow Statement'!H12</f>
        <v>54.838000000000001</v>
      </c>
      <c r="I23" s="4">
        <f>'Cash Flow Statement'!I12</f>
        <v>80.685000000000002</v>
      </c>
      <c r="J23" s="4">
        <f>'Cash Flow Statement'!J12</f>
        <v>106.941</v>
      </c>
      <c r="K23" s="4">
        <f>'Cash Flow Statement'!K12</f>
        <v>26.821000000000002</v>
      </c>
      <c r="L23" s="4">
        <f>'Cash Flow Statement'!L12</f>
        <v>53.518000000000001</v>
      </c>
      <c r="M23" s="4">
        <f>'Cash Flow Statement'!M12</f>
        <v>80.16</v>
      </c>
      <c r="N23" s="4">
        <f>'Cash Flow Statement'!N12</f>
        <v>109.515</v>
      </c>
      <c r="O23" s="4">
        <f>'Cash Flow Statement'!O12</f>
        <v>28.834</v>
      </c>
      <c r="P23" s="4">
        <f>'Cash Flow Statement'!P12</f>
        <v>60</v>
      </c>
      <c r="Q23" s="4">
        <f>'Cash Flow Statement'!Q12</f>
        <v>91.8</v>
      </c>
      <c r="R23" s="4">
        <f>'Cash Flow Statement'!R12</f>
        <v>125.6</v>
      </c>
      <c r="S23" s="4">
        <f>'Cash Flow Statement'!S12</f>
        <v>35.9</v>
      </c>
      <c r="T23" s="53">
        <f>'Cash Flow Statement'!T12</f>
        <v>73.2</v>
      </c>
      <c r="U23" s="53">
        <f>'Cash Flow Statement'!U12</f>
        <v>109.9</v>
      </c>
      <c r="V23" s="4">
        <f>'D&amp;A and Capex'!V11</f>
        <v>199.69229583540397</v>
      </c>
      <c r="W23" s="4">
        <f>'D&amp;A and Capex'!W11</f>
        <v>118.91733352869197</v>
      </c>
      <c r="X23" s="4">
        <f>'D&amp;A and Capex'!X11</f>
        <v>187.45482429362715</v>
      </c>
      <c r="Y23" s="4">
        <f>'D&amp;A and Capex'!Y11</f>
        <v>152.95460007415483</v>
      </c>
      <c r="Z23" s="4">
        <f>'D&amp;A and Capex'!Z11</f>
        <v>239.81470473810123</v>
      </c>
      <c r="AA23" s="4">
        <f>'D&amp;A and Capex'!AA11</f>
        <v>142.31527816995765</v>
      </c>
      <c r="AB23" s="4">
        <f>'D&amp;A and Capex'!AB11</f>
        <v>223.44746984909125</v>
      </c>
      <c r="AC23" s="4">
        <f>'D&amp;A and Capex'!AC11</f>
        <v>181.51508098537636</v>
      </c>
      <c r="AD23" s="4">
        <f>'D&amp;A and Capex'!AD11</f>
        <v>283.21331376873161</v>
      </c>
      <c r="AE23" s="4">
        <f>'D&amp;A and Capex'!AE11</f>
        <v>168.51250900480159</v>
      </c>
      <c r="AF23" s="4">
        <f>'D&amp;A and Capex'!AF11</f>
        <v>265.21652978390961</v>
      </c>
      <c r="AG23" s="4">
        <f>'D&amp;A and Capex'!AG11</f>
        <v>215.9193154064908</v>
      </c>
      <c r="AH23" s="4">
        <f>'D&amp;A and Capex'!AH11</f>
        <v>337.5687066369938</v>
      </c>
      <c r="AI23" s="4">
        <f>'D&amp;A and Capex'!AI11</f>
        <v>201.22091291963139</v>
      </c>
      <c r="AJ23" s="4">
        <f>'D&amp;A and Capex'!AJ11</f>
        <v>317.22176441929969</v>
      </c>
      <c r="AK23" s="4">
        <f>'D&amp;A and Capex'!AK11</f>
        <v>258.64858948115784</v>
      </c>
      <c r="AL23" s="4">
        <f>'D&amp;A and Capex'!AL11</f>
        <v>404.92753527297151</v>
      </c>
      <c r="AM23" s="4">
        <f>'D&amp;A and Capex'!AM11</f>
        <v>241.67410592885386</v>
      </c>
      <c r="AN23" s="4">
        <f>'D&amp;A and Capex'!AN11</f>
        <v>381.42744627723243</v>
      </c>
      <c r="AO23" s="4">
        <f>'D&amp;A and Capex'!AO11</f>
        <v>311.31889749661849</v>
      </c>
      <c r="AP23" s="4">
        <f>'D&amp;A and Capex'!AP11</f>
        <v>487.84017074346895</v>
      </c>
    </row>
    <row r="24" spans="1:43" s="4" customFormat="1">
      <c r="A24"/>
      <c r="B24" t="s">
        <v>48</v>
      </c>
      <c r="C24" s="53">
        <f t="shared" ref="C24:P24" si="16">C22+C23</f>
        <v>145.16800000000015</v>
      </c>
      <c r="D24" s="58">
        <f t="shared" si="16"/>
        <v>207.3420000000001</v>
      </c>
      <c r="E24" s="53">
        <f t="shared" si="16"/>
        <v>259.24299999999999</v>
      </c>
      <c r="F24" s="53">
        <f t="shared" si="16"/>
        <v>207.48099999999994</v>
      </c>
      <c r="G24" s="53">
        <f t="shared" si="16"/>
        <v>303.92799999999994</v>
      </c>
      <c r="H24" s="53">
        <f t="shared" si="16"/>
        <v>324.79799999999983</v>
      </c>
      <c r="I24" s="53">
        <f t="shared" si="16"/>
        <v>180.01800000000009</v>
      </c>
      <c r="J24" s="53">
        <f t="shared" si="16"/>
        <v>658.40599999999972</v>
      </c>
      <c r="K24" s="53">
        <f t="shared" si="16"/>
        <v>747.04499999999962</v>
      </c>
      <c r="L24" s="53">
        <f t="shared" si="16"/>
        <v>771.55099999999993</v>
      </c>
      <c r="M24" s="53">
        <f t="shared" si="16"/>
        <v>752.40099999999995</v>
      </c>
      <c r="N24" s="53">
        <f t="shared" si="16"/>
        <v>855.30700000000002</v>
      </c>
      <c r="O24" s="53">
        <f t="shared" si="16"/>
        <v>916.63400000000001</v>
      </c>
      <c r="P24" s="53">
        <f t="shared" si="16"/>
        <v>21.941000000000031</v>
      </c>
      <c r="Q24" s="53">
        <f>Q22+Q23</f>
        <v>1146.3</v>
      </c>
      <c r="R24" s="53">
        <f>R22+R23</f>
        <v>1004.4589999999998</v>
      </c>
      <c r="S24" s="4">
        <f>S22+S23</f>
        <v>1076.8000000000002</v>
      </c>
      <c r="T24" s="53">
        <f>T22+T23</f>
        <v>1179.4999999999998</v>
      </c>
      <c r="U24" s="4">
        <f t="shared" ref="U24:AP24" si="17">U22+U23</f>
        <v>1236.5999999999999</v>
      </c>
      <c r="V24" s="4">
        <f t="shared" si="17"/>
        <v>1356.7759083354038</v>
      </c>
      <c r="W24" s="4">
        <f t="shared" si="17"/>
        <v>1328.0444305161918</v>
      </c>
      <c r="X24" s="4">
        <f t="shared" si="17"/>
        <v>1452.5507308988895</v>
      </c>
      <c r="Y24" s="4">
        <f t="shared" si="17"/>
        <v>1478.1304500349422</v>
      </c>
      <c r="Z24" s="4">
        <f t="shared" si="17"/>
        <v>1629.3809057181331</v>
      </c>
      <c r="AA24" s="4">
        <f t="shared" si="17"/>
        <v>1589.347885145552</v>
      </c>
      <c r="AB24" s="4">
        <f t="shared" si="17"/>
        <v>1731.4506941598054</v>
      </c>
      <c r="AC24" s="4">
        <f t="shared" si="17"/>
        <v>1754.1346792771569</v>
      </c>
      <c r="AD24" s="4">
        <f t="shared" si="17"/>
        <v>1924.2454969718697</v>
      </c>
      <c r="AE24" s="4">
        <f t="shared" si="17"/>
        <v>1881.9131947836734</v>
      </c>
      <c r="AF24" s="4">
        <f t="shared" si="17"/>
        <v>2055.1109614583652</v>
      </c>
      <c r="AG24" s="4">
        <f t="shared" si="17"/>
        <v>2086.61207115249</v>
      </c>
      <c r="AH24" s="4">
        <f t="shared" si="17"/>
        <v>2293.5541236429299</v>
      </c>
      <c r="AI24" s="4">
        <f t="shared" si="17"/>
        <v>2247.1939521064323</v>
      </c>
      <c r="AJ24" s="4">
        <f t="shared" si="17"/>
        <v>2458.0893423288339</v>
      </c>
      <c r="AK24" s="4">
        <f t="shared" si="17"/>
        <v>2499.5414050007903</v>
      </c>
      <c r="AL24" s="4">
        <f t="shared" si="17"/>
        <v>2751.212419996617</v>
      </c>
      <c r="AM24" s="4">
        <f t="shared" si="17"/>
        <v>2698.9669281590127</v>
      </c>
      <c r="AN24" s="4">
        <f t="shared" si="17"/>
        <v>2955.6065999509547</v>
      </c>
      <c r="AO24" s="4">
        <f t="shared" si="17"/>
        <v>3008.5394086739534</v>
      </c>
      <c r="AP24" s="4">
        <f t="shared" si="17"/>
        <v>3314.5484557327641</v>
      </c>
    </row>
    <row r="25" spans="1:43" s="4" customFormat="1">
      <c r="A25"/>
      <c r="B25" t="s">
        <v>128</v>
      </c>
      <c r="C25" s="53">
        <v>-11.097</v>
      </c>
      <c r="D25" s="4">
        <v>10.106</v>
      </c>
      <c r="E25" s="4">
        <v>8.1430000000000007</v>
      </c>
      <c r="F25" s="4">
        <v>-4.7729999999999997</v>
      </c>
      <c r="G25" s="4">
        <v>15.615</v>
      </c>
      <c r="H25" s="4">
        <v>18.076000000000001</v>
      </c>
      <c r="I25" s="4">
        <v>17.628</v>
      </c>
      <c r="J25" s="4">
        <f>63.678-I25-H25-G25</f>
        <v>12.358999999999996</v>
      </c>
      <c r="K25" s="4">
        <v>12.576000000000001</v>
      </c>
      <c r="L25" s="4">
        <v>4.2430000000000003</v>
      </c>
      <c r="M25" s="4">
        <v>3.1</v>
      </c>
      <c r="N25" s="58">
        <f>2.32-16.288</f>
        <v>-13.968</v>
      </c>
      <c r="O25" s="4">
        <v>1.5</v>
      </c>
      <c r="P25" s="4">
        <v>1.1000000000000001</v>
      </c>
      <c r="Q25" s="53">
        <v>1.1160000000000001</v>
      </c>
      <c r="R25" s="53">
        <f>4.9-Q25-P25-O25</f>
        <v>1.1840000000000002</v>
      </c>
      <c r="S25" s="53">
        <v>1.6</v>
      </c>
      <c r="T25" s="53">
        <v>10.8</v>
      </c>
      <c r="U25" s="4">
        <v>46.2</v>
      </c>
      <c r="V25" s="4">
        <f>V8*V55</f>
        <v>1.9487723999999995</v>
      </c>
      <c r="W25" s="4">
        <f t="shared" ref="W25:AP25" si="18">W8*W55</f>
        <v>2.0364245843999997</v>
      </c>
      <c r="X25" s="4">
        <f t="shared" si="18"/>
        <v>2.1306878427035998</v>
      </c>
      <c r="Y25" s="4">
        <f t="shared" si="18"/>
        <v>2.2318751157234318</v>
      </c>
      <c r="Z25" s="4">
        <f t="shared" si="18"/>
        <v>2.3403220227032118</v>
      </c>
      <c r="AA25" s="4">
        <f t="shared" si="18"/>
        <v>2.437107548590475</v>
      </c>
      <c r="AB25" s="4">
        <f t="shared" si="18"/>
        <v>2.5397949041022554</v>
      </c>
      <c r="AC25" s="4">
        <f t="shared" si="18"/>
        <v>2.6486224813335255</v>
      </c>
      <c r="AD25" s="4">
        <f t="shared" si="18"/>
        <v>2.7638436769737065</v>
      </c>
      <c r="AE25" s="4">
        <f t="shared" si="18"/>
        <v>2.8857274707854681</v>
      </c>
      <c r="AF25" s="4">
        <f t="shared" si="18"/>
        <v>3.0145590428201356</v>
      </c>
      <c r="AG25" s="4">
        <f t="shared" si="18"/>
        <v>3.1506404307301037</v>
      </c>
      <c r="AH25" s="4">
        <f t="shared" si="18"/>
        <v>3.2942912286415771</v>
      </c>
      <c r="AI25" s="4">
        <f t="shared" si="18"/>
        <v>3.4458493291567174</v>
      </c>
      <c r="AJ25" s="4">
        <f t="shared" si="18"/>
        <v>3.6056717101634264</v>
      </c>
      <c r="AK25" s="4">
        <f t="shared" si="18"/>
        <v>3.7741352682435916</v>
      </c>
      <c r="AL25" s="4">
        <f t="shared" si="18"/>
        <v>3.9516377005871925</v>
      </c>
      <c r="AM25" s="4">
        <f t="shared" si="18"/>
        <v>4.1385984374402671</v>
      </c>
      <c r="AN25" s="4">
        <f t="shared" si="18"/>
        <v>4.3354596272399526</v>
      </c>
      <c r="AO25" s="4">
        <f t="shared" si="18"/>
        <v>4.5426871767197232</v>
      </c>
      <c r="AP25" s="4">
        <f t="shared" si="18"/>
        <v>4.7607718484030235</v>
      </c>
    </row>
    <row r="26" spans="1:43">
      <c r="B26" t="s">
        <v>195</v>
      </c>
      <c r="C26" s="53">
        <v>-96.837999999999994</v>
      </c>
      <c r="D26" s="53">
        <v>-53.819000000000003</v>
      </c>
      <c r="E26" s="4">
        <v>60.994999999999997</v>
      </c>
      <c r="F26" s="4">
        <v>90.451999999999998</v>
      </c>
      <c r="G26" s="4">
        <f>14.868-42.61</f>
        <v>-27.741999999999997</v>
      </c>
      <c r="H26" s="4">
        <f>14-53.939</f>
        <v>-39.939</v>
      </c>
      <c r="I26" s="4">
        <f>14.548+31.747</f>
        <v>46.295000000000002</v>
      </c>
      <c r="J26" s="4">
        <f>(58.502-192.177)-I26-H26-G26</f>
        <v>-112.28899999999999</v>
      </c>
      <c r="K26" s="4">
        <f>14.136+61.13</f>
        <v>75.266000000000005</v>
      </c>
      <c r="L26" s="4">
        <f>13.871-116.375</f>
        <v>-102.504</v>
      </c>
      <c r="M26" s="10">
        <f>-84.386+13.148</f>
        <v>-71.238</v>
      </c>
      <c r="N26" s="10">
        <f>-156.799</f>
        <v>-156.79900000000001</v>
      </c>
      <c r="O26" s="8">
        <f>15.6+52.7</f>
        <v>68.3</v>
      </c>
      <c r="P26" s="4">
        <f>15.5-8</f>
        <v>7.5</v>
      </c>
      <c r="Q26" s="53">
        <f>15.2-42.368</f>
        <v>-27.168000000000003</v>
      </c>
      <c r="R26" s="4">
        <f>61.5-4.9-Q26-P26-O26</f>
        <v>7.9680000000000035</v>
      </c>
      <c r="S26" s="4">
        <f>14.9+72.8</f>
        <v>87.7</v>
      </c>
      <c r="T26" s="53">
        <f>14.6+78.1</f>
        <v>92.699999999999989</v>
      </c>
      <c r="U26" s="4">
        <f>-17.2+13.7</f>
        <v>-3.5</v>
      </c>
      <c r="V26" s="4">
        <v>40</v>
      </c>
      <c r="W26" s="4">
        <v>40</v>
      </c>
      <c r="X26" s="4">
        <v>40</v>
      </c>
      <c r="Y26" s="4">
        <v>40</v>
      </c>
      <c r="Z26" s="4">
        <v>40</v>
      </c>
      <c r="AA26" s="4">
        <v>40</v>
      </c>
      <c r="AB26" s="4">
        <v>40</v>
      </c>
      <c r="AC26" s="4">
        <v>40</v>
      </c>
      <c r="AD26" s="4">
        <v>40</v>
      </c>
      <c r="AE26" s="4">
        <v>40</v>
      </c>
      <c r="AF26" s="4">
        <v>40</v>
      </c>
      <c r="AG26" s="4">
        <v>40</v>
      </c>
      <c r="AH26" s="4">
        <v>40</v>
      </c>
      <c r="AI26" s="4">
        <v>40</v>
      </c>
      <c r="AJ26" s="4">
        <v>40</v>
      </c>
      <c r="AK26" s="4"/>
      <c r="AL26" s="4"/>
      <c r="AM26" s="4"/>
      <c r="AN26" s="4"/>
      <c r="AO26" s="4"/>
      <c r="AP26" s="4"/>
    </row>
    <row r="27" spans="1:43">
      <c r="B27" t="s">
        <v>49</v>
      </c>
      <c r="C27" s="53">
        <f t="shared" ref="C27:S27" si="19">C22+C25-C26</f>
        <v>214.56600000000014</v>
      </c>
      <c r="D27" s="53">
        <f t="shared" si="19"/>
        <v>236.86500000000012</v>
      </c>
      <c r="E27" s="53">
        <f t="shared" si="19"/>
        <v>152.797</v>
      </c>
      <c r="F27" s="53">
        <f>F22+F25-F26</f>
        <v>39.835999999999927</v>
      </c>
      <c r="G27" s="53">
        <f t="shared" si="19"/>
        <v>320.14499999999998</v>
      </c>
      <c r="H27" s="53">
        <f t="shared" si="19"/>
        <v>327.97499999999985</v>
      </c>
      <c r="I27" s="53">
        <f t="shared" si="19"/>
        <v>70.666000000000082</v>
      </c>
      <c r="J27" s="53">
        <f t="shared" si="19"/>
        <v>676.11299999999972</v>
      </c>
      <c r="K27" s="53">
        <f>K22+K25-K26</f>
        <v>657.53399999999965</v>
      </c>
      <c r="L27" s="53">
        <f>L22+L25-L26</f>
        <v>824.78</v>
      </c>
      <c r="M27" s="53">
        <f t="shared" si="19"/>
        <v>746.57899999999995</v>
      </c>
      <c r="N27" s="53">
        <f t="shared" si="19"/>
        <v>888.62300000000005</v>
      </c>
      <c r="O27" s="53">
        <f t="shared" si="19"/>
        <v>821.00000000000011</v>
      </c>
      <c r="P27" s="53">
        <f t="shared" si="19"/>
        <v>-44.458999999999968</v>
      </c>
      <c r="Q27" s="53">
        <f t="shared" si="19"/>
        <v>1082.7839999999999</v>
      </c>
      <c r="R27" s="53">
        <f>R22+R25-R26</f>
        <v>872.07499999999982</v>
      </c>
      <c r="S27" s="53">
        <f t="shared" si="19"/>
        <v>954.8</v>
      </c>
      <c r="T27" s="53">
        <f>T22+T25-T26</f>
        <v>1024.3999999999996</v>
      </c>
      <c r="U27" s="53">
        <f t="shared" ref="U27:AP27" si="20">U22+U25-U26</f>
        <v>1176.3999999999999</v>
      </c>
      <c r="V27" s="53">
        <f t="shared" si="20"/>
        <v>1119.0323848999999</v>
      </c>
      <c r="W27" s="53">
        <f t="shared" si="20"/>
        <v>1171.1635215719</v>
      </c>
      <c r="X27" s="53">
        <f t="shared" si="20"/>
        <v>1227.2265944479659</v>
      </c>
      <c r="Y27" s="53">
        <f t="shared" si="20"/>
        <v>1287.4077250765108</v>
      </c>
      <c r="Z27" s="53">
        <f t="shared" si="20"/>
        <v>1351.9065230027352</v>
      </c>
      <c r="AA27" s="53">
        <f t="shared" si="20"/>
        <v>1409.4697145241851</v>
      </c>
      <c r="AB27" s="53">
        <f t="shared" si="20"/>
        <v>1470.5430192148165</v>
      </c>
      <c r="AC27" s="53">
        <f t="shared" si="20"/>
        <v>1535.2682207731143</v>
      </c>
      <c r="AD27" s="53">
        <f t="shared" si="20"/>
        <v>1603.7960268801119</v>
      </c>
      <c r="AE27" s="53">
        <f t="shared" si="20"/>
        <v>1676.2864132496572</v>
      </c>
      <c r="AF27" s="53">
        <f t="shared" si="20"/>
        <v>1752.9089907172756</v>
      </c>
      <c r="AG27" s="53">
        <f t="shared" si="20"/>
        <v>1833.8433961767294</v>
      </c>
      <c r="AH27" s="53">
        <f t="shared" si="20"/>
        <v>1919.2797082345778</v>
      </c>
      <c r="AI27" s="53">
        <f t="shared" si="20"/>
        <v>2009.4188885159579</v>
      </c>
      <c r="AJ27" s="53">
        <f t="shared" si="20"/>
        <v>2104.4732496196975</v>
      </c>
      <c r="AK27" s="53">
        <f t="shared" si="20"/>
        <v>2244.6669507878764</v>
      </c>
      <c r="AL27" s="53">
        <f t="shared" si="20"/>
        <v>2350.2365224242326</v>
      </c>
      <c r="AM27" s="53">
        <f t="shared" si="20"/>
        <v>2461.431420667599</v>
      </c>
      <c r="AN27" s="53">
        <f t="shared" si="20"/>
        <v>2578.5146133009621</v>
      </c>
      <c r="AO27" s="53">
        <f t="shared" si="20"/>
        <v>2701.763198354055</v>
      </c>
      <c r="AP27" s="53">
        <f t="shared" si="20"/>
        <v>2831.4690568376982</v>
      </c>
    </row>
    <row r="28" spans="1:43">
      <c r="B28" t="s">
        <v>50</v>
      </c>
      <c r="C28" s="4">
        <v>-12.659000000000001</v>
      </c>
      <c r="D28">
        <v>10.340999999999999</v>
      </c>
      <c r="E28">
        <v>8.0549999999999997</v>
      </c>
      <c r="F28" s="4">
        <v>-1492.5989999999999</v>
      </c>
      <c r="G28">
        <v>51.533999999999999</v>
      </c>
      <c r="H28">
        <v>59.710999999999999</v>
      </c>
      <c r="I28">
        <v>13.148</v>
      </c>
      <c r="J28">
        <f>218.109-I28-H28-G28</f>
        <v>93.716000000000008</v>
      </c>
      <c r="K28">
        <v>54.780999999999999</v>
      </c>
      <c r="L28">
        <v>-12.5</v>
      </c>
      <c r="M28">
        <v>78.436999999999998</v>
      </c>
      <c r="N28">
        <f>405.151-M28-L28-K28</f>
        <v>284.43299999999999</v>
      </c>
      <c r="O28" s="11">
        <v>167.8</v>
      </c>
      <c r="P28">
        <v>-111.4</v>
      </c>
      <c r="Q28">
        <v>230.8</v>
      </c>
      <c r="R28" s="53">
        <f>388.3-Q28-P28-O28</f>
        <v>101.09999999999997</v>
      </c>
      <c r="S28" s="53">
        <v>192.7</v>
      </c>
      <c r="T28" s="4">
        <v>213.9</v>
      </c>
      <c r="U28" s="4">
        <v>245.9</v>
      </c>
      <c r="V28" s="4">
        <f t="shared" ref="V28:AP28" si="21">V41*V27</f>
        <v>223.80647697999999</v>
      </c>
      <c r="W28" s="4">
        <f t="shared" si="21"/>
        <v>234.23270431438002</v>
      </c>
      <c r="X28" s="4">
        <f t="shared" si="21"/>
        <v>245.44531888959318</v>
      </c>
      <c r="Y28" s="4">
        <f t="shared" si="21"/>
        <v>257.48154501530217</v>
      </c>
      <c r="Z28" s="4">
        <f t="shared" si="21"/>
        <v>270.38130460054703</v>
      </c>
      <c r="AA28" s="4">
        <f t="shared" si="21"/>
        <v>281.89394290483705</v>
      </c>
      <c r="AB28" s="4">
        <f t="shared" si="21"/>
        <v>294.1086038429633</v>
      </c>
      <c r="AC28" s="4">
        <f t="shared" si="21"/>
        <v>307.05364415462287</v>
      </c>
      <c r="AD28" s="4">
        <f t="shared" si="21"/>
        <v>320.75920537602241</v>
      </c>
      <c r="AE28" s="4">
        <f t="shared" si="21"/>
        <v>335.25728264993148</v>
      </c>
      <c r="AF28" s="4">
        <f t="shared" si="21"/>
        <v>350.58179814345516</v>
      </c>
      <c r="AG28" s="4">
        <f t="shared" si="21"/>
        <v>366.76867923534587</v>
      </c>
      <c r="AH28" s="4">
        <f t="shared" si="21"/>
        <v>383.8559416469156</v>
      </c>
      <c r="AI28" s="4">
        <f t="shared" si="21"/>
        <v>401.88377770319158</v>
      </c>
      <c r="AJ28" s="4">
        <f t="shared" si="21"/>
        <v>420.89464992393954</v>
      </c>
      <c r="AK28" s="4">
        <f t="shared" si="21"/>
        <v>448.93339015757533</v>
      </c>
      <c r="AL28" s="4">
        <f t="shared" si="21"/>
        <v>470.04730448484656</v>
      </c>
      <c r="AM28" s="4">
        <f t="shared" si="21"/>
        <v>492.28628413351981</v>
      </c>
      <c r="AN28" s="4">
        <f t="shared" si="21"/>
        <v>515.70292266019248</v>
      </c>
      <c r="AO28" s="4">
        <f t="shared" si="21"/>
        <v>540.35263967081107</v>
      </c>
      <c r="AP28" s="4">
        <f t="shared" si="21"/>
        <v>566.29381136753966</v>
      </c>
      <c r="AQ28" s="4"/>
    </row>
    <row r="29" spans="1:43" hidden="1">
      <c r="B29" t="s">
        <v>51</v>
      </c>
      <c r="C29" s="4"/>
      <c r="D29" s="4"/>
      <c r="E29" s="4"/>
      <c r="F29" s="4"/>
      <c r="G29" s="4"/>
      <c r="H29" s="4"/>
      <c r="I29" s="4"/>
      <c r="J29" s="4"/>
      <c r="K29" s="4"/>
      <c r="L29" s="4"/>
      <c r="M29" s="4"/>
      <c r="N29" s="4"/>
      <c r="O29" s="4"/>
      <c r="P29" s="4"/>
      <c r="Q29" s="4"/>
      <c r="R29" s="4"/>
      <c r="T29" s="4"/>
      <c r="U29" s="4"/>
      <c r="V29" s="4"/>
      <c r="W29" s="4"/>
      <c r="X29" s="4"/>
      <c r="Y29" s="4"/>
      <c r="Z29" s="4"/>
      <c r="AA29" s="4"/>
      <c r="AB29" s="4"/>
      <c r="AC29" s="4"/>
      <c r="AD29" s="4"/>
      <c r="AE29" s="4"/>
      <c r="AF29" s="4"/>
      <c r="AG29" s="4"/>
      <c r="AH29" s="4"/>
      <c r="AI29" s="4"/>
      <c r="AJ29" s="4"/>
      <c r="AK29" s="4"/>
      <c r="AL29" s="4"/>
      <c r="AM29" s="4"/>
      <c r="AN29" s="4"/>
      <c r="AO29" s="4"/>
      <c r="AP29" s="4"/>
    </row>
    <row r="30" spans="1:43" hidden="1">
      <c r="B30" t="s">
        <v>52</v>
      </c>
      <c r="C30" s="4"/>
      <c r="D30" s="4"/>
      <c r="E30" s="4"/>
      <c r="F30" s="4"/>
      <c r="G30" s="4"/>
      <c r="H30" s="4"/>
      <c r="I30" s="4"/>
      <c r="J30" s="4"/>
      <c r="K30" s="4"/>
      <c r="L30" s="4"/>
      <c r="M30" s="4"/>
      <c r="N30" s="4"/>
      <c r="O30" s="4"/>
      <c r="P30" s="4"/>
      <c r="Q30" s="4"/>
      <c r="R30" s="4"/>
      <c r="T30" s="4"/>
      <c r="U30" s="4"/>
      <c r="V30" s="4"/>
      <c r="W30" s="4"/>
      <c r="X30" s="4"/>
      <c r="Y30" s="4"/>
      <c r="Z30" s="4"/>
      <c r="AA30" s="4"/>
      <c r="AB30" s="4"/>
      <c r="AC30" s="4"/>
      <c r="AD30" s="4"/>
      <c r="AE30" s="4"/>
      <c r="AF30" s="4"/>
      <c r="AG30" s="4"/>
      <c r="AH30" s="4"/>
      <c r="AI30" s="4"/>
      <c r="AJ30" s="4"/>
      <c r="AK30" s="4"/>
      <c r="AL30" s="4"/>
      <c r="AM30" s="4"/>
      <c r="AN30" s="4"/>
      <c r="AO30" s="4"/>
      <c r="AP30" s="4"/>
    </row>
    <row r="31" spans="1:43">
      <c r="B31" t="s">
        <v>53</v>
      </c>
      <c r="C31" s="4">
        <f>C27-C28-17.038</f>
        <v>210.18700000000013</v>
      </c>
      <c r="D31" s="4">
        <f t="shared" ref="D31:Q31" si="22">D27-D28</f>
        <v>226.52400000000011</v>
      </c>
      <c r="E31" s="4">
        <f t="shared" si="22"/>
        <v>144.74199999999999</v>
      </c>
      <c r="F31" s="4">
        <f>F27-F28+18.409</f>
        <v>1550.8440000000001</v>
      </c>
      <c r="G31" s="4">
        <f t="shared" si="22"/>
        <v>268.61099999999999</v>
      </c>
      <c r="H31" s="4">
        <f t="shared" si="22"/>
        <v>268.26399999999984</v>
      </c>
      <c r="I31" s="4">
        <f t="shared" si="22"/>
        <v>57.518000000000086</v>
      </c>
      <c r="J31" s="4">
        <f>J27-J28</f>
        <v>582.39699999999971</v>
      </c>
      <c r="K31" s="4">
        <f t="shared" si="22"/>
        <v>602.7529999999997</v>
      </c>
      <c r="L31" s="4">
        <f>L27-L28</f>
        <v>837.28</v>
      </c>
      <c r="M31" s="4">
        <f t="shared" si="22"/>
        <v>668.14199999999994</v>
      </c>
      <c r="N31" s="4">
        <f>N27-N28</f>
        <v>604.19000000000005</v>
      </c>
      <c r="O31" s="4">
        <f t="shared" si="22"/>
        <v>653.20000000000005</v>
      </c>
      <c r="P31" s="53">
        <f t="shared" si="22"/>
        <v>66.941000000000031</v>
      </c>
      <c r="Q31" s="4">
        <f t="shared" si="22"/>
        <v>851.98399999999992</v>
      </c>
      <c r="R31" s="53">
        <f>R27-R28</f>
        <v>770.97499999999991</v>
      </c>
      <c r="S31" s="53">
        <f>S27-S28</f>
        <v>762.09999999999991</v>
      </c>
      <c r="T31" s="53">
        <f>T27-T28</f>
        <v>810.49999999999966</v>
      </c>
      <c r="U31" s="4">
        <f t="shared" ref="U31:AP31" si="23">U27-U28</f>
        <v>930.49999999999989</v>
      </c>
      <c r="V31" s="4">
        <f t="shared" si="23"/>
        <v>895.22590791999994</v>
      </c>
      <c r="W31" s="4">
        <f t="shared" si="23"/>
        <v>936.93081725751995</v>
      </c>
      <c r="X31" s="4">
        <f t="shared" si="23"/>
        <v>981.78127555837273</v>
      </c>
      <c r="Y31" s="4">
        <f t="shared" si="23"/>
        <v>1029.9261800612087</v>
      </c>
      <c r="Z31" s="4">
        <f t="shared" si="23"/>
        <v>1081.5252184021881</v>
      </c>
      <c r="AA31" s="4">
        <f t="shared" si="23"/>
        <v>1127.575771619348</v>
      </c>
      <c r="AB31" s="4">
        <f t="shared" si="23"/>
        <v>1176.4344153718532</v>
      </c>
      <c r="AC31" s="4">
        <f t="shared" si="23"/>
        <v>1228.2145766184915</v>
      </c>
      <c r="AD31" s="4">
        <f t="shared" si="23"/>
        <v>1283.0368215040894</v>
      </c>
      <c r="AE31" s="4">
        <f t="shared" si="23"/>
        <v>1341.0291305997257</v>
      </c>
      <c r="AF31" s="4">
        <f t="shared" si="23"/>
        <v>1402.3271925738204</v>
      </c>
      <c r="AG31" s="4">
        <f t="shared" si="23"/>
        <v>1467.0747169413835</v>
      </c>
      <c r="AH31" s="4">
        <f t="shared" si="23"/>
        <v>1535.4237665876622</v>
      </c>
      <c r="AI31" s="4">
        <f t="shared" si="23"/>
        <v>1607.5351108127663</v>
      </c>
      <c r="AJ31" s="4">
        <f t="shared" si="23"/>
        <v>1683.5785996957579</v>
      </c>
      <c r="AK31" s="4">
        <f t="shared" si="23"/>
        <v>1795.7335606303011</v>
      </c>
      <c r="AL31" s="4">
        <f t="shared" si="23"/>
        <v>1880.189217939386</v>
      </c>
      <c r="AM31" s="4">
        <f t="shared" si="23"/>
        <v>1969.1451365340793</v>
      </c>
      <c r="AN31" s="4">
        <f t="shared" si="23"/>
        <v>2062.8116906407695</v>
      </c>
      <c r="AO31" s="4">
        <f t="shared" si="23"/>
        <v>2161.4105586832438</v>
      </c>
      <c r="AP31" s="4">
        <f t="shared" si="23"/>
        <v>2265.1752454701586</v>
      </c>
    </row>
    <row r="32" spans="1:43" ht="17" customHeight="1">
      <c r="B32" t="s">
        <v>54</v>
      </c>
      <c r="C32" s="4">
        <v>258.52600000000001</v>
      </c>
      <c r="D32" s="4">
        <v>258.584</v>
      </c>
      <c r="E32" s="4">
        <v>259.78800000000001</v>
      </c>
      <c r="F32" s="4">
        <v>259.81200000000001</v>
      </c>
      <c r="G32" s="4">
        <v>260.17500000000001</v>
      </c>
      <c r="H32" s="4">
        <v>259.822</v>
      </c>
      <c r="I32" s="4">
        <v>260.47300000000001</v>
      </c>
      <c r="J32" s="4">
        <v>262.108</v>
      </c>
      <c r="K32" s="4">
        <v>263.51499999999999</v>
      </c>
      <c r="L32" s="4">
        <v>263.40300000000002</v>
      </c>
      <c r="M32" s="4">
        <v>264.07900000000001</v>
      </c>
      <c r="N32" s="4">
        <v>263.10599999999999</v>
      </c>
      <c r="O32" s="4">
        <v>261.916</v>
      </c>
      <c r="P32" s="4">
        <v>261.02</v>
      </c>
      <c r="Q32" s="4">
        <v>259.70699999999999</v>
      </c>
      <c r="R32" s="29">
        <v>257</v>
      </c>
      <c r="S32" s="29">
        <v>257.89999999999998</v>
      </c>
      <c r="T32" s="29">
        <v>258.7</v>
      </c>
      <c r="U32" s="29">
        <v>259.5</v>
      </c>
      <c r="V32" s="29">
        <v>259.5</v>
      </c>
      <c r="W32" s="29">
        <f>V32*1.01</f>
        <v>262.09500000000003</v>
      </c>
      <c r="X32" s="29">
        <f t="shared" ref="X32:AP32" si="24">W32*1.01</f>
        <v>264.71595000000002</v>
      </c>
      <c r="Y32" s="29">
        <f t="shared" si="24"/>
        <v>267.36310950000001</v>
      </c>
      <c r="Z32" s="29">
        <f t="shared" si="24"/>
        <v>270.03674059500003</v>
      </c>
      <c r="AA32" s="29">
        <f t="shared" si="24"/>
        <v>272.73710800095</v>
      </c>
      <c r="AB32" s="29">
        <f t="shared" si="24"/>
        <v>275.46447908095951</v>
      </c>
      <c r="AC32" s="29">
        <f t="shared" si="24"/>
        <v>278.21912387176911</v>
      </c>
      <c r="AD32" s="29">
        <f t="shared" si="24"/>
        <v>281.00131511048681</v>
      </c>
      <c r="AE32" s="29">
        <f t="shared" si="24"/>
        <v>283.81132826159171</v>
      </c>
      <c r="AF32" s="29">
        <f t="shared" si="24"/>
        <v>286.6494415442076</v>
      </c>
      <c r="AG32" s="29">
        <f t="shared" si="24"/>
        <v>289.51593595964971</v>
      </c>
      <c r="AH32" s="29">
        <f t="shared" si="24"/>
        <v>292.41109531924621</v>
      </c>
      <c r="AI32" s="29">
        <f t="shared" si="24"/>
        <v>295.33520627243865</v>
      </c>
      <c r="AJ32" s="29">
        <f t="shared" si="24"/>
        <v>298.28855833516303</v>
      </c>
      <c r="AK32" s="29">
        <f t="shared" si="24"/>
        <v>301.27144391851465</v>
      </c>
      <c r="AL32" s="29">
        <f t="shared" si="24"/>
        <v>304.28415835769982</v>
      </c>
      <c r="AM32" s="29">
        <f t="shared" si="24"/>
        <v>307.32699994127682</v>
      </c>
      <c r="AN32" s="29">
        <f t="shared" si="24"/>
        <v>310.40026994068961</v>
      </c>
      <c r="AO32" s="29">
        <f t="shared" si="24"/>
        <v>313.50427264009653</v>
      </c>
      <c r="AP32" s="29">
        <f t="shared" si="24"/>
        <v>316.6393153664975</v>
      </c>
    </row>
    <row r="33" spans="2:42 16384:16384">
      <c r="B33" t="s">
        <v>55</v>
      </c>
      <c r="C33" s="14">
        <f t="shared" ref="C33:AP33" si="25">C31/C32</f>
        <v>0.81302074066051433</v>
      </c>
      <c r="D33" s="14">
        <f t="shared" si="25"/>
        <v>0.87601707762274583</v>
      </c>
      <c r="E33" s="14">
        <f t="shared" si="25"/>
        <v>0.55715429504057146</v>
      </c>
      <c r="F33" s="14">
        <f t="shared" si="25"/>
        <v>5.9691007343771654</v>
      </c>
      <c r="G33" s="14">
        <f t="shared" si="25"/>
        <v>1.032424329778034</v>
      </c>
      <c r="H33" s="14">
        <f t="shared" si="25"/>
        <v>1.032491474932838</v>
      </c>
      <c r="I33" s="14">
        <f t="shared" si="25"/>
        <v>0.22082135192515187</v>
      </c>
      <c r="J33" s="14">
        <f t="shared" si="25"/>
        <v>2.2219733850168621</v>
      </c>
      <c r="K33" s="14">
        <f t="shared" si="25"/>
        <v>2.2873574559322987</v>
      </c>
      <c r="L33" s="14">
        <f t="shared" si="25"/>
        <v>3.1787033556945059</v>
      </c>
      <c r="M33" s="14">
        <f t="shared" si="25"/>
        <v>2.5300838006808566</v>
      </c>
      <c r="N33" s="14">
        <f t="shared" si="25"/>
        <v>2.2963748451194577</v>
      </c>
      <c r="O33" s="14">
        <f t="shared" si="25"/>
        <v>2.4939293513951042</v>
      </c>
      <c r="P33" s="14">
        <f t="shared" si="25"/>
        <v>0.25645927515132955</v>
      </c>
      <c r="Q33" s="14">
        <f t="shared" si="25"/>
        <v>3.2805584755127892</v>
      </c>
      <c r="R33" s="14">
        <f t="shared" si="25"/>
        <v>2.9999027237354081</v>
      </c>
      <c r="S33" s="14">
        <f t="shared" si="25"/>
        <v>2.9550213260953857</v>
      </c>
      <c r="T33" s="14">
        <f t="shared" si="25"/>
        <v>3.1329725550831067</v>
      </c>
      <c r="U33" s="14">
        <f t="shared" si="25"/>
        <v>3.5857418111753367</v>
      </c>
      <c r="V33" s="14">
        <f t="shared" si="25"/>
        <v>3.449810820500963</v>
      </c>
      <c r="W33" s="14">
        <f t="shared" si="25"/>
        <v>3.5747756243252251</v>
      </c>
      <c r="X33" s="14">
        <f t="shared" si="25"/>
        <v>3.7088104270195004</v>
      </c>
      <c r="Y33" s="14">
        <f t="shared" si="25"/>
        <v>3.852162633757851</v>
      </c>
      <c r="Z33" s="14">
        <f t="shared" si="25"/>
        <v>4.0051039574065035</v>
      </c>
      <c r="AA33" s="14">
        <f t="shared" si="25"/>
        <v>4.1342954022062166</v>
      </c>
      <c r="AB33" s="14">
        <f t="shared" si="25"/>
        <v>4.2707300022740755</v>
      </c>
      <c r="AC33" s="14">
        <f t="shared" si="25"/>
        <v>4.4145584226071186</v>
      </c>
      <c r="AD33" s="14">
        <f t="shared" si="25"/>
        <v>4.5659459671909808</v>
      </c>
      <c r="AE33" s="14">
        <f t="shared" si="25"/>
        <v>4.7250725995112006</v>
      </c>
      <c r="AF33" s="14">
        <f t="shared" si="25"/>
        <v>4.8921330005715395</v>
      </c>
      <c r="AG33" s="14">
        <f t="shared" si="25"/>
        <v>5.0673366634500283</v>
      </c>
      <c r="AH33" s="14">
        <f t="shared" si="25"/>
        <v>5.2509080235526957</v>
      </c>
      <c r="AI33" s="14">
        <f t="shared" si="25"/>
        <v>5.4430866238475444</v>
      </c>
      <c r="AJ33" s="14">
        <f t="shared" si="25"/>
        <v>5.6441273144780002</v>
      </c>
      <c r="AK33" s="14">
        <f t="shared" si="25"/>
        <v>5.9605169918327734</v>
      </c>
      <c r="AL33" s="14">
        <f t="shared" si="25"/>
        <v>6.179057194719741</v>
      </c>
      <c r="AM33" s="14">
        <f t="shared" si="25"/>
        <v>6.4073287960717344</v>
      </c>
      <c r="AN33" s="14">
        <f t="shared" si="25"/>
        <v>6.645650440429467</v>
      </c>
      <c r="AO33" s="14">
        <f t="shared" si="25"/>
        <v>6.8943575807802375</v>
      </c>
      <c r="AP33" s="14">
        <f t="shared" si="25"/>
        <v>7.153802877726374</v>
      </c>
      <c r="XFD33" s="14"/>
    </row>
    <row r="35" spans="2:42 16384:16384">
      <c r="B35" s="15" t="s">
        <v>56</v>
      </c>
      <c r="C35" s="4">
        <f>'Cash Flow Statement'!C12</f>
        <v>16.343</v>
      </c>
      <c r="D35" s="4">
        <f>'Cash Flow Statement'!D12</f>
        <v>34.402000000000001</v>
      </c>
      <c r="E35" s="4">
        <f>'Cash Flow Statement'!E12</f>
        <v>53.594000000000001</v>
      </c>
      <c r="F35" s="4">
        <f>'Cash Flow Statement'!F12</f>
        <v>72.42</v>
      </c>
      <c r="G35" s="4">
        <f>'Cash Flow Statement'!G12</f>
        <v>27.14</v>
      </c>
      <c r="H35" s="4">
        <f>'Cash Flow Statement'!H12</f>
        <v>54.838000000000001</v>
      </c>
      <c r="I35" s="4">
        <f>'Cash Flow Statement'!I12</f>
        <v>80.685000000000002</v>
      </c>
      <c r="J35" s="4">
        <f>'Cash Flow Statement'!J12</f>
        <v>106.941</v>
      </c>
      <c r="K35" s="4">
        <f>'Cash Flow Statement'!K12</f>
        <v>26.821000000000002</v>
      </c>
      <c r="L35" s="4">
        <f>'Cash Flow Statement'!L12</f>
        <v>53.518000000000001</v>
      </c>
      <c r="M35" s="4">
        <f>'Cash Flow Statement'!M12</f>
        <v>80.16</v>
      </c>
      <c r="N35" s="4">
        <f>'Cash Flow Statement'!N12</f>
        <v>109.515</v>
      </c>
      <c r="O35" s="4">
        <f>'Cash Flow Statement'!O12</f>
        <v>28.834</v>
      </c>
      <c r="P35" s="4">
        <f>'Cash Flow Statement'!P12</f>
        <v>60</v>
      </c>
      <c r="Q35" s="4">
        <f>'Cash Flow Statement'!Q12</f>
        <v>91.8</v>
      </c>
      <c r="R35" s="4">
        <f>'Cash Flow Statement'!R12</f>
        <v>125.6</v>
      </c>
      <c r="S35" s="4">
        <f>'Cash Flow Statement'!S12</f>
        <v>35.9</v>
      </c>
      <c r="T35" s="4">
        <f>'Cash Flow Statement'!T12</f>
        <v>73.2</v>
      </c>
      <c r="U35" s="4">
        <f>'Cash Flow Statement'!U12</f>
        <v>109.9</v>
      </c>
      <c r="V35" s="4">
        <f>'D&amp;A and Capex'!V11</f>
        <v>199.69229583540397</v>
      </c>
      <c r="W35" s="4">
        <f>'D&amp;A and Capex'!W11</f>
        <v>118.91733352869197</v>
      </c>
      <c r="X35" s="4">
        <f>'D&amp;A and Capex'!X11</f>
        <v>187.45482429362715</v>
      </c>
      <c r="Y35" s="4">
        <f>'D&amp;A and Capex'!Y11</f>
        <v>152.95460007415483</v>
      </c>
      <c r="Z35" s="4">
        <f>'D&amp;A and Capex'!Z11</f>
        <v>239.81470473810123</v>
      </c>
      <c r="AA35" s="4">
        <f>'D&amp;A and Capex'!AA11</f>
        <v>142.31527816995765</v>
      </c>
      <c r="AB35" s="4">
        <f>'D&amp;A and Capex'!AB11</f>
        <v>223.44746984909125</v>
      </c>
      <c r="AC35" s="4">
        <f>'D&amp;A and Capex'!AC11</f>
        <v>181.51508098537636</v>
      </c>
      <c r="AD35" s="4">
        <f>'D&amp;A and Capex'!AD11</f>
        <v>283.21331376873161</v>
      </c>
      <c r="AE35" s="4">
        <f>'D&amp;A and Capex'!AE11</f>
        <v>168.51250900480159</v>
      </c>
      <c r="AF35" s="4">
        <f>'D&amp;A and Capex'!AF11</f>
        <v>265.21652978390961</v>
      </c>
      <c r="AG35" s="4">
        <f>'D&amp;A and Capex'!AG11</f>
        <v>215.9193154064908</v>
      </c>
      <c r="AH35" s="4">
        <f>'D&amp;A and Capex'!AH11</f>
        <v>337.5687066369938</v>
      </c>
      <c r="AI35" s="4">
        <f>'D&amp;A and Capex'!AI11</f>
        <v>201.22091291963139</v>
      </c>
      <c r="AJ35" s="4">
        <f>'D&amp;A and Capex'!AJ11</f>
        <v>317.22176441929969</v>
      </c>
      <c r="AK35" s="4">
        <f>'D&amp;A and Capex'!AK11</f>
        <v>258.64858948115784</v>
      </c>
      <c r="AL35" s="4">
        <f>'D&amp;A and Capex'!AL11</f>
        <v>404.92753527297151</v>
      </c>
      <c r="AM35" s="4">
        <f>'D&amp;A and Capex'!AM11</f>
        <v>241.67410592885386</v>
      </c>
      <c r="AN35" s="4">
        <f>'D&amp;A and Capex'!AN11</f>
        <v>381.42744627723243</v>
      </c>
      <c r="AO35" s="4">
        <f>'D&amp;A and Capex'!AO11</f>
        <v>311.31889749661849</v>
      </c>
      <c r="AP35" s="4">
        <f>'D&amp;A and Capex'!AP11</f>
        <v>487.84017074346895</v>
      </c>
    </row>
    <row r="36" spans="2:42 16384:16384">
      <c r="B36" s="15" t="s">
        <v>57</v>
      </c>
      <c r="C36" s="4">
        <f>'Cash Flow Statement'!C29</f>
        <v>-29.279</v>
      </c>
      <c r="D36" s="4">
        <f>'Cash Flow Statement'!D29</f>
        <v>-58.890999999999998</v>
      </c>
      <c r="E36" s="4">
        <f>'Cash Flow Statement'!E29</f>
        <v>-79.802999999999997</v>
      </c>
      <c r="F36" s="4">
        <f>'Cash Flow Statement'!F29</f>
        <v>-95.524000000000001</v>
      </c>
      <c r="G36" s="4">
        <f>'Cash Flow Statement'!G29</f>
        <v>-18.041</v>
      </c>
      <c r="H36" s="4">
        <f>'Cash Flow Statement'!H29</f>
        <v>-34.399000000000001</v>
      </c>
      <c r="I36" s="4">
        <f>'Cash Flow Statement'!I29</f>
        <v>-58.69</v>
      </c>
      <c r="J36" s="4">
        <f>'Cash Flow Statement'!J29</f>
        <v>-75.450999999999993</v>
      </c>
      <c r="K36" s="4">
        <f>'Cash Flow Statement'!K29</f>
        <v>-19.45</v>
      </c>
      <c r="L36" s="4">
        <f>'Cash Flow Statement'!L30</f>
        <v>-126.577</v>
      </c>
      <c r="M36" s="4">
        <f>'Cash Flow Statement'!M29</f>
        <v>-212.10900000000001</v>
      </c>
      <c r="N36" s="4">
        <f>'Cash Flow Statement'!N29</f>
        <v>-259.798</v>
      </c>
      <c r="O36" s="4">
        <f>'Cash Flow Statement'!O29</f>
        <v>-70.926000000000002</v>
      </c>
      <c r="P36" s="4">
        <f>'Cash Flow Statement'!P29</f>
        <v>-120.8</v>
      </c>
      <c r="Q36" s="4">
        <f>'Cash Flow Statement'!Q29</f>
        <v>-447</v>
      </c>
      <c r="R36" s="4">
        <f>'Cash Flow Statement'!R29</f>
        <v>-235</v>
      </c>
      <c r="S36" s="4">
        <f>'Cash Flow Statement'!S36</f>
        <v>33.700000000000003</v>
      </c>
      <c r="T36" s="4">
        <f>'Cash Flow Statement'!T29</f>
        <v>-116.9</v>
      </c>
      <c r="U36" s="4">
        <f>'Cash Flow Statement'!U29</f>
        <v>-171.1</v>
      </c>
      <c r="V36" s="78">
        <f>'D&amp;A and Capex'!V8</f>
        <v>-204.62110199999995</v>
      </c>
      <c r="W36" s="78">
        <f>'D&amp;A and Capex'!W8</f>
        <v>-213.82458136199998</v>
      </c>
      <c r="X36" s="78">
        <f>'D&amp;A and Capex'!X8</f>
        <v>-223.722223483878</v>
      </c>
      <c r="Y36" s="78">
        <f>'D&amp;A and Capex'!Y8</f>
        <v>-234.34688715096036</v>
      </c>
      <c r="Z36" s="78">
        <f>'D&amp;A and Capex'!Z8</f>
        <v>-245.73381238383726</v>
      </c>
      <c r="AA36" s="78">
        <f>'D&amp;A and Capex'!AA8</f>
        <v>-255.89629260199987</v>
      </c>
      <c r="AB36" s="78">
        <f>'D&amp;A and Capex'!AB8</f>
        <v>-266.67846493073682</v>
      </c>
      <c r="AC36" s="78">
        <f>'D&amp;A and Capex'!AC8</f>
        <v>-278.10536054002017</v>
      </c>
      <c r="AD36" s="78">
        <f>'D&amp;A and Capex'!AD8</f>
        <v>-290.20358608223916</v>
      </c>
      <c r="AE36" s="78">
        <f>'D&amp;A and Capex'!AE8</f>
        <v>-303.0013844324742</v>
      </c>
      <c r="AF36" s="78">
        <f>'D&amp;A and Capex'!AF8</f>
        <v>-316.52869949611426</v>
      </c>
      <c r="AG36" s="78">
        <f>'D&amp;A and Capex'!AG8</f>
        <v>-330.81724522666087</v>
      </c>
      <c r="AH36" s="78">
        <f>'D&amp;A and Capex'!AH8</f>
        <v>-345.90057900736559</v>
      </c>
      <c r="AI36" s="78">
        <f>'D&amp;A and Capex'!AI8</f>
        <v>-361.81417956145538</v>
      </c>
      <c r="AJ36" s="78">
        <f>'D&amp;A and Capex'!AJ8</f>
        <v>-378.59552956715976</v>
      </c>
      <c r="AK36" s="78">
        <f>'D&amp;A and Capex'!AK8</f>
        <v>-396.28420316557714</v>
      </c>
      <c r="AL36" s="78">
        <f>'D&amp;A and Capex'!AL8</f>
        <v>-414.92195856165523</v>
      </c>
      <c r="AM36" s="78">
        <f>'D&amp;A and Capex'!AM8</f>
        <v>-434.55283593122812</v>
      </c>
      <c r="AN36" s="78">
        <f>'D&amp;A and Capex'!AN8</f>
        <v>-455.22326086019507</v>
      </c>
      <c r="AO36" s="78">
        <f>'D&amp;A and Capex'!AO8</f>
        <v>-476.9821535555709</v>
      </c>
      <c r="AP36" s="78">
        <f>'D&amp;A and Capex'!AP8</f>
        <v>-499.88104408231749</v>
      </c>
    </row>
    <row r="37" spans="2:42 16384:16384" ht="34">
      <c r="B37" s="16" t="s">
        <v>58</v>
      </c>
      <c r="D37" s="78">
        <f>Days!D31-Days!C31</f>
        <v>-23.355999999999881</v>
      </c>
      <c r="E37" s="78">
        <f>Days!E31-Days!D31</f>
        <v>-73.783000000000129</v>
      </c>
      <c r="F37" s="78">
        <f>Days!F31-Days!E31</f>
        <v>-75.499999999999886</v>
      </c>
      <c r="G37" s="78">
        <f>Days!G31-Days!F31</f>
        <v>43.960999999999899</v>
      </c>
      <c r="H37" s="78">
        <f>Days!H31-Days!G31</f>
        <v>-98.010000000000105</v>
      </c>
      <c r="I37" s="78">
        <f>Days!I31-Days!H31</f>
        <v>-108.65699999999993</v>
      </c>
      <c r="J37" s="78">
        <f>Days!J31-Days!I31</f>
        <v>287.83900000000006</v>
      </c>
      <c r="K37" s="78">
        <f>Days!K31-Days!J31</f>
        <v>37.545999999999935</v>
      </c>
      <c r="L37" s="78">
        <f>Days!L31-Days!K31</f>
        <v>-272.34299999999985</v>
      </c>
      <c r="M37" s="78">
        <f>Days!M31-Days!L31</f>
        <v>-141.53900000000021</v>
      </c>
      <c r="N37" s="78">
        <f>Days!N31-Days!M31</f>
        <v>293.577</v>
      </c>
      <c r="O37" s="78">
        <f>Days!O31-Days!N31</f>
        <v>74.401000000000295</v>
      </c>
      <c r="P37" s="78">
        <f>Days!P31-Days!O31</f>
        <v>241.64999999999986</v>
      </c>
      <c r="Q37" s="78">
        <f>Days!Q31-Days!P31</f>
        <v>64.299999999999727</v>
      </c>
      <c r="R37" s="78">
        <f>Days!R31-Days!Q31</f>
        <v>-83.599999999999682</v>
      </c>
      <c r="S37" s="78">
        <f>Days!S31-Days!R31</f>
        <v>49.299999999999955</v>
      </c>
      <c r="T37" s="78">
        <f>Days!T31-Days!S31</f>
        <v>-249.09999999999945</v>
      </c>
      <c r="U37" s="78">
        <f>Days!U31-Days!T31</f>
        <v>-529.80000000000064</v>
      </c>
      <c r="V37" s="78">
        <f>Days!V31-Days!U31</f>
        <v>652.46379753612973</v>
      </c>
      <c r="W37" s="78">
        <f>Days!W31-Days!V31</f>
        <v>-66.468029754000781</v>
      </c>
      <c r="X37" s="78">
        <f>Days!X31-Days!W31</f>
        <v>-14.653035996062499</v>
      </c>
      <c r="Y37" s="78">
        <f>Days!Y31-Days!X31</f>
        <v>-95.618678101613114</v>
      </c>
      <c r="Z37" s="78">
        <f>Days!Z31-Days!Y31</f>
        <v>-49.582584443820451</v>
      </c>
      <c r="AA37" s="78">
        <f>Days!AA31-Days!Z31</f>
        <v>-53.094994827310074</v>
      </c>
      <c r="AB37" s="78">
        <f>Days!AB31-Days!AA31</f>
        <v>0.62960992491753132</v>
      </c>
      <c r="AC37" s="78">
        <f>Days!AC31-Days!AB31</f>
        <v>-32.824449330282732</v>
      </c>
      <c r="AD37" s="78">
        <f>Days!AD31-Days!AC31</f>
        <v>-83.488966471712047</v>
      </c>
      <c r="AE37" s="78">
        <f>Days!AE31-Days!AD31</f>
        <v>-64.385059393005577</v>
      </c>
      <c r="AF37" s="78">
        <f>Days!AF31-Days!AE31</f>
        <v>-77.242225859934479</v>
      </c>
      <c r="AG37" s="78">
        <f>Days!AG31-Days!AF31</f>
        <v>-60.656748098172102</v>
      </c>
      <c r="AH37" s="78">
        <f>Days!AH31-Days!AG31</f>
        <v>898.94863626625192</v>
      </c>
      <c r="AI37" s="78">
        <f>Days!AI31-Days!AH31</f>
        <v>77.68909870157222</v>
      </c>
      <c r="AJ37" s="78">
        <f>Days!AJ31-Days!AI31</f>
        <v>174.80684186746112</v>
      </c>
      <c r="AK37" s="78">
        <f>Days!AK31-Days!AJ31</f>
        <v>113.41929727592287</v>
      </c>
      <c r="AL37" s="78">
        <f>Days!AL31-Days!AK31</f>
        <v>71.091584728845191</v>
      </c>
      <c r="AM37" s="78">
        <f>Days!AM31-Days!AL31</f>
        <v>159.61606241330628</v>
      </c>
      <c r="AN37" s="78">
        <f>Days!AN31-Days!AM31</f>
        <v>45.669215470912604</v>
      </c>
      <c r="AO37" s="78">
        <f>Days!AO31-Days!AN31</f>
        <v>66.608749661745605</v>
      </c>
      <c r="AP37" s="78">
        <f>Days!AP31-Days!AO31</f>
        <v>75.231236686578995</v>
      </c>
    </row>
    <row r="38" spans="2:42 16384:16384" ht="34">
      <c r="B38" s="17" t="s">
        <v>59</v>
      </c>
      <c r="C38" s="4">
        <f>SUM(C31,C35:C37)</f>
        <v>197.25100000000012</v>
      </c>
      <c r="D38" s="4">
        <f t="shared" ref="D38:Q38" si="26">SUM(D31,D35:D37)</f>
        <v>178.67900000000023</v>
      </c>
      <c r="E38" s="4">
        <f t="shared" si="26"/>
        <v>44.749999999999858</v>
      </c>
      <c r="F38" s="4">
        <f t="shared" si="26"/>
        <v>1452.2400000000002</v>
      </c>
      <c r="G38" s="4">
        <f t="shared" si="26"/>
        <v>321.67099999999988</v>
      </c>
      <c r="H38" s="4">
        <f t="shared" si="26"/>
        <v>190.69299999999976</v>
      </c>
      <c r="I38" s="4">
        <f t="shared" si="26"/>
        <v>-29.143999999999835</v>
      </c>
      <c r="J38" s="4">
        <f t="shared" si="26"/>
        <v>901.72599999999977</v>
      </c>
      <c r="K38" s="4">
        <f t="shared" si="26"/>
        <v>647.66999999999962</v>
      </c>
      <c r="L38" s="4">
        <f t="shared" si="26"/>
        <v>491.87800000000016</v>
      </c>
      <c r="M38" s="4">
        <f>SUM(M31,M35:M37)</f>
        <v>394.65399999999966</v>
      </c>
      <c r="N38" s="4">
        <f t="shared" si="26"/>
        <v>747.48400000000004</v>
      </c>
      <c r="O38" s="4">
        <f t="shared" si="26"/>
        <v>685.50900000000024</v>
      </c>
      <c r="P38" s="4">
        <f t="shared" si="26"/>
        <v>247.79099999999988</v>
      </c>
      <c r="Q38" s="4">
        <f t="shared" si="26"/>
        <v>561.08399999999961</v>
      </c>
      <c r="R38" s="4">
        <f>SUM(R31,R35:R37)</f>
        <v>577.97500000000025</v>
      </c>
      <c r="S38" s="4">
        <f>SUM(S31,S35:S37)</f>
        <v>880.99999999999989</v>
      </c>
      <c r="T38" s="4">
        <f>SUM(T31,T35:T37)</f>
        <v>517.70000000000027</v>
      </c>
      <c r="U38" s="4">
        <f t="shared" ref="U38:AP38" si="27">SUM(U31,U35:U37)</f>
        <v>339.4999999999992</v>
      </c>
      <c r="V38" s="4">
        <f t="shared" si="27"/>
        <v>1542.7608992915339</v>
      </c>
      <c r="W38" s="4">
        <f t="shared" si="27"/>
        <v>775.55553967021103</v>
      </c>
      <c r="X38" s="4">
        <f t="shared" si="27"/>
        <v>930.86084037205933</v>
      </c>
      <c r="Y38" s="4">
        <f t="shared" si="27"/>
        <v>852.91521488279</v>
      </c>
      <c r="Z38" s="4">
        <f t="shared" si="27"/>
        <v>1026.0235263126317</v>
      </c>
      <c r="AA38" s="4">
        <f t="shared" si="27"/>
        <v>960.89976235999575</v>
      </c>
      <c r="AB38" s="4">
        <f t="shared" si="27"/>
        <v>1133.8330302151253</v>
      </c>
      <c r="AC38" s="4">
        <f t="shared" si="27"/>
        <v>1098.799847733565</v>
      </c>
      <c r="AD38" s="4">
        <f t="shared" si="27"/>
        <v>1192.5575827188698</v>
      </c>
      <c r="AE38" s="4">
        <f t="shared" si="27"/>
        <v>1142.1551957790475</v>
      </c>
      <c r="AF38" s="4">
        <f t="shared" si="27"/>
        <v>1273.7727970016813</v>
      </c>
      <c r="AG38" s="4">
        <f t="shared" si="27"/>
        <v>1291.5200390230414</v>
      </c>
      <c r="AH38" s="4">
        <f t="shared" si="27"/>
        <v>2426.0405304835422</v>
      </c>
      <c r="AI38" s="4">
        <f t="shared" si="27"/>
        <v>1524.6309428725147</v>
      </c>
      <c r="AJ38" s="4">
        <f t="shared" si="27"/>
        <v>1797.011676415359</v>
      </c>
      <c r="AK38" s="4">
        <f t="shared" si="27"/>
        <v>1771.5172442218047</v>
      </c>
      <c r="AL38" s="4">
        <f t="shared" si="27"/>
        <v>1941.2863793795477</v>
      </c>
      <c r="AM38" s="4">
        <f t="shared" si="27"/>
        <v>1935.8824689450114</v>
      </c>
      <c r="AN38" s="4">
        <f t="shared" si="27"/>
        <v>2034.6850915287193</v>
      </c>
      <c r="AO38" s="4">
        <f t="shared" si="27"/>
        <v>2062.3560522860371</v>
      </c>
      <c r="AP38" s="4">
        <f t="shared" si="27"/>
        <v>2328.3656088178891</v>
      </c>
    </row>
    <row r="39" spans="2:42 16384:16384" ht="17">
      <c r="B39" s="17" t="s">
        <v>211</v>
      </c>
      <c r="D39" s="68"/>
      <c r="E39" s="68"/>
      <c r="F39" s="68"/>
      <c r="G39" s="68"/>
      <c r="H39" s="68"/>
      <c r="I39" s="68"/>
      <c r="J39" s="68"/>
      <c r="K39" s="68"/>
      <c r="L39" s="68"/>
      <c r="M39" s="68"/>
      <c r="N39" s="68"/>
      <c r="O39" s="68"/>
      <c r="P39" s="68"/>
      <c r="Q39" s="68"/>
      <c r="R39" s="68"/>
      <c r="S39" s="68"/>
      <c r="T39" s="68"/>
      <c r="U39" s="68"/>
    </row>
    <row r="40" spans="2:42 16384:16384">
      <c r="B40" s="17"/>
    </row>
    <row r="41" spans="2:42 16384:16384">
      <c r="B41" t="s">
        <v>200</v>
      </c>
      <c r="C41" s="64">
        <f>C28/C27</f>
        <v>-5.8998163735167697E-2</v>
      </c>
      <c r="D41" s="64">
        <f t="shared" ref="D41:U41" si="28">D28/D27</f>
        <v>4.3657779747957669E-2</v>
      </c>
      <c r="E41" s="64">
        <f t="shared" si="28"/>
        <v>5.2717003606091745E-2</v>
      </c>
      <c r="F41" s="64">
        <f t="shared" si="28"/>
        <v>-37.468596244602935</v>
      </c>
      <c r="G41" s="64">
        <f t="shared" si="28"/>
        <v>0.16097081010167269</v>
      </c>
      <c r="H41" s="64">
        <f t="shared" si="28"/>
        <v>0.18205960820184472</v>
      </c>
      <c r="I41" s="64">
        <f t="shared" si="28"/>
        <v>0.18605835904112281</v>
      </c>
      <c r="J41" s="64">
        <f t="shared" si="28"/>
        <v>0.13860996608555085</v>
      </c>
      <c r="K41" s="64">
        <f t="shared" si="28"/>
        <v>8.3312802075634157E-2</v>
      </c>
      <c r="L41" s="64">
        <f t="shared" si="28"/>
        <v>-1.5155556633284028E-2</v>
      </c>
      <c r="M41" s="64">
        <f t="shared" si="28"/>
        <v>0.10506188896285591</v>
      </c>
      <c r="N41" s="64">
        <f t="shared" si="28"/>
        <v>0.32008286978842543</v>
      </c>
      <c r="O41" s="64">
        <f t="shared" si="28"/>
        <v>0.20438489646772229</v>
      </c>
      <c r="P41" s="64">
        <f t="shared" si="28"/>
        <v>2.5056793899997771</v>
      </c>
      <c r="Q41" s="64">
        <f t="shared" si="28"/>
        <v>0.21315423944203093</v>
      </c>
      <c r="R41" s="64">
        <f t="shared" si="28"/>
        <v>0.11593039589484848</v>
      </c>
      <c r="S41" s="64">
        <f t="shared" si="28"/>
        <v>0.20182237117720989</v>
      </c>
      <c r="T41" s="64">
        <f t="shared" si="28"/>
        <v>0.20880515423662641</v>
      </c>
      <c r="U41" s="64">
        <f t="shared" si="28"/>
        <v>0.20902754165249918</v>
      </c>
      <c r="V41" s="64">
        <v>0.2</v>
      </c>
      <c r="W41" s="64">
        <v>0.2</v>
      </c>
      <c r="X41" s="64">
        <v>0.2</v>
      </c>
      <c r="Y41" s="64">
        <v>0.2</v>
      </c>
      <c r="Z41" s="64">
        <v>0.2</v>
      </c>
      <c r="AA41" s="64">
        <v>0.2</v>
      </c>
      <c r="AB41" s="64">
        <v>0.2</v>
      </c>
      <c r="AC41" s="64">
        <v>0.2</v>
      </c>
      <c r="AD41" s="64">
        <v>0.2</v>
      </c>
      <c r="AE41" s="64">
        <v>0.2</v>
      </c>
      <c r="AF41" s="64">
        <v>0.2</v>
      </c>
      <c r="AG41" s="64">
        <v>0.2</v>
      </c>
      <c r="AH41" s="64">
        <v>0.2</v>
      </c>
      <c r="AI41" s="64">
        <v>0.2</v>
      </c>
      <c r="AJ41" s="64">
        <v>0.2</v>
      </c>
      <c r="AK41" s="64">
        <v>0.2</v>
      </c>
      <c r="AL41" s="64">
        <v>0.2</v>
      </c>
      <c r="AM41" s="64">
        <v>0.2</v>
      </c>
      <c r="AN41" s="64">
        <v>0.2</v>
      </c>
      <c r="AO41" s="64">
        <v>0.2</v>
      </c>
      <c r="AP41" s="64">
        <v>0.2</v>
      </c>
    </row>
    <row r="42" spans="2:42 16384:16384" ht="17">
      <c r="B42" s="17" t="s">
        <v>60</v>
      </c>
      <c r="C42" s="24">
        <v>0.14219999999999999</v>
      </c>
      <c r="D42" s="24">
        <v>0.14219999999999999</v>
      </c>
      <c r="E42" s="24">
        <v>0.14219999999999999</v>
      </c>
      <c r="F42" s="24">
        <v>0.14219999999999999</v>
      </c>
      <c r="G42" s="24">
        <v>0.14219999999999999</v>
      </c>
      <c r="H42" s="24">
        <v>0.14219999999999999</v>
      </c>
      <c r="I42" s="24">
        <v>0.14219999999999999</v>
      </c>
      <c r="J42" s="24">
        <v>0.14219999999999999</v>
      </c>
      <c r="K42" s="24">
        <v>0.14219999999999999</v>
      </c>
      <c r="L42" s="24">
        <v>0.14219999999999999</v>
      </c>
      <c r="M42" s="24">
        <v>0.14219999999999999</v>
      </c>
      <c r="N42" s="24">
        <v>0.14219999999999999</v>
      </c>
      <c r="O42" s="24">
        <v>0.14219999999999999</v>
      </c>
      <c r="P42" s="24">
        <v>0.14219999999999999</v>
      </c>
      <c r="Q42" s="24">
        <v>0.14219999999999999</v>
      </c>
      <c r="R42" s="24"/>
      <c r="S42" s="24"/>
      <c r="T42" s="24"/>
      <c r="U42" s="24"/>
      <c r="V42" s="24"/>
      <c r="W42" s="24"/>
      <c r="X42" s="24"/>
      <c r="Y42" s="24"/>
    </row>
    <row r="43" spans="2:42 16384:16384">
      <c r="B43" t="s">
        <v>61</v>
      </c>
      <c r="C43" s="64">
        <f>C16/C8</f>
        <v>0.88824420762204692</v>
      </c>
      <c r="D43" s="64">
        <f t="shared" ref="D43:AP43" si="29">D16/D8</f>
        <v>0.86122312230026454</v>
      </c>
      <c r="E43" s="64">
        <f t="shared" si="29"/>
        <v>0.85818988317920808</v>
      </c>
      <c r="F43" s="64">
        <f t="shared" si="29"/>
        <v>0.86063058083412636</v>
      </c>
      <c r="G43" s="64">
        <f t="shared" si="29"/>
        <v>0.88922632464892504</v>
      </c>
      <c r="H43" s="64">
        <f t="shared" si="29"/>
        <v>0.85579410449243754</v>
      </c>
      <c r="I43" s="64">
        <f t="shared" si="29"/>
        <v>0.86111801294550172</v>
      </c>
      <c r="J43" s="64">
        <f t="shared" si="29"/>
        <v>0.86908895359327498</v>
      </c>
      <c r="K43" s="64">
        <f t="shared" si="29"/>
        <v>0.89274882896059482</v>
      </c>
      <c r="L43" s="64">
        <f t="shared" si="29"/>
        <v>0.87896240369698619</v>
      </c>
      <c r="M43" s="64">
        <f t="shared" si="29"/>
        <v>0.87896671002703686</v>
      </c>
      <c r="N43" s="64">
        <f t="shared" si="29"/>
        <v>0.87523129092897256</v>
      </c>
      <c r="O43" s="64">
        <f t="shared" si="29"/>
        <v>0.88847001507945722</v>
      </c>
      <c r="P43" s="64">
        <f t="shared" si="29"/>
        <v>0.87286009033625156</v>
      </c>
      <c r="Q43" s="64">
        <f t="shared" si="29"/>
        <v>0.88080838625138591</v>
      </c>
      <c r="R43" s="64">
        <f t="shared" si="29"/>
        <v>0.8806963398755846</v>
      </c>
      <c r="S43" s="64">
        <f t="shared" si="29"/>
        <v>0.88281287246722295</v>
      </c>
      <c r="T43" s="64">
        <f t="shared" si="29"/>
        <v>0.88079409889809668</v>
      </c>
      <c r="U43" s="64">
        <f t="shared" si="29"/>
        <v>0.87602279055819732</v>
      </c>
      <c r="V43" s="64">
        <f t="shared" si="29"/>
        <v>0.88000000000000012</v>
      </c>
      <c r="W43" s="64">
        <f t="shared" si="29"/>
        <v>0.88000000000000012</v>
      </c>
      <c r="X43" s="64">
        <f t="shared" si="29"/>
        <v>0.87999999999999989</v>
      </c>
      <c r="Y43" s="64">
        <f t="shared" si="29"/>
        <v>0.87999999999999989</v>
      </c>
      <c r="Z43" s="64">
        <f t="shared" si="29"/>
        <v>0.88</v>
      </c>
      <c r="AA43" s="64">
        <f t="shared" si="29"/>
        <v>0.88</v>
      </c>
      <c r="AB43" s="64">
        <f t="shared" si="29"/>
        <v>0.88</v>
      </c>
      <c r="AC43" s="64">
        <f t="shared" si="29"/>
        <v>0.88</v>
      </c>
      <c r="AD43" s="64">
        <f t="shared" si="29"/>
        <v>0.88</v>
      </c>
      <c r="AE43" s="64">
        <f t="shared" si="29"/>
        <v>0.88</v>
      </c>
      <c r="AF43" s="64">
        <f t="shared" si="29"/>
        <v>0.88</v>
      </c>
      <c r="AG43" s="64">
        <f t="shared" si="29"/>
        <v>0.88</v>
      </c>
      <c r="AH43" s="64">
        <f t="shared" si="29"/>
        <v>0.88</v>
      </c>
      <c r="AI43" s="64">
        <f t="shared" si="29"/>
        <v>0.88</v>
      </c>
      <c r="AJ43" s="64">
        <f t="shared" si="29"/>
        <v>0.88</v>
      </c>
      <c r="AK43" s="64">
        <f t="shared" si="29"/>
        <v>0.88</v>
      </c>
      <c r="AL43" s="64">
        <f t="shared" si="29"/>
        <v>0.88</v>
      </c>
      <c r="AM43" s="64">
        <f t="shared" si="29"/>
        <v>0.88</v>
      </c>
      <c r="AN43" s="64">
        <f t="shared" si="29"/>
        <v>0.88000000000000012</v>
      </c>
      <c r="AO43" s="64">
        <f t="shared" si="29"/>
        <v>0.87999999999999989</v>
      </c>
      <c r="AP43" s="64">
        <f t="shared" si="29"/>
        <v>0.88</v>
      </c>
    </row>
    <row r="44" spans="2:42 16384:16384">
      <c r="B44" t="s">
        <v>62</v>
      </c>
      <c r="D44" s="76">
        <f>D8/C8-1</f>
        <v>0.17377992162909117</v>
      </c>
      <c r="E44" s="76">
        <f t="shared" ref="E44:AP44" si="30">E8/D8-1</f>
        <v>4.3046863886130105E-2</v>
      </c>
      <c r="F44" s="76">
        <f t="shared" si="30"/>
        <v>0.11842683882809579</v>
      </c>
      <c r="G44" s="76">
        <f t="shared" si="30"/>
        <v>-2.1665175595051767E-2</v>
      </c>
      <c r="H44" s="76">
        <f t="shared" si="30"/>
        <v>9.6522159511203576E-2</v>
      </c>
      <c r="I44" s="76">
        <f t="shared" si="30"/>
        <v>9.0673148530797665E-3</v>
      </c>
      <c r="J44" s="76">
        <f t="shared" si="30"/>
        <v>0.48791675966596038</v>
      </c>
      <c r="K44" s="76">
        <f t="shared" si="30"/>
        <v>7.2061502973610692E-2</v>
      </c>
      <c r="L44" s="76">
        <f t="shared" si="30"/>
        <v>6.1896618522652158E-3</v>
      </c>
      <c r="M44" s="76">
        <f t="shared" si="30"/>
        <v>9.0430538837706909E-3</v>
      </c>
      <c r="N44" s="76">
        <f t="shared" si="30"/>
        <v>5.8214059811307672E-2</v>
      </c>
      <c r="O44" s="76">
        <f t="shared" si="30"/>
        <v>5.9208020542811823E-2</v>
      </c>
      <c r="P44" s="76">
        <f t="shared" si="30"/>
        <v>4.0076557243939215E-2</v>
      </c>
      <c r="Q44" s="76">
        <f t="shared" si="30"/>
        <v>0.10645179278425254</v>
      </c>
      <c r="R44" s="76">
        <f t="shared" si="30"/>
        <v>4.5106340086684682E-2</v>
      </c>
      <c r="S44" s="76">
        <f t="shared" si="30"/>
        <v>1.1477069971548515E-2</v>
      </c>
      <c r="T44" s="76">
        <f t="shared" si="30"/>
        <v>4.7056019070321753E-2</v>
      </c>
      <c r="U44" s="76">
        <f t="shared" si="30"/>
        <v>6.2881340497222382E-2</v>
      </c>
      <c r="V44" s="76">
        <f t="shared" si="30"/>
        <v>4.3552885233260286E-2</v>
      </c>
      <c r="W44" s="76">
        <f t="shared" si="30"/>
        <v>4.4978153631486384E-2</v>
      </c>
      <c r="X44" s="76">
        <f t="shared" si="30"/>
        <v>4.62886075063631E-2</v>
      </c>
      <c r="Y44" s="76">
        <f t="shared" si="30"/>
        <v>4.7490425857706464E-2</v>
      </c>
      <c r="Z44" s="76">
        <f t="shared" si="30"/>
        <v>4.8590042612948192E-2</v>
      </c>
      <c r="AA44" s="76">
        <f t="shared" si="30"/>
        <v>4.1355644628541244E-2</v>
      </c>
      <c r="AB44" s="76">
        <f t="shared" si="30"/>
        <v>4.2134929815128785E-2</v>
      </c>
      <c r="AC44" s="76">
        <f t="shared" si="30"/>
        <v>4.2848962747146668E-2</v>
      </c>
      <c r="AD44" s="76">
        <f t="shared" si="30"/>
        <v>4.3502309767517122E-2</v>
      </c>
      <c r="AE44" s="76">
        <f t="shared" si="30"/>
        <v>4.4099380448759495E-2</v>
      </c>
      <c r="AF44" s="76">
        <f t="shared" si="30"/>
        <v>4.464440018641147E-2</v>
      </c>
      <c r="AG44" s="76">
        <f t="shared" si="30"/>
        <v>4.5141390822673433E-2</v>
      </c>
      <c r="AH44" s="76">
        <f t="shared" si="30"/>
        <v>4.5594158098893223E-2</v>
      </c>
      <c r="AI44" s="76">
        <f t="shared" si="30"/>
        <v>4.6006284810962583E-2</v>
      </c>
      <c r="AJ44" s="76">
        <f t="shared" si="30"/>
        <v>4.6381128639139124E-2</v>
      </c>
      <c r="AK44" s="76">
        <f t="shared" si="30"/>
        <v>4.6721823732679635E-2</v>
      </c>
      <c r="AL44" s="76">
        <f t="shared" si="30"/>
        <v>4.7031285242250309E-2</v>
      </c>
      <c r="AM44" s="76">
        <f t="shared" si="30"/>
        <v>4.7312216103539528E-2</v>
      </c>
      <c r="AN44" s="76">
        <f t="shared" si="30"/>
        <v>4.7567115480148914E-2</v>
      </c>
      <c r="AO44" s="76">
        <f t="shared" si="30"/>
        <v>4.779828837010669E-2</v>
      </c>
      <c r="AP44" s="76">
        <f t="shared" si="30"/>
        <v>4.800785596704471E-2</v>
      </c>
    </row>
    <row r="45" spans="2:42 16384:16384" hidden="1">
      <c r="B45" s="11" t="s">
        <v>212</v>
      </c>
      <c r="D45" s="76" t="e">
        <f>D9/C9-1</f>
        <v>#DIV/0!</v>
      </c>
      <c r="E45" s="76" t="e">
        <f t="shared" ref="E45:U45" si="31">E9/D9-1</f>
        <v>#DIV/0!</v>
      </c>
      <c r="F45" s="76" t="e">
        <f t="shared" si="31"/>
        <v>#DIV/0!</v>
      </c>
      <c r="G45" s="76" t="e">
        <f t="shared" si="31"/>
        <v>#DIV/0!</v>
      </c>
      <c r="H45" s="76" t="e">
        <f t="shared" si="31"/>
        <v>#DIV/0!</v>
      </c>
      <c r="I45" s="76" t="e">
        <f t="shared" si="31"/>
        <v>#DIV/0!</v>
      </c>
      <c r="J45" s="76" t="e">
        <f t="shared" si="31"/>
        <v>#DIV/0!</v>
      </c>
      <c r="K45" s="76">
        <f t="shared" si="31"/>
        <v>1.1309743992573282</v>
      </c>
      <c r="L45" s="76">
        <f t="shared" si="31"/>
        <v>2.5113015270884942E-2</v>
      </c>
      <c r="M45" s="76">
        <f t="shared" si="31"/>
        <v>4.6412012443950434E-2</v>
      </c>
      <c r="N45" s="76">
        <f t="shared" si="31"/>
        <v>0.13564398088946472</v>
      </c>
      <c r="O45" s="76">
        <f t="shared" si="31"/>
        <v>9.4108758005002846E-2</v>
      </c>
      <c r="P45" s="76">
        <f t="shared" si="31"/>
        <v>5.2296345960442414E-2</v>
      </c>
      <c r="Q45" s="76">
        <f t="shared" si="31"/>
        <v>0.23908888180949361</v>
      </c>
      <c r="R45" s="76">
        <f t="shared" si="31"/>
        <v>8.8571795860650226E-2</v>
      </c>
      <c r="S45" s="76">
        <f t="shared" si="31"/>
        <v>4.0151157298063511E-2</v>
      </c>
      <c r="T45" s="76">
        <f t="shared" si="31"/>
        <v>7.4704813805631431E-2</v>
      </c>
      <c r="U45" s="76">
        <f t="shared" si="31"/>
        <v>6.1958588633002298E-2</v>
      </c>
      <c r="V45" s="76">
        <v>5.8999999999999997E-2</v>
      </c>
      <c r="W45" s="76">
        <v>5.8999999999999997E-2</v>
      </c>
      <c r="X45" s="76">
        <v>5.8999999999999997E-2</v>
      </c>
      <c r="Y45" s="76">
        <v>5.8999999999999997E-2</v>
      </c>
      <c r="Z45" s="76">
        <v>5.8999999999999997E-2</v>
      </c>
      <c r="AA45" s="76">
        <v>5.8999999999999997E-2</v>
      </c>
      <c r="AB45" s="76">
        <v>5.8999999999999997E-2</v>
      </c>
      <c r="AC45" s="76">
        <v>5.8999999999999997E-2</v>
      </c>
      <c r="AD45" s="76">
        <v>5.8999999999999997E-2</v>
      </c>
      <c r="AE45" s="76">
        <v>5.8999999999999997E-2</v>
      </c>
      <c r="AF45" s="76">
        <v>5.8999999999999997E-2</v>
      </c>
      <c r="AG45" s="76">
        <v>5.8999999999999997E-2</v>
      </c>
      <c r="AH45" s="76">
        <v>5.8999999999999997E-2</v>
      </c>
      <c r="AI45" s="76">
        <v>5.8999999999999997E-2</v>
      </c>
      <c r="AJ45" s="76">
        <v>5.8999999999999997E-2</v>
      </c>
      <c r="AK45" s="76">
        <v>5.8999999999999997E-2</v>
      </c>
      <c r="AL45" s="76">
        <v>5.8999999999999997E-2</v>
      </c>
      <c r="AM45" s="76">
        <v>5.8999999999999997E-2</v>
      </c>
      <c r="AN45" s="76">
        <v>5.8999999999999997E-2</v>
      </c>
      <c r="AO45" s="76">
        <v>5.8999999999999997E-2</v>
      </c>
      <c r="AP45" s="76">
        <v>5.8999999999999997E-2</v>
      </c>
    </row>
    <row r="46" spans="2:42 16384:16384" hidden="1">
      <c r="B46" s="11" t="s">
        <v>213</v>
      </c>
      <c r="D46" s="76">
        <f t="shared" ref="D46:U46" si="32">D10/C10-1</f>
        <v>4.4377564177704834</v>
      </c>
      <c r="E46" s="76">
        <f t="shared" si="32"/>
        <v>0.37379687213701396</v>
      </c>
      <c r="F46" s="76">
        <f t="shared" si="32"/>
        <v>0.15352719883570876</v>
      </c>
      <c r="G46" s="76">
        <f t="shared" si="32"/>
        <v>8.9163288625295545E-2</v>
      </c>
      <c r="H46" s="76">
        <f t="shared" si="32"/>
        <v>0.12975411755522614</v>
      </c>
      <c r="I46" s="76">
        <f t="shared" si="32"/>
        <v>0.11574985075946853</v>
      </c>
      <c r="J46" s="76">
        <f t="shared" si="32"/>
        <v>-0.17801463412217566</v>
      </c>
      <c r="K46" s="76">
        <f t="shared" si="32"/>
        <v>-0.47819627720003499</v>
      </c>
      <c r="L46" s="76">
        <f t="shared" si="32"/>
        <v>-8.2583059500226375E-3</v>
      </c>
      <c r="M46" s="76">
        <f t="shared" si="32"/>
        <v>-9.055546820863114E-2</v>
      </c>
      <c r="N46" s="76">
        <f t="shared" si="32"/>
        <v>-0.18355338139814847</v>
      </c>
      <c r="O46" s="76">
        <f t="shared" si="32"/>
        <v>-1.9692418693288971E-2</v>
      </c>
      <c r="P46" s="76">
        <f t="shared" si="32"/>
        <v>6.800000000000006E-2</v>
      </c>
      <c r="Q46" s="76">
        <f t="shared" si="32"/>
        <v>-0.3902621722846441</v>
      </c>
      <c r="R46" s="76">
        <f t="shared" si="32"/>
        <v>-1.1056511056511176E-2</v>
      </c>
      <c r="S46" s="76">
        <f t="shared" si="32"/>
        <v>-0.1950310559006212</v>
      </c>
      <c r="T46" s="76">
        <f t="shared" si="32"/>
        <v>-0.34104938271604934</v>
      </c>
      <c r="U46" s="76">
        <f t="shared" si="32"/>
        <v>-0.1053864168618267</v>
      </c>
      <c r="V46" s="76">
        <v>-0.05</v>
      </c>
      <c r="W46" s="76">
        <v>-0.05</v>
      </c>
      <c r="X46" s="76">
        <v>-0.05</v>
      </c>
      <c r="Y46" s="76">
        <v>-0.05</v>
      </c>
      <c r="Z46" s="76">
        <v>-0.05</v>
      </c>
      <c r="AA46" s="76">
        <v>-0.05</v>
      </c>
      <c r="AB46" s="76">
        <v>-0.05</v>
      </c>
      <c r="AC46" s="76">
        <v>-0.05</v>
      </c>
      <c r="AD46" s="76">
        <v>-0.05</v>
      </c>
      <c r="AE46" s="76">
        <v>-0.05</v>
      </c>
      <c r="AF46" s="76">
        <v>-0.05</v>
      </c>
      <c r="AG46" s="76">
        <v>-0.05</v>
      </c>
      <c r="AH46" s="76">
        <v>-0.05</v>
      </c>
      <c r="AI46" s="76">
        <v>-0.05</v>
      </c>
      <c r="AJ46" s="76">
        <v>-0.05</v>
      </c>
      <c r="AK46" s="76">
        <v>-0.05</v>
      </c>
      <c r="AL46" s="76">
        <v>-0.05</v>
      </c>
      <c r="AM46" s="76">
        <v>-0.05</v>
      </c>
      <c r="AN46" s="76">
        <v>-0.05</v>
      </c>
      <c r="AO46" s="76">
        <v>-0.05</v>
      </c>
      <c r="AP46" s="76">
        <v>-0.05</v>
      </c>
    </row>
    <row r="47" spans="2:42 16384:16384" hidden="1">
      <c r="B47" s="11" t="s">
        <v>214</v>
      </c>
      <c r="D47" s="76">
        <f t="shared" ref="D47:U47" si="33">D11/C11-1</f>
        <v>-0.12089553924974428</v>
      </c>
      <c r="E47" s="76">
        <f t="shared" si="33"/>
        <v>-9.4460918650264736E-2</v>
      </c>
      <c r="F47" s="76">
        <f t="shared" si="33"/>
        <v>0.11750910916451174</v>
      </c>
      <c r="G47" s="76">
        <f t="shared" si="33"/>
        <v>-6.9759984760937366E-2</v>
      </c>
      <c r="H47" s="76">
        <f t="shared" si="33"/>
        <v>7.9977611456381492E-2</v>
      </c>
      <c r="I47" s="76">
        <f t="shared" si="33"/>
        <v>-6.2349695519859805E-2</v>
      </c>
      <c r="J47" s="76">
        <f t="shared" si="33"/>
        <v>0.43483726589172633</v>
      </c>
      <c r="K47" s="76">
        <f t="shared" si="33"/>
        <v>-0.45003429387502003</v>
      </c>
      <c r="L47" s="76">
        <f t="shared" si="33"/>
        <v>-9.2125156958716703E-3</v>
      </c>
      <c r="M47" s="76">
        <f t="shared" si="33"/>
        <v>-2.6131450420508462E-2</v>
      </c>
      <c r="N47" s="76">
        <f t="shared" si="33"/>
        <v>-4.62333845316244E-2</v>
      </c>
      <c r="O47" s="76">
        <f t="shared" si="33"/>
        <v>1.4971643910634436E-2</v>
      </c>
      <c r="P47" s="76">
        <f t="shared" si="33"/>
        <v>1.0516689529035173E-2</v>
      </c>
      <c r="Q47" s="76">
        <f t="shared" si="33"/>
        <v>-0.16470588235294126</v>
      </c>
      <c r="R47" s="76">
        <f t="shared" si="33"/>
        <v>-0.20205850487540622</v>
      </c>
      <c r="S47" s="76">
        <f t="shared" si="33"/>
        <v>-0.10319076714188746</v>
      </c>
      <c r="T47" s="76">
        <f t="shared" si="33"/>
        <v>-7.9485238455715423E-2</v>
      </c>
      <c r="U47" s="76">
        <f t="shared" si="33"/>
        <v>0.20230263157894735</v>
      </c>
      <c r="V47" s="76">
        <v>-0.05</v>
      </c>
      <c r="W47" s="76">
        <v>-0.05</v>
      </c>
      <c r="X47" s="76">
        <v>-0.05</v>
      </c>
      <c r="Y47" s="76">
        <v>-0.05</v>
      </c>
      <c r="Z47" s="76">
        <v>-0.05</v>
      </c>
      <c r="AA47" s="76">
        <v>-0.05</v>
      </c>
      <c r="AB47" s="76">
        <v>-0.05</v>
      </c>
      <c r="AC47" s="76">
        <v>-0.05</v>
      </c>
      <c r="AD47" s="76">
        <v>-0.05</v>
      </c>
      <c r="AE47" s="76">
        <v>-0.05</v>
      </c>
      <c r="AF47" s="76">
        <v>-0.05</v>
      </c>
      <c r="AG47" s="76">
        <v>-0.05</v>
      </c>
      <c r="AH47" s="76">
        <v>-0.05</v>
      </c>
      <c r="AI47" s="76">
        <v>-0.05</v>
      </c>
      <c r="AJ47" s="76">
        <v>-0.05</v>
      </c>
      <c r="AK47" s="76">
        <v>-0.05</v>
      </c>
      <c r="AL47" s="76">
        <v>-0.05</v>
      </c>
      <c r="AM47" s="76">
        <v>-0.05</v>
      </c>
      <c r="AN47" s="76">
        <v>-0.05</v>
      </c>
      <c r="AO47" s="76">
        <v>-0.05</v>
      </c>
      <c r="AP47" s="76">
        <v>-0.05</v>
      </c>
    </row>
    <row r="48" spans="2:42 16384:16384" hidden="1">
      <c r="B48" s="11" t="s">
        <v>215</v>
      </c>
      <c r="D48" s="76">
        <f t="shared" ref="D48:Q48" si="34">D12/C12-1</f>
        <v>1.424226273247875E-2</v>
      </c>
      <c r="E48" s="76">
        <f t="shared" si="34"/>
        <v>-2.9080219524048379E-2</v>
      </c>
      <c r="F48" s="76">
        <f t="shared" si="34"/>
        <v>5.4547008338318603E-2</v>
      </c>
      <c r="G48" s="76">
        <f t="shared" si="34"/>
        <v>-5.8525027302160804E-2</v>
      </c>
      <c r="H48" s="76">
        <f t="shared" si="34"/>
        <v>7.4336703952519123E-2</v>
      </c>
      <c r="I48" s="76">
        <f t="shared" si="34"/>
        <v>-4.8468755126723218E-2</v>
      </c>
      <c r="J48" s="76">
        <f t="shared" si="34"/>
        <v>-5.5420343780949066E-2</v>
      </c>
      <c r="K48" s="76">
        <f t="shared" si="34"/>
        <v>-9.7647942745807015E-2</v>
      </c>
      <c r="L48" s="76">
        <f t="shared" si="34"/>
        <v>-4.4769659934988271E-2</v>
      </c>
      <c r="M48" s="76">
        <f t="shared" si="34"/>
        <v>-4.5277257953314276E-2</v>
      </c>
      <c r="N48" s="76">
        <f t="shared" si="34"/>
        <v>-2.5739428264883735E-3</v>
      </c>
      <c r="O48" s="76">
        <f t="shared" si="34"/>
        <v>-3.6547084042261591E-2</v>
      </c>
      <c r="P48" s="76">
        <f t="shared" si="34"/>
        <v>-1.6639828234031206E-2</v>
      </c>
      <c r="Q48" s="76">
        <f t="shared" si="34"/>
        <v>-0.11353711790393006</v>
      </c>
      <c r="R48" s="76">
        <f>R12/Q12-1</f>
        <v>-6.2192118226600646E-2</v>
      </c>
      <c r="S48" s="76">
        <f>S12/R12-1</f>
        <v>-8.73276428102433E-2</v>
      </c>
      <c r="T48" s="76">
        <f>T12/S12-1</f>
        <v>-2.1582733812950394E-3</v>
      </c>
      <c r="U48" s="76">
        <f>U12/T12-1</f>
        <v>5.0468637346792189E-3</v>
      </c>
      <c r="V48" s="76"/>
      <c r="W48" s="76"/>
      <c r="X48" s="76"/>
      <c r="Y48" s="76"/>
    </row>
    <row r="49" spans="2:42">
      <c r="B49" t="s">
        <v>63</v>
      </c>
    </row>
    <row r="52" spans="2:42">
      <c r="B52" t="s">
        <v>64</v>
      </c>
      <c r="C52" s="76">
        <f>C15/C8</f>
        <v>0.11175579237795313</v>
      </c>
      <c r="D52" s="76">
        <f t="shared" ref="D52:U52" si="35">D15/D8</f>
        <v>0.13877687769973557</v>
      </c>
      <c r="E52" s="76">
        <f t="shared" si="35"/>
        <v>0.14181011682079192</v>
      </c>
      <c r="F52" s="76">
        <f t="shared" si="35"/>
        <v>0.13936941916587361</v>
      </c>
      <c r="G52" s="76">
        <f t="shared" si="35"/>
        <v>0.11077367535107492</v>
      </c>
      <c r="H52" s="76">
        <f t="shared" si="35"/>
        <v>0.14420589550756249</v>
      </c>
      <c r="I52" s="76">
        <f t="shared" si="35"/>
        <v>0.13888198705449828</v>
      </c>
      <c r="J52" s="76">
        <f t="shared" si="35"/>
        <v>0.13091104640672491</v>
      </c>
      <c r="K52" s="76">
        <f t="shared" si="35"/>
        <v>0.10725117103940517</v>
      </c>
      <c r="L52" s="76">
        <f t="shared" si="35"/>
        <v>0.12103759630301382</v>
      </c>
      <c r="M52" s="76">
        <f t="shared" si="35"/>
        <v>0.12103328997296314</v>
      </c>
      <c r="N52" s="76">
        <f t="shared" si="35"/>
        <v>0.12476870907102748</v>
      </c>
      <c r="O52" s="76">
        <f t="shared" si="35"/>
        <v>0.11152998492054286</v>
      </c>
      <c r="P52" s="76">
        <f t="shared" si="35"/>
        <v>0.12713990966374841</v>
      </c>
      <c r="Q52" s="76">
        <f t="shared" si="35"/>
        <v>0.11919161374861405</v>
      </c>
      <c r="R52" s="76">
        <f t="shared" si="35"/>
        <v>0.11930366012441532</v>
      </c>
      <c r="S52" s="76">
        <f t="shared" si="35"/>
        <v>0.11718712753277712</v>
      </c>
      <c r="T52" s="76">
        <f t="shared" si="35"/>
        <v>0.11920590110190331</v>
      </c>
      <c r="U52" s="76">
        <f t="shared" si="35"/>
        <v>0.12397720944180268</v>
      </c>
      <c r="V52" s="76">
        <f>12%</f>
        <v>0.12</v>
      </c>
      <c r="W52" s="76">
        <f>12%</f>
        <v>0.12</v>
      </c>
      <c r="X52" s="76">
        <f>12%</f>
        <v>0.12</v>
      </c>
      <c r="Y52" s="76">
        <f>12%</f>
        <v>0.12</v>
      </c>
      <c r="Z52" s="76">
        <f>12%</f>
        <v>0.12</v>
      </c>
      <c r="AA52" s="76">
        <f>12%</f>
        <v>0.12</v>
      </c>
      <c r="AB52" s="76">
        <f>12%</f>
        <v>0.12</v>
      </c>
      <c r="AC52" s="76">
        <f>12%</f>
        <v>0.12</v>
      </c>
      <c r="AD52" s="76">
        <f>12%</f>
        <v>0.12</v>
      </c>
      <c r="AE52" s="76">
        <f>12%</f>
        <v>0.12</v>
      </c>
      <c r="AF52" s="76">
        <f>12%</f>
        <v>0.12</v>
      </c>
      <c r="AG52" s="76">
        <f>12%</f>
        <v>0.12</v>
      </c>
      <c r="AH52" s="76">
        <f>12%</f>
        <v>0.12</v>
      </c>
      <c r="AI52" s="76">
        <f>12%</f>
        <v>0.12</v>
      </c>
      <c r="AJ52" s="76">
        <f>12%</f>
        <v>0.12</v>
      </c>
      <c r="AK52" s="76">
        <f>12%</f>
        <v>0.12</v>
      </c>
      <c r="AL52" s="76">
        <f>12%</f>
        <v>0.12</v>
      </c>
      <c r="AM52" s="76">
        <f>12%</f>
        <v>0.12</v>
      </c>
      <c r="AN52" s="76">
        <f>12%</f>
        <v>0.12</v>
      </c>
      <c r="AO52" s="76">
        <f>12%</f>
        <v>0.12</v>
      </c>
      <c r="AP52" s="76">
        <f>12%</f>
        <v>0.12</v>
      </c>
    </row>
    <row r="53" spans="2:42">
      <c r="B53" t="s">
        <v>65</v>
      </c>
      <c r="C53" s="76">
        <f>C17/C8</f>
        <v>0.20257210139216816</v>
      </c>
      <c r="D53" s="76">
        <f t="shared" ref="D53:U53" si="36">D17/D8</f>
        <v>0.18254566533316846</v>
      </c>
      <c r="E53" s="76">
        <f t="shared" si="36"/>
        <v>0.1750017526305391</v>
      </c>
      <c r="F53" s="76">
        <f t="shared" si="36"/>
        <v>0.1746092347668515</v>
      </c>
      <c r="G53" s="76">
        <f t="shared" si="36"/>
        <v>0.17131757209340254</v>
      </c>
      <c r="H53" s="76">
        <f t="shared" si="36"/>
        <v>0.16626278958836413</v>
      </c>
      <c r="I53" s="76">
        <f t="shared" si="36"/>
        <v>0.58531439376392358</v>
      </c>
      <c r="J53" s="76">
        <f t="shared" si="36"/>
        <v>0.13817436927964677</v>
      </c>
      <c r="K53" s="76">
        <f t="shared" si="36"/>
        <v>0.29603717757227715</v>
      </c>
      <c r="L53" s="76">
        <f t="shared" si="36"/>
        <v>0.12581560330209876</v>
      </c>
      <c r="M53" s="76">
        <f t="shared" si="36"/>
        <v>0.11997300865712218</v>
      </c>
      <c r="N53" s="76">
        <f t="shared" si="36"/>
        <v>0.13013908171665173</v>
      </c>
      <c r="O53" s="76">
        <f t="shared" si="36"/>
        <v>0.11141398909639252</v>
      </c>
      <c r="P53" s="76">
        <f t="shared" si="36"/>
        <v>0.10855350471198351</v>
      </c>
      <c r="Q53" s="76">
        <f t="shared" si="36"/>
        <v>9.9889124080233843E-2</v>
      </c>
      <c r="R53" s="76">
        <f t="shared" si="36"/>
        <v>0.12303177894584566</v>
      </c>
      <c r="S53" s="76">
        <f t="shared" si="36"/>
        <v>0.10259833134684147</v>
      </c>
      <c r="T53" s="76">
        <f t="shared" si="36"/>
        <v>9.8032966032237517E-2</v>
      </c>
      <c r="U53" s="76">
        <f t="shared" si="36"/>
        <v>0.105727627125905</v>
      </c>
      <c r="V53" s="76">
        <f>10.5%</f>
        <v>0.105</v>
      </c>
      <c r="W53" s="76">
        <f t="shared" ref="W53:AP53" si="37">10.5%</f>
        <v>0.105</v>
      </c>
      <c r="X53" s="76">
        <f t="shared" si="37"/>
        <v>0.105</v>
      </c>
      <c r="Y53" s="76">
        <f t="shared" si="37"/>
        <v>0.105</v>
      </c>
      <c r="Z53" s="76">
        <f t="shared" si="37"/>
        <v>0.105</v>
      </c>
      <c r="AA53" s="76">
        <f t="shared" si="37"/>
        <v>0.105</v>
      </c>
      <c r="AB53" s="76">
        <f t="shared" si="37"/>
        <v>0.105</v>
      </c>
      <c r="AC53" s="76">
        <f t="shared" si="37"/>
        <v>0.105</v>
      </c>
      <c r="AD53" s="76">
        <f t="shared" si="37"/>
        <v>0.105</v>
      </c>
      <c r="AE53" s="76">
        <f t="shared" si="37"/>
        <v>0.105</v>
      </c>
      <c r="AF53" s="76">
        <f t="shared" si="37"/>
        <v>0.105</v>
      </c>
      <c r="AG53" s="76">
        <f t="shared" si="37"/>
        <v>0.105</v>
      </c>
      <c r="AH53" s="76">
        <f t="shared" si="37"/>
        <v>0.105</v>
      </c>
      <c r="AI53" s="76">
        <f t="shared" si="37"/>
        <v>0.105</v>
      </c>
      <c r="AJ53" s="76">
        <f t="shared" si="37"/>
        <v>0.105</v>
      </c>
      <c r="AK53" s="76">
        <f t="shared" si="37"/>
        <v>0.105</v>
      </c>
      <c r="AL53" s="76">
        <f t="shared" si="37"/>
        <v>0.105</v>
      </c>
      <c r="AM53" s="76">
        <f t="shared" si="37"/>
        <v>0.105</v>
      </c>
      <c r="AN53" s="76">
        <f t="shared" si="37"/>
        <v>0.105</v>
      </c>
      <c r="AO53" s="76">
        <f t="shared" si="37"/>
        <v>0.105</v>
      </c>
      <c r="AP53" s="76">
        <f t="shared" si="37"/>
        <v>0.105</v>
      </c>
    </row>
    <row r="54" spans="2:42">
      <c r="B54" t="s">
        <v>66</v>
      </c>
      <c r="C54" s="76">
        <f>C18/C8</f>
        <v>0.4846340272066591</v>
      </c>
      <c r="D54" s="76">
        <f t="shared" ref="D54:U54" si="38">D18/D8</f>
        <v>0.4487520557543172</v>
      </c>
      <c r="E54" s="76">
        <f t="shared" si="38"/>
        <v>0.42128139598615744</v>
      </c>
      <c r="F54" s="76">
        <f t="shared" si="38"/>
        <v>0.49904096553060318</v>
      </c>
      <c r="G54" s="76">
        <f t="shared" si="38"/>
        <v>0.39547548736945726</v>
      </c>
      <c r="H54" s="76">
        <f t="shared" si="38"/>
        <v>0.40273432395651521</v>
      </c>
      <c r="I54" s="76">
        <f t="shared" si="38"/>
        <v>0.16810833119259488</v>
      </c>
      <c r="J54" s="76">
        <f t="shared" si="38"/>
        <v>0.33964684613289092</v>
      </c>
      <c r="K54" s="76">
        <f t="shared" si="38"/>
        <v>0.12029381423226217</v>
      </c>
      <c r="L54" s="76">
        <f t="shared" si="38"/>
        <v>0.27611160490263925</v>
      </c>
      <c r="M54" s="76">
        <f t="shared" si="38"/>
        <v>0.32081278266313284</v>
      </c>
      <c r="N54" s="76">
        <f t="shared" si="38"/>
        <v>0.28663120000982911</v>
      </c>
      <c r="O54" s="76">
        <f t="shared" si="38"/>
        <v>0.26441248115067856</v>
      </c>
      <c r="P54" s="76">
        <f t="shared" si="38"/>
        <v>0.78463726091563035</v>
      </c>
      <c r="Q54" s="76">
        <f t="shared" si="38"/>
        <v>0.24886604172966434</v>
      </c>
      <c r="R54" s="76">
        <f t="shared" si="38"/>
        <v>0.33481699377923513</v>
      </c>
      <c r="S54" s="76">
        <f t="shared" si="38"/>
        <v>0.28753277711561381</v>
      </c>
      <c r="T54" s="76">
        <f t="shared" si="38"/>
        <v>0.27324469538293417</v>
      </c>
      <c r="U54" s="76">
        <f t="shared" si="38"/>
        <v>0.27631409844492999</v>
      </c>
      <c r="V54" s="25">
        <v>0.3</v>
      </c>
      <c r="W54" s="25">
        <v>0.3</v>
      </c>
      <c r="X54" s="25">
        <v>0.3</v>
      </c>
      <c r="Y54" s="25">
        <v>0.3</v>
      </c>
      <c r="Z54" s="25">
        <v>0.3</v>
      </c>
      <c r="AA54" s="25">
        <v>0.3</v>
      </c>
      <c r="AB54" s="25">
        <v>0.3</v>
      </c>
      <c r="AC54" s="25">
        <v>0.3</v>
      </c>
      <c r="AD54" s="25">
        <v>0.3</v>
      </c>
      <c r="AE54" s="25">
        <v>0.3</v>
      </c>
      <c r="AF54" s="25">
        <v>0.3</v>
      </c>
      <c r="AG54" s="25">
        <v>0.3</v>
      </c>
      <c r="AH54" s="25">
        <v>0.3</v>
      </c>
      <c r="AI54" s="25">
        <v>0.3</v>
      </c>
      <c r="AJ54" s="25">
        <v>0.3</v>
      </c>
      <c r="AK54" s="25">
        <v>0.3</v>
      </c>
      <c r="AL54" s="25">
        <v>0.3</v>
      </c>
      <c r="AM54" s="25">
        <v>0.3</v>
      </c>
      <c r="AN54" s="25">
        <v>0.3</v>
      </c>
      <c r="AO54" s="25">
        <v>0.3</v>
      </c>
      <c r="AP54" s="25">
        <v>0.3</v>
      </c>
    </row>
    <row r="55" spans="2:42">
      <c r="B55" t="s">
        <v>67</v>
      </c>
      <c r="C55" s="68">
        <f>C25/C8</f>
        <v>-1.7317442755060475E-2</v>
      </c>
      <c r="D55" s="68">
        <f t="shared" ref="D55:U55" si="39">D25/D8</f>
        <v>1.3436024659745239E-2</v>
      </c>
      <c r="E55" s="68">
        <f t="shared" si="39"/>
        <v>1.0379396712702431E-2</v>
      </c>
      <c r="F55" s="68">
        <f t="shared" si="39"/>
        <v>-5.4396571864903202E-3</v>
      </c>
      <c r="G55" s="68">
        <f t="shared" si="39"/>
        <v>1.8190078456726485E-2</v>
      </c>
      <c r="H55" s="68">
        <f t="shared" si="39"/>
        <v>1.9203372382456899E-2</v>
      </c>
      <c r="I55" s="68">
        <f t="shared" si="39"/>
        <v>1.85591496565694E-2</v>
      </c>
      <c r="J55" s="68">
        <f t="shared" si="39"/>
        <v>8.7449982841151502E-3</v>
      </c>
      <c r="K55" s="68">
        <f t="shared" si="39"/>
        <v>8.3004038658655802E-3</v>
      </c>
      <c r="L55" s="68">
        <f t="shared" si="39"/>
        <v>2.7832349941127664E-3</v>
      </c>
      <c r="M55" s="68">
        <f t="shared" si="39"/>
        <v>2.0152495886615559E-3</v>
      </c>
      <c r="N55" s="68">
        <f t="shared" si="39"/>
        <v>-8.5808013170989416E-3</v>
      </c>
      <c r="O55" s="68">
        <f t="shared" si="39"/>
        <v>8.6996868112747944E-4</v>
      </c>
      <c r="P55" s="68">
        <f t="shared" si="39"/>
        <v>6.1339430100931249E-4</v>
      </c>
      <c r="Q55" s="68">
        <f t="shared" si="39"/>
        <v>5.6244330208648325E-4</v>
      </c>
      <c r="R55" s="68">
        <f t="shared" si="39"/>
        <v>5.7096011959299818E-4</v>
      </c>
      <c r="S55" s="68">
        <f t="shared" si="39"/>
        <v>7.628128724672229E-4</v>
      </c>
      <c r="T55" s="68">
        <f t="shared" si="39"/>
        <v>4.9175849194062482E-3</v>
      </c>
      <c r="U55" s="68">
        <f t="shared" si="39"/>
        <v>1.9791800539776382E-2</v>
      </c>
      <c r="V55" s="24">
        <v>8.0000000000000004E-4</v>
      </c>
      <c r="W55" s="24">
        <v>8.0000000000000004E-4</v>
      </c>
      <c r="X55" s="24">
        <v>8.0000000000000004E-4</v>
      </c>
      <c r="Y55" s="24">
        <v>8.0000000000000004E-4</v>
      </c>
      <c r="Z55" s="24">
        <v>8.0000000000000004E-4</v>
      </c>
      <c r="AA55" s="24">
        <v>8.0000000000000004E-4</v>
      </c>
      <c r="AB55" s="24">
        <v>8.0000000000000004E-4</v>
      </c>
      <c r="AC55" s="24">
        <v>8.0000000000000004E-4</v>
      </c>
      <c r="AD55" s="24">
        <v>8.0000000000000004E-4</v>
      </c>
      <c r="AE55" s="24">
        <v>8.0000000000000004E-4</v>
      </c>
      <c r="AF55" s="24">
        <v>8.0000000000000004E-4</v>
      </c>
      <c r="AG55" s="24">
        <v>8.0000000000000004E-4</v>
      </c>
      <c r="AH55" s="24">
        <v>8.0000000000000004E-4</v>
      </c>
      <c r="AI55" s="24">
        <v>8.0000000000000004E-4</v>
      </c>
      <c r="AJ55" s="24">
        <v>8.0000000000000004E-4</v>
      </c>
      <c r="AK55" s="24">
        <v>8.0000000000000004E-4</v>
      </c>
      <c r="AL55" s="24">
        <v>8.0000000000000004E-4</v>
      </c>
      <c r="AM55" s="24">
        <v>8.0000000000000004E-4</v>
      </c>
      <c r="AN55" s="24">
        <v>8.0000000000000004E-4</v>
      </c>
      <c r="AO55" s="24">
        <v>8.0000000000000004E-4</v>
      </c>
      <c r="AP55" s="24">
        <v>8.0000000000000004E-4</v>
      </c>
    </row>
    <row r="58" spans="2:42">
      <c r="B58" t="s">
        <v>68</v>
      </c>
      <c r="C58">
        <f>'Cash Flow Statement'!C29</f>
        <v>-29.279</v>
      </c>
      <c r="D58">
        <f>'Cash Flow Statement'!D29</f>
        <v>-58.890999999999998</v>
      </c>
      <c r="E58">
        <f>'Cash Flow Statement'!E29</f>
        <v>-79.802999999999997</v>
      </c>
      <c r="F58">
        <f>'Cash Flow Statement'!F29</f>
        <v>-95.524000000000001</v>
      </c>
      <c r="G58">
        <f>'Cash Flow Statement'!G29</f>
        <v>-18.041</v>
      </c>
      <c r="H58">
        <f>'Cash Flow Statement'!H29</f>
        <v>-34.399000000000001</v>
      </c>
      <c r="I58">
        <f>'Cash Flow Statement'!I29</f>
        <v>-58.69</v>
      </c>
      <c r="J58">
        <f>'Cash Flow Statement'!J29</f>
        <v>-75.450999999999993</v>
      </c>
      <c r="K58">
        <f>'Cash Flow Statement'!K29</f>
        <v>-19.45</v>
      </c>
      <c r="L58">
        <f>'Cash Flow Statement'!L29</f>
        <v>-37.314</v>
      </c>
      <c r="M58">
        <f>'Cash Flow Statement'!M29</f>
        <v>-212.10900000000001</v>
      </c>
      <c r="N58">
        <f>'Cash Flow Statement'!N29</f>
        <v>-259.798</v>
      </c>
      <c r="O58">
        <f>'Cash Flow Statement'!O29</f>
        <v>-70.926000000000002</v>
      </c>
      <c r="P58">
        <f>'Cash Flow Statement'!P29</f>
        <v>-120.8</v>
      </c>
      <c r="Q58">
        <f>'Cash Flow Statement'!Q29</f>
        <v>-447</v>
      </c>
      <c r="R58">
        <f>'Cash Flow Statement'!R29</f>
        <v>-235</v>
      </c>
      <c r="S58">
        <f>'Cash Flow Statement'!S29</f>
        <v>-63.6</v>
      </c>
      <c r="T58">
        <f>'Cash Flow Statement'!T29</f>
        <v>-116.9</v>
      </c>
      <c r="U58">
        <f>'Cash Flow Statement'!U29</f>
        <v>-171.1</v>
      </c>
      <c r="V58">
        <f>'D&amp;A and Capex'!V8</f>
        <v>-204.62110199999995</v>
      </c>
      <c r="W58">
        <f>'D&amp;A and Capex'!W8</f>
        <v>-213.82458136199998</v>
      </c>
      <c r="X58">
        <f>'D&amp;A and Capex'!X8</f>
        <v>-223.722223483878</v>
      </c>
      <c r="Y58">
        <f>'D&amp;A and Capex'!Y8</f>
        <v>-234.34688715096036</v>
      </c>
      <c r="Z58">
        <f>'D&amp;A and Capex'!Z8</f>
        <v>-245.73381238383726</v>
      </c>
      <c r="AA58">
        <f>'D&amp;A and Capex'!AA8</f>
        <v>-255.89629260199987</v>
      </c>
      <c r="AB58">
        <f>'D&amp;A and Capex'!AB8</f>
        <v>-266.67846493073682</v>
      </c>
      <c r="AC58">
        <f>'D&amp;A and Capex'!AC8</f>
        <v>-278.10536054002017</v>
      </c>
      <c r="AD58">
        <f>'D&amp;A and Capex'!AD8</f>
        <v>-290.20358608223916</v>
      </c>
      <c r="AE58">
        <f>'D&amp;A and Capex'!AE8</f>
        <v>-303.0013844324742</v>
      </c>
      <c r="AF58">
        <f>'D&amp;A and Capex'!AF8</f>
        <v>-316.52869949611426</v>
      </c>
      <c r="AG58">
        <f>'D&amp;A and Capex'!AG8</f>
        <v>-330.81724522666087</v>
      </c>
      <c r="AH58">
        <f>'D&amp;A and Capex'!AH8</f>
        <v>-345.90057900736559</v>
      </c>
      <c r="AI58">
        <f>'D&amp;A and Capex'!AI8</f>
        <v>-361.81417956145538</v>
      </c>
      <c r="AJ58">
        <f>'D&amp;A and Capex'!AJ8</f>
        <v>-378.59552956715976</v>
      </c>
      <c r="AK58">
        <f>'D&amp;A and Capex'!AK8</f>
        <v>-396.28420316557714</v>
      </c>
      <c r="AL58">
        <f>'D&amp;A and Capex'!AL8</f>
        <v>-414.92195856165523</v>
      </c>
      <c r="AM58">
        <f>'D&amp;A and Capex'!AM8</f>
        <v>-434.55283593122812</v>
      </c>
      <c r="AN58">
        <f>'D&amp;A and Capex'!AN8</f>
        <v>-455.22326086019507</v>
      </c>
      <c r="AO58">
        <f>'D&amp;A and Capex'!AO8</f>
        <v>-476.9821535555709</v>
      </c>
      <c r="AP58">
        <f>'D&amp;A and Capex'!AP8</f>
        <v>-499.88104408231749</v>
      </c>
    </row>
    <row r="59" spans="2:42">
      <c r="B59" t="s">
        <v>69</v>
      </c>
      <c r="C59" s="64">
        <f>C58/C8</f>
        <v>-4.5691394649492269E-2</v>
      </c>
      <c r="D59" s="64">
        <f t="shared" ref="D59:AP59" si="40">D58/D8</f>
        <v>-7.8296153595592402E-2</v>
      </c>
      <c r="E59" s="64">
        <f t="shared" si="40"/>
        <v>-0.10172012720911112</v>
      </c>
      <c r="F59" s="64">
        <f t="shared" si="40"/>
        <v>-0.10886608277441889</v>
      </c>
      <c r="G59" s="64">
        <f t="shared" si="40"/>
        <v>-2.1016151484969742E-2</v>
      </c>
      <c r="H59" s="64">
        <f t="shared" si="40"/>
        <v>-3.6544412844884647E-2</v>
      </c>
      <c r="I59" s="64">
        <f t="shared" si="40"/>
        <v>-6.1790134634902322E-2</v>
      </c>
      <c r="J59" s="64">
        <f t="shared" si="40"/>
        <v>-5.3387722755463413E-2</v>
      </c>
      <c r="K59" s="64">
        <f t="shared" si="40"/>
        <v>-1.2837377162141025E-2</v>
      </c>
      <c r="L59" s="64">
        <f t="shared" si="40"/>
        <v>-2.4476462543088322E-2</v>
      </c>
      <c r="M59" s="64">
        <f t="shared" si="40"/>
        <v>-0.13788792741981096</v>
      </c>
      <c r="N59" s="64">
        <f t="shared" si="40"/>
        <v>-0.1595987271319925</v>
      </c>
      <c r="O59" s="64">
        <f t="shared" si="40"/>
        <v>-4.1135599118431738E-2</v>
      </c>
      <c r="P59" s="64">
        <f t="shared" si="40"/>
        <v>-6.7361846874477216E-2</v>
      </c>
      <c r="Q59" s="64">
        <f t="shared" si="40"/>
        <v>-0.22527970970668279</v>
      </c>
      <c r="R59" s="64">
        <f t="shared" si="40"/>
        <v>-0.11332401022327242</v>
      </c>
      <c r="S59" s="64">
        <f t="shared" si="40"/>
        <v>-3.032181168057211E-2</v>
      </c>
      <c r="T59" s="64">
        <f t="shared" si="40"/>
        <v>-5.3228303433202812E-2</v>
      </c>
      <c r="U59" s="64">
        <f t="shared" si="40"/>
        <v>-7.329820502934499E-2</v>
      </c>
      <c r="V59" s="76">
        <f t="shared" si="40"/>
        <v>-8.4000000000000005E-2</v>
      </c>
      <c r="W59" s="76">
        <f t="shared" si="40"/>
        <v>-8.4000000000000005E-2</v>
      </c>
      <c r="X59" s="76">
        <f t="shared" si="40"/>
        <v>-8.4000000000000005E-2</v>
      </c>
      <c r="Y59" s="76">
        <f t="shared" si="40"/>
        <v>-8.4000000000000005E-2</v>
      </c>
      <c r="Z59" s="76">
        <f t="shared" si="40"/>
        <v>-8.4000000000000005E-2</v>
      </c>
      <c r="AA59" s="76">
        <f t="shared" si="40"/>
        <v>-8.4000000000000005E-2</v>
      </c>
      <c r="AB59" s="76">
        <f t="shared" si="40"/>
        <v>-8.4000000000000005E-2</v>
      </c>
      <c r="AC59" s="76">
        <f t="shared" si="40"/>
        <v>-8.3999999999999991E-2</v>
      </c>
      <c r="AD59" s="76">
        <f t="shared" si="40"/>
        <v>-8.4000000000000005E-2</v>
      </c>
      <c r="AE59" s="76">
        <f t="shared" si="40"/>
        <v>-8.4000000000000005E-2</v>
      </c>
      <c r="AF59" s="76">
        <f t="shared" si="40"/>
        <v>-8.4000000000000005E-2</v>
      </c>
      <c r="AG59" s="76">
        <f t="shared" si="40"/>
        <v>-8.3999999999999991E-2</v>
      </c>
      <c r="AH59" s="76">
        <f t="shared" si="40"/>
        <v>-8.4000000000000005E-2</v>
      </c>
      <c r="AI59" s="76">
        <f t="shared" si="40"/>
        <v>-8.4000000000000005E-2</v>
      </c>
      <c r="AJ59" s="76">
        <f t="shared" si="40"/>
        <v>-8.4000000000000005E-2</v>
      </c>
      <c r="AK59" s="76">
        <f t="shared" si="40"/>
        <v>-8.4000000000000005E-2</v>
      </c>
      <c r="AL59" s="76">
        <f t="shared" si="40"/>
        <v>-8.4000000000000005E-2</v>
      </c>
      <c r="AM59" s="76">
        <f t="shared" si="40"/>
        <v>-8.4000000000000005E-2</v>
      </c>
      <c r="AN59" s="76">
        <f t="shared" si="40"/>
        <v>-8.4000000000000005E-2</v>
      </c>
      <c r="AO59" s="76">
        <f t="shared" si="40"/>
        <v>-8.4000000000000005E-2</v>
      </c>
      <c r="AP59" s="76">
        <f t="shared" si="40"/>
        <v>-8.4000000000000005E-2</v>
      </c>
    </row>
    <row r="62" spans="2:42">
      <c r="B62" t="s">
        <v>70</v>
      </c>
      <c r="C62" s="12">
        <f>Days!C29</f>
        <v>554.52599999999995</v>
      </c>
      <c r="D62" s="12">
        <f>Days!D29</f>
        <v>631.15800000000002</v>
      </c>
      <c r="E62" s="12">
        <f>Days!E29</f>
        <v>622.58299999999997</v>
      </c>
      <c r="F62" s="12">
        <f>Days!F29</f>
        <v>674.86699999999996</v>
      </c>
      <c r="G62" s="12">
        <f>Days!G29</f>
        <v>705.00400000000002</v>
      </c>
      <c r="H62" s="12">
        <f>Days!H29</f>
        <v>759.74599999999987</v>
      </c>
      <c r="I62" s="12">
        <f>Days!I29</f>
        <v>780.76299999999992</v>
      </c>
      <c r="J62" s="12">
        <f>Days!J29</f>
        <v>1014.535</v>
      </c>
      <c r="K62" s="12">
        <f>Days!K29</f>
        <v>1256.0039999999999</v>
      </c>
      <c r="L62" s="12">
        <f>Days!L29</f>
        <v>1243.5509999999999</v>
      </c>
      <c r="M62" s="12">
        <f>Days!M29</f>
        <v>1307.3979999999999</v>
      </c>
      <c r="N62" s="12">
        <f>Days!N29</f>
        <v>1474.482</v>
      </c>
      <c r="O62" s="12">
        <f>Days!O29</f>
        <v>1615.4</v>
      </c>
      <c r="P62" s="12">
        <f>Days!P29</f>
        <v>1749.5</v>
      </c>
      <c r="Q62" s="12">
        <f>Days!Q29</f>
        <v>1891.4999999999998</v>
      </c>
      <c r="R62" s="12">
        <f>Days!R29</f>
        <v>2035.7</v>
      </c>
      <c r="S62" s="12">
        <f>Days!S29</f>
        <v>2123.1999999999998</v>
      </c>
      <c r="T62" s="12">
        <f>Days!T29</f>
        <v>2250.1000000000004</v>
      </c>
      <c r="U62" s="12">
        <f>Days!U29</f>
        <v>1773.4</v>
      </c>
      <c r="V62" s="12">
        <f>Days!V29</f>
        <v>7778.7591517312294</v>
      </c>
      <c r="W62" s="12">
        <f>Days!W29</f>
        <v>8033.82436626445</v>
      </c>
      <c r="X62" s="12">
        <f>Days!X29</f>
        <v>8342.1165173429454</v>
      </c>
      <c r="Y62" s="12">
        <f>Days!Y29</f>
        <v>8515.6029828668616</v>
      </c>
      <c r="Z62" s="12">
        <f>Days!Z29</f>
        <v>8838.4342204870827</v>
      </c>
      <c r="AA62" s="12">
        <f>Days!AA29</f>
        <v>9100.4358180125964</v>
      </c>
      <c r="AB62" s="12">
        <f>Days!AB29</f>
        <v>9500.1920622357666</v>
      </c>
      <c r="AC62" s="12">
        <f>Days!AC29</f>
        <v>9803.8269599845116</v>
      </c>
      <c r="AD62" s="12">
        <f>Days!AD29</f>
        <v>10123.068241273704</v>
      </c>
      <c r="AE62" s="12">
        <f>Days!AE29</f>
        <v>10407.704612470387</v>
      </c>
      <c r="AF62" s="12">
        <f>Days!AF29</f>
        <v>10673.904528860539</v>
      </c>
      <c r="AG62" s="12">
        <f>Days!AG29</f>
        <v>10874.236935769793</v>
      </c>
      <c r="AH62" s="12">
        <f>Days!AH29</f>
        <v>8917.8267553009809</v>
      </c>
      <c r="AI62" s="12">
        <f>Days!AI29</f>
        <v>9146.8361995264859</v>
      </c>
      <c r="AJ62" s="12">
        <f>Days!AJ29</f>
        <v>9379.0588852307301</v>
      </c>
      <c r="AK62" s="12">
        <f>Days!AK29</f>
        <v>9613.726777636206</v>
      </c>
      <c r="AL62" s="12">
        <f>Days!AL29</f>
        <v>9895.1347075019221</v>
      </c>
      <c r="AM62" s="12">
        <f>Days!AM29</f>
        <v>10138.125911072952</v>
      </c>
      <c r="AN62" s="12">
        <f>Days!AN29</f>
        <v>10466.093494611863</v>
      </c>
      <c r="AO62" s="12">
        <f>Days!AO29</f>
        <v>10795.349152393668</v>
      </c>
      <c r="AP62" s="12">
        <f>Days!AP29</f>
        <v>11134.882698626421</v>
      </c>
    </row>
    <row r="63" spans="2:42" ht="17" thickBot="1">
      <c r="B63" s="9" t="s">
        <v>71</v>
      </c>
      <c r="C63" s="12">
        <f>Days!C30</f>
        <v>827.31200000000001</v>
      </c>
      <c r="D63" s="12">
        <f>Days!D30</f>
        <v>927.3</v>
      </c>
      <c r="E63" s="12">
        <f>Days!E30</f>
        <v>992.50800000000004</v>
      </c>
      <c r="F63" s="12">
        <f>Days!F30</f>
        <v>1120.2919999999999</v>
      </c>
      <c r="G63" s="12">
        <f>Days!G30</f>
        <v>1106.4680000000001</v>
      </c>
      <c r="H63" s="12">
        <f>Days!H30</f>
        <v>1259.22</v>
      </c>
      <c r="I63" s="12">
        <f>Days!I30</f>
        <v>1388.894</v>
      </c>
      <c r="J63" s="12">
        <f>Days!J30</f>
        <v>1334.827</v>
      </c>
      <c r="K63" s="12">
        <f>Days!K30</f>
        <v>1538.75</v>
      </c>
      <c r="L63" s="12">
        <f>Days!L30</f>
        <v>1798.6399999999999</v>
      </c>
      <c r="M63" s="12">
        <f>Days!M30</f>
        <v>2004.0260000000001</v>
      </c>
      <c r="N63" s="12">
        <f>Days!N30</f>
        <v>1877.5330000000001</v>
      </c>
      <c r="O63" s="12">
        <f>Days!O30</f>
        <v>1944.05</v>
      </c>
      <c r="P63" s="12">
        <f>Days!P30</f>
        <v>1836.5</v>
      </c>
      <c r="Q63" s="12">
        <f>Days!Q30</f>
        <v>1914.2</v>
      </c>
      <c r="R63" s="12">
        <f>Days!R30</f>
        <v>2142</v>
      </c>
      <c r="S63" s="12">
        <f>Days!S30</f>
        <v>2180.1999999999998</v>
      </c>
      <c r="T63" s="12">
        <f>Days!T30</f>
        <v>2556.1999999999998</v>
      </c>
      <c r="U63" s="12">
        <f>Days!U30</f>
        <v>2609.3000000000002</v>
      </c>
      <c r="V63" s="12">
        <f>Days!V30</f>
        <v>7962.1953541950998</v>
      </c>
      <c r="W63" s="12">
        <f>Days!W30</f>
        <v>8283.7285984823211</v>
      </c>
      <c r="X63" s="12">
        <f>Days!X30</f>
        <v>8606.673785556879</v>
      </c>
      <c r="Y63" s="12">
        <f>Days!Y30</f>
        <v>8875.7789291824083</v>
      </c>
      <c r="Z63" s="12">
        <f>Days!Z30</f>
        <v>9248.1927512464499</v>
      </c>
      <c r="AA63" s="12">
        <f>Days!AA30</f>
        <v>9563.2893435992737</v>
      </c>
      <c r="AB63" s="12">
        <f>Days!AB30</f>
        <v>9962.4159778975263</v>
      </c>
      <c r="AC63" s="12">
        <f>Days!AC30</f>
        <v>10298.875324976554</v>
      </c>
      <c r="AD63" s="12">
        <f>Days!AD30</f>
        <v>10701.605572737459</v>
      </c>
      <c r="AE63" s="12">
        <f>Days!AE30</f>
        <v>11050.627003327147</v>
      </c>
      <c r="AF63" s="12">
        <f>Days!AF30</f>
        <v>11394.069145577234</v>
      </c>
      <c r="AG63" s="12">
        <f>Days!AG30</f>
        <v>11655.05830058466</v>
      </c>
      <c r="AH63" s="12">
        <f>Days!AH30</f>
        <v>8799.6994838495957</v>
      </c>
      <c r="AI63" s="12">
        <f>Days!AI30</f>
        <v>8951.0198293735284</v>
      </c>
      <c r="AJ63" s="12">
        <f>Days!AJ30</f>
        <v>9008.4356732103115</v>
      </c>
      <c r="AK63" s="12">
        <f>Days!AK30</f>
        <v>9129.6842683398645</v>
      </c>
      <c r="AL63" s="12">
        <f>Days!AL30</f>
        <v>9340.0006134767355</v>
      </c>
      <c r="AM63" s="12">
        <f>Days!AM30</f>
        <v>9423.3757546344586</v>
      </c>
      <c r="AN63" s="12">
        <f>Days!AN30</f>
        <v>9705.6741227024577</v>
      </c>
      <c r="AO63" s="12">
        <f>Days!AO30</f>
        <v>9968.3210308225171</v>
      </c>
      <c r="AP63" s="12">
        <f>Days!AP30</f>
        <v>10232.623340368691</v>
      </c>
    </row>
    <row r="64" spans="2:42" ht="17" thickBot="1">
      <c r="B64" s="9" t="s">
        <v>72</v>
      </c>
      <c r="C64" s="79">
        <f>Days!C31</f>
        <v>-272.78600000000006</v>
      </c>
      <c r="D64" s="79">
        <f>Days!D31</f>
        <v>-296.14199999999994</v>
      </c>
      <c r="E64" s="79">
        <f>Days!E31</f>
        <v>-369.92500000000007</v>
      </c>
      <c r="F64" s="79">
        <f>Days!F31</f>
        <v>-445.42499999999995</v>
      </c>
      <c r="G64" s="79">
        <f>Days!G31</f>
        <v>-401.46400000000006</v>
      </c>
      <c r="H64" s="79">
        <f>Days!H31</f>
        <v>-499.47400000000016</v>
      </c>
      <c r="I64" s="79">
        <f>Days!I31</f>
        <v>-608.13100000000009</v>
      </c>
      <c r="J64" s="79">
        <f>Days!J31</f>
        <v>-320.29200000000003</v>
      </c>
      <c r="K64" s="79">
        <f>Days!K31</f>
        <v>-282.74600000000009</v>
      </c>
      <c r="L64" s="79">
        <f>Days!L31</f>
        <v>-555.08899999999994</v>
      </c>
      <c r="M64" s="79">
        <f>Days!M31</f>
        <v>-696.62800000000016</v>
      </c>
      <c r="N64" s="79">
        <f>Days!N31</f>
        <v>-403.05100000000016</v>
      </c>
      <c r="O64" s="79">
        <f>Days!O31</f>
        <v>-328.64999999999986</v>
      </c>
      <c r="P64" s="79">
        <f>Days!P31</f>
        <v>-87</v>
      </c>
      <c r="Q64" s="79">
        <f>Days!Q31</f>
        <v>-22.700000000000273</v>
      </c>
      <c r="R64" s="79">
        <f>Days!R31</f>
        <v>-106.29999999999995</v>
      </c>
      <c r="S64" s="79">
        <f>Days!S31</f>
        <v>-57</v>
      </c>
      <c r="T64" s="79">
        <f>Days!T31</f>
        <v>-306.09999999999945</v>
      </c>
      <c r="U64" s="79">
        <f>Days!U31</f>
        <v>-835.90000000000009</v>
      </c>
      <c r="V64" s="79">
        <f>Days!V31</f>
        <v>-183.43620246387036</v>
      </c>
      <c r="W64" s="79">
        <f>Days!W31</f>
        <v>-249.90423221787114</v>
      </c>
      <c r="X64" s="79">
        <f>Days!X31</f>
        <v>-264.55726821393364</v>
      </c>
      <c r="Y64" s="79">
        <f>Days!Y31</f>
        <v>-360.17594631554675</v>
      </c>
      <c r="Z64" s="79">
        <f>Days!Z31</f>
        <v>-409.7585307593672</v>
      </c>
      <c r="AA64" s="79">
        <f>Days!AA31</f>
        <v>-462.85352558667728</v>
      </c>
      <c r="AB64" s="79">
        <f>Days!AB31</f>
        <v>-462.22391566175975</v>
      </c>
      <c r="AC64" s="79">
        <f>Days!AC31</f>
        <v>-495.04836499204248</v>
      </c>
      <c r="AD64" s="79">
        <f>Days!AD31</f>
        <v>-578.53733146375453</v>
      </c>
      <c r="AE64" s="79">
        <f>Days!AE31</f>
        <v>-642.9223908567601</v>
      </c>
      <c r="AF64" s="79">
        <f>Days!AF31</f>
        <v>-720.16461671669458</v>
      </c>
      <c r="AG64" s="79">
        <f>Days!AG31</f>
        <v>-780.82136481486668</v>
      </c>
      <c r="AH64" s="79">
        <f>Days!AH31</f>
        <v>118.12727145138524</v>
      </c>
      <c r="AI64" s="79">
        <f>Days!AI31</f>
        <v>195.81637015295746</v>
      </c>
      <c r="AJ64" s="79">
        <f>Days!AJ31</f>
        <v>370.62321202041858</v>
      </c>
      <c r="AK64" s="79">
        <f>Days!AK31</f>
        <v>484.04250929634145</v>
      </c>
      <c r="AL64" s="79">
        <f>Days!AL31</f>
        <v>555.13409402518664</v>
      </c>
      <c r="AM64" s="79">
        <f>Days!AM31</f>
        <v>714.75015643849292</v>
      </c>
      <c r="AN64" s="79">
        <f>Days!AN31</f>
        <v>760.41937190940553</v>
      </c>
      <c r="AO64" s="79">
        <f>Days!AO31</f>
        <v>827.02812157115113</v>
      </c>
      <c r="AP64" s="79">
        <f>Days!AP31</f>
        <v>902.25935825773013</v>
      </c>
    </row>
    <row r="66" spans="2:42">
      <c r="B66" s="32" t="s">
        <v>201</v>
      </c>
      <c r="C66" s="63"/>
      <c r="D66" s="63"/>
      <c r="E66" s="63"/>
      <c r="F66" s="63"/>
      <c r="G66" s="63"/>
      <c r="H66" s="63"/>
      <c r="I66" s="63"/>
      <c r="J66" s="63"/>
      <c r="K66" s="63"/>
      <c r="L66" s="63"/>
      <c r="M66" s="63"/>
      <c r="N66" s="63"/>
      <c r="O66" s="63"/>
      <c r="P66" s="63"/>
      <c r="Q66" s="63"/>
      <c r="R66" s="63"/>
      <c r="S66" s="63"/>
      <c r="T66" s="63"/>
      <c r="U66" s="64">
        <f>CHOOSE($C$5,U78,U90,U102)</f>
        <v>1.04</v>
      </c>
      <c r="V66" s="64">
        <f t="shared" ref="U66:AP75" si="41">CHOOSE($C$5,V78,V90,V102)</f>
        <v>1.04</v>
      </c>
      <c r="W66" s="64">
        <f t="shared" si="41"/>
        <v>1.04</v>
      </c>
      <c r="X66" s="64">
        <f t="shared" si="41"/>
        <v>1.04</v>
      </c>
      <c r="Y66" s="64">
        <f t="shared" si="41"/>
        <v>1.04</v>
      </c>
      <c r="Z66" s="64">
        <f t="shared" si="41"/>
        <v>1.04</v>
      </c>
      <c r="AA66" s="64">
        <f t="shared" si="41"/>
        <v>1.04</v>
      </c>
      <c r="AB66" s="64">
        <f t="shared" si="41"/>
        <v>1.04</v>
      </c>
      <c r="AC66" s="64">
        <f t="shared" si="41"/>
        <v>1.04</v>
      </c>
      <c r="AD66" s="64">
        <f t="shared" si="41"/>
        <v>1.04</v>
      </c>
      <c r="AE66" s="64">
        <f t="shared" si="41"/>
        <v>1.04</v>
      </c>
      <c r="AF66" s="64">
        <f t="shared" si="41"/>
        <v>1.04</v>
      </c>
      <c r="AG66" s="64">
        <f t="shared" si="41"/>
        <v>1.04</v>
      </c>
      <c r="AH66" s="64">
        <f t="shared" si="41"/>
        <v>1.04</v>
      </c>
      <c r="AI66" s="64">
        <f t="shared" si="41"/>
        <v>1.04</v>
      </c>
      <c r="AJ66" s="64">
        <f t="shared" si="41"/>
        <v>1.04</v>
      </c>
      <c r="AK66" s="64">
        <f t="shared" si="41"/>
        <v>1.04</v>
      </c>
      <c r="AL66" s="64">
        <f t="shared" si="41"/>
        <v>1.04</v>
      </c>
      <c r="AM66" s="64">
        <f t="shared" si="41"/>
        <v>1.04</v>
      </c>
      <c r="AN66" s="64">
        <f t="shared" si="41"/>
        <v>1.04</v>
      </c>
      <c r="AO66" s="64">
        <f t="shared" si="41"/>
        <v>1.04</v>
      </c>
      <c r="AP66" s="64">
        <f t="shared" si="41"/>
        <v>1.04</v>
      </c>
    </row>
    <row r="67" spans="2:42">
      <c r="B67" s="32" t="s">
        <v>202</v>
      </c>
      <c r="C67" s="63"/>
      <c r="D67" s="63"/>
      <c r="E67" s="63"/>
      <c r="F67" s="63"/>
      <c r="G67" s="63"/>
      <c r="H67" s="63"/>
      <c r="I67" s="63"/>
      <c r="J67" s="63"/>
      <c r="K67" s="63"/>
      <c r="L67" s="63"/>
      <c r="M67" s="63"/>
      <c r="N67" s="63"/>
      <c r="O67" s="63"/>
      <c r="P67" s="63"/>
      <c r="Q67" s="63"/>
      <c r="R67" s="63"/>
      <c r="S67" s="63"/>
      <c r="T67" s="63"/>
      <c r="U67" s="64">
        <f>CHOOSE($C$5,U79,U91,U103)</f>
        <v>0.94</v>
      </c>
      <c r="V67" s="64">
        <f t="shared" si="41"/>
        <v>0.94</v>
      </c>
      <c r="W67" s="64">
        <f t="shared" si="41"/>
        <v>0.94</v>
      </c>
      <c r="X67" s="64">
        <f t="shared" si="41"/>
        <v>0.94</v>
      </c>
      <c r="Y67" s="64">
        <f t="shared" si="41"/>
        <v>0.94</v>
      </c>
      <c r="Z67" s="64">
        <f t="shared" si="41"/>
        <v>0.94</v>
      </c>
      <c r="AA67" s="64">
        <f t="shared" si="41"/>
        <v>0.94</v>
      </c>
      <c r="AB67" s="64">
        <f t="shared" si="41"/>
        <v>0.94</v>
      </c>
      <c r="AC67" s="64">
        <f t="shared" si="41"/>
        <v>0.94</v>
      </c>
      <c r="AD67" s="64">
        <f t="shared" si="41"/>
        <v>0.94</v>
      </c>
      <c r="AE67" s="64">
        <f t="shared" si="41"/>
        <v>0.94</v>
      </c>
      <c r="AF67" s="64">
        <f t="shared" si="41"/>
        <v>0.94</v>
      </c>
      <c r="AG67" s="64">
        <f t="shared" si="41"/>
        <v>0.94</v>
      </c>
      <c r="AH67" s="64">
        <f t="shared" si="41"/>
        <v>0.94</v>
      </c>
      <c r="AI67" s="64">
        <f t="shared" si="41"/>
        <v>0.94</v>
      </c>
      <c r="AJ67" s="64">
        <f t="shared" si="41"/>
        <v>0.94</v>
      </c>
      <c r="AK67" s="64">
        <f t="shared" si="41"/>
        <v>0.94</v>
      </c>
      <c r="AL67" s="64">
        <f t="shared" si="41"/>
        <v>0.94</v>
      </c>
      <c r="AM67" s="64">
        <f t="shared" si="41"/>
        <v>0.94</v>
      </c>
      <c r="AN67" s="64">
        <f t="shared" si="41"/>
        <v>0.94</v>
      </c>
      <c r="AO67" s="64">
        <f t="shared" si="41"/>
        <v>0.94</v>
      </c>
      <c r="AP67" s="64">
        <f t="shared" si="41"/>
        <v>0.94</v>
      </c>
    </row>
    <row r="68" spans="2:42">
      <c r="B68" s="32" t="s">
        <v>42</v>
      </c>
      <c r="C68" s="63"/>
      <c r="D68" s="63"/>
      <c r="E68" s="63"/>
      <c r="F68" s="63"/>
      <c r="G68" s="63"/>
      <c r="H68" s="63"/>
      <c r="I68" s="63"/>
      <c r="J68" s="63"/>
      <c r="K68" s="63"/>
      <c r="L68" s="63"/>
      <c r="M68" s="63"/>
      <c r="N68" s="63"/>
      <c r="O68" s="63"/>
      <c r="P68" s="63"/>
      <c r="Q68" s="63"/>
      <c r="R68" s="63"/>
      <c r="S68" s="63"/>
      <c r="T68" s="63"/>
      <c r="U68" s="64">
        <f t="shared" si="41"/>
        <v>0.10000000000000009</v>
      </c>
      <c r="V68" s="64">
        <f t="shared" si="41"/>
        <v>0.10000000000000009</v>
      </c>
      <c r="W68" s="64">
        <f t="shared" si="41"/>
        <v>0.10000000000000009</v>
      </c>
      <c r="X68" s="64">
        <f t="shared" si="41"/>
        <v>0.10000000000000009</v>
      </c>
      <c r="Y68" s="64">
        <f t="shared" si="41"/>
        <v>0.10000000000000009</v>
      </c>
      <c r="Z68" s="64">
        <f t="shared" si="41"/>
        <v>0.10000000000000009</v>
      </c>
      <c r="AA68" s="64">
        <f t="shared" si="41"/>
        <v>0.10000000000000009</v>
      </c>
      <c r="AB68" s="64">
        <f t="shared" si="41"/>
        <v>0.10000000000000009</v>
      </c>
      <c r="AC68" s="64">
        <f t="shared" si="41"/>
        <v>0.10000000000000009</v>
      </c>
      <c r="AD68" s="64">
        <f t="shared" si="41"/>
        <v>0.10000000000000009</v>
      </c>
      <c r="AE68" s="64">
        <f t="shared" si="41"/>
        <v>0.10000000000000009</v>
      </c>
      <c r="AF68" s="64">
        <f t="shared" si="41"/>
        <v>0.10000000000000009</v>
      </c>
      <c r="AG68" s="64">
        <f t="shared" si="41"/>
        <v>0.10000000000000009</v>
      </c>
      <c r="AH68" s="64">
        <f t="shared" si="41"/>
        <v>0.10000000000000009</v>
      </c>
      <c r="AI68" s="64">
        <f t="shared" si="41"/>
        <v>0.10000000000000009</v>
      </c>
      <c r="AJ68" s="64">
        <f t="shared" si="41"/>
        <v>0.10000000000000009</v>
      </c>
      <c r="AK68" s="64">
        <f t="shared" si="41"/>
        <v>0.10000000000000009</v>
      </c>
      <c r="AL68" s="64">
        <f t="shared" si="41"/>
        <v>0.10000000000000009</v>
      </c>
      <c r="AM68" s="64">
        <f t="shared" si="41"/>
        <v>0.10000000000000009</v>
      </c>
      <c r="AN68" s="64">
        <f t="shared" si="41"/>
        <v>0.10000000000000009</v>
      </c>
      <c r="AO68" s="64">
        <f t="shared" si="41"/>
        <v>0.10000000000000009</v>
      </c>
      <c r="AP68" s="64">
        <f t="shared" si="41"/>
        <v>0.10000000000000009</v>
      </c>
    </row>
    <row r="69" spans="2:42">
      <c r="B69" s="32" t="s">
        <v>43</v>
      </c>
      <c r="C69" s="63"/>
      <c r="D69" s="63"/>
      <c r="E69" s="63"/>
      <c r="F69" s="63"/>
      <c r="G69" s="63"/>
      <c r="H69" s="63"/>
      <c r="I69" s="63"/>
      <c r="J69" s="63"/>
      <c r="K69" s="63"/>
      <c r="L69" s="63"/>
      <c r="M69" s="63"/>
      <c r="N69" s="63"/>
      <c r="O69" s="63"/>
      <c r="P69" s="63"/>
      <c r="Q69" s="63"/>
      <c r="R69" s="63"/>
      <c r="S69" s="63"/>
      <c r="T69" s="63"/>
      <c r="U69" s="64">
        <f t="shared" si="41"/>
        <v>0.03</v>
      </c>
      <c r="V69" s="64">
        <f t="shared" si="41"/>
        <v>0.03</v>
      </c>
      <c r="W69" s="64">
        <f t="shared" si="41"/>
        <v>0.03</v>
      </c>
      <c r="X69" s="64">
        <f t="shared" si="41"/>
        <v>0.03</v>
      </c>
      <c r="Y69" s="64">
        <f t="shared" si="41"/>
        <v>0.03</v>
      </c>
      <c r="Z69" s="64">
        <f t="shared" si="41"/>
        <v>0.03</v>
      </c>
      <c r="AA69" s="64">
        <f t="shared" si="41"/>
        <v>0.03</v>
      </c>
      <c r="AB69" s="64">
        <f t="shared" si="41"/>
        <v>0.03</v>
      </c>
      <c r="AC69" s="64">
        <f t="shared" si="41"/>
        <v>0.03</v>
      </c>
      <c r="AD69" s="64">
        <f t="shared" si="41"/>
        <v>0.03</v>
      </c>
      <c r="AE69" s="64">
        <f t="shared" si="41"/>
        <v>0.03</v>
      </c>
      <c r="AF69" s="64">
        <f t="shared" si="41"/>
        <v>0.03</v>
      </c>
      <c r="AG69" s="64">
        <f t="shared" si="41"/>
        <v>0.03</v>
      </c>
      <c r="AH69" s="64">
        <f t="shared" si="41"/>
        <v>0.03</v>
      </c>
      <c r="AI69" s="64">
        <f t="shared" si="41"/>
        <v>0.03</v>
      </c>
      <c r="AJ69" s="64">
        <f t="shared" si="41"/>
        <v>0.03</v>
      </c>
      <c r="AK69" s="64">
        <f t="shared" si="41"/>
        <v>0.03</v>
      </c>
      <c r="AL69" s="64">
        <f t="shared" si="41"/>
        <v>0.03</v>
      </c>
      <c r="AM69" s="64">
        <f t="shared" si="41"/>
        <v>0.03</v>
      </c>
      <c r="AN69" s="64">
        <f t="shared" si="41"/>
        <v>0.03</v>
      </c>
      <c r="AO69" s="64">
        <f t="shared" si="41"/>
        <v>0.03</v>
      </c>
      <c r="AP69" s="64">
        <f t="shared" si="41"/>
        <v>0.03</v>
      </c>
    </row>
    <row r="70" spans="2:42">
      <c r="B70" s="32" t="s">
        <v>203</v>
      </c>
      <c r="C70" s="63"/>
      <c r="D70" s="63"/>
      <c r="E70" s="63"/>
      <c r="F70" s="63"/>
      <c r="G70" s="63"/>
      <c r="H70" s="63"/>
      <c r="I70" s="63"/>
      <c r="J70" s="63"/>
      <c r="K70" s="63"/>
      <c r="L70" s="63"/>
      <c r="M70" s="63"/>
      <c r="N70" s="63"/>
      <c r="O70" s="63"/>
      <c r="P70" s="63"/>
      <c r="Q70" s="63"/>
      <c r="R70" s="63"/>
      <c r="S70" s="63"/>
      <c r="T70" s="63"/>
      <c r="U70" s="64">
        <f t="shared" si="41"/>
        <v>0.03</v>
      </c>
      <c r="V70" s="64">
        <f t="shared" si="41"/>
        <v>0.03</v>
      </c>
      <c r="W70" s="64">
        <f t="shared" si="41"/>
        <v>0.03</v>
      </c>
      <c r="X70" s="64">
        <f t="shared" si="41"/>
        <v>0.03</v>
      </c>
      <c r="Y70" s="64">
        <f t="shared" si="41"/>
        <v>0.03</v>
      </c>
      <c r="Z70" s="64">
        <f t="shared" si="41"/>
        <v>0.03</v>
      </c>
      <c r="AA70" s="64">
        <f t="shared" si="41"/>
        <v>0.03</v>
      </c>
      <c r="AB70" s="64">
        <f t="shared" si="41"/>
        <v>0.03</v>
      </c>
      <c r="AC70" s="64">
        <f t="shared" si="41"/>
        <v>0.03</v>
      </c>
      <c r="AD70" s="64">
        <f t="shared" si="41"/>
        <v>0.03</v>
      </c>
      <c r="AE70" s="64">
        <f t="shared" si="41"/>
        <v>0.03</v>
      </c>
      <c r="AF70" s="64">
        <f t="shared" si="41"/>
        <v>0.03</v>
      </c>
      <c r="AG70" s="64">
        <f t="shared" si="41"/>
        <v>0.03</v>
      </c>
      <c r="AH70" s="64">
        <f t="shared" si="41"/>
        <v>0.03</v>
      </c>
      <c r="AI70" s="64">
        <f t="shared" si="41"/>
        <v>0.03</v>
      </c>
      <c r="AJ70" s="64">
        <f t="shared" si="41"/>
        <v>0.03</v>
      </c>
      <c r="AK70" s="64">
        <f t="shared" si="41"/>
        <v>0.03</v>
      </c>
      <c r="AL70" s="64">
        <f t="shared" si="41"/>
        <v>0.03</v>
      </c>
      <c r="AM70" s="64">
        <f t="shared" si="41"/>
        <v>0.03</v>
      </c>
      <c r="AN70" s="64">
        <f t="shared" si="41"/>
        <v>0.03</v>
      </c>
      <c r="AO70" s="64">
        <f t="shared" si="41"/>
        <v>0.03</v>
      </c>
      <c r="AP70" s="64">
        <f t="shared" si="41"/>
        <v>0.03</v>
      </c>
    </row>
    <row r="71" spans="2:42">
      <c r="B71" s="65" t="s">
        <v>47</v>
      </c>
      <c r="C71" s="66"/>
      <c r="D71" s="66"/>
      <c r="E71" s="66"/>
      <c r="F71" s="66"/>
      <c r="G71" s="66"/>
      <c r="H71" s="66"/>
      <c r="I71" s="66"/>
      <c r="J71" s="66"/>
      <c r="K71" s="66"/>
      <c r="L71" s="66"/>
      <c r="M71" s="66"/>
      <c r="N71" s="66"/>
      <c r="O71" s="66"/>
      <c r="P71" s="66"/>
      <c r="Q71" s="66"/>
      <c r="R71" s="66"/>
      <c r="S71" s="66"/>
      <c r="T71" s="66"/>
      <c r="U71" s="67">
        <f t="shared" si="41"/>
        <v>0</v>
      </c>
      <c r="V71" s="67">
        <f t="shared" si="41"/>
        <v>0</v>
      </c>
      <c r="W71" s="67">
        <f t="shared" si="41"/>
        <v>0</v>
      </c>
      <c r="X71" s="67">
        <f t="shared" si="41"/>
        <v>0</v>
      </c>
      <c r="Y71" s="67">
        <f t="shared" si="41"/>
        <v>0</v>
      </c>
      <c r="Z71" s="67">
        <f t="shared" si="41"/>
        <v>0</v>
      </c>
      <c r="AA71" s="67">
        <f t="shared" si="41"/>
        <v>0</v>
      </c>
      <c r="AB71" s="67">
        <f t="shared" si="41"/>
        <v>0</v>
      </c>
      <c r="AC71" s="67">
        <f t="shared" si="41"/>
        <v>0</v>
      </c>
      <c r="AD71" s="67">
        <f t="shared" si="41"/>
        <v>0</v>
      </c>
      <c r="AE71" s="67">
        <f t="shared" si="41"/>
        <v>0</v>
      </c>
      <c r="AF71" s="67">
        <f t="shared" si="41"/>
        <v>0</v>
      </c>
      <c r="AG71" s="67">
        <f t="shared" si="41"/>
        <v>0</v>
      </c>
      <c r="AH71" s="67">
        <f t="shared" si="41"/>
        <v>0</v>
      </c>
      <c r="AI71" s="67">
        <f t="shared" si="41"/>
        <v>0</v>
      </c>
      <c r="AJ71" s="67">
        <f t="shared" si="41"/>
        <v>0</v>
      </c>
      <c r="AK71" s="67">
        <f t="shared" si="41"/>
        <v>0</v>
      </c>
      <c r="AL71" s="67">
        <f t="shared" si="41"/>
        <v>0</v>
      </c>
      <c r="AM71" s="67">
        <f t="shared" si="41"/>
        <v>0</v>
      </c>
      <c r="AN71" s="67">
        <f t="shared" si="41"/>
        <v>0</v>
      </c>
      <c r="AO71" s="67">
        <f t="shared" si="41"/>
        <v>0</v>
      </c>
      <c r="AP71" s="67">
        <f t="shared" si="41"/>
        <v>0</v>
      </c>
    </row>
    <row r="72" spans="2:42">
      <c r="B72" s="32" t="s">
        <v>204</v>
      </c>
      <c r="C72" s="63"/>
      <c r="D72" s="63"/>
      <c r="E72" s="63"/>
      <c r="F72" s="63"/>
      <c r="G72" s="63"/>
      <c r="H72" s="63"/>
      <c r="I72" s="63"/>
      <c r="J72" s="63"/>
      <c r="K72" s="63"/>
      <c r="L72" s="63"/>
      <c r="M72" s="63"/>
      <c r="N72" s="63"/>
      <c r="O72" s="63"/>
      <c r="P72" s="63"/>
      <c r="Q72" s="63"/>
      <c r="R72" s="63"/>
      <c r="S72" s="63"/>
      <c r="T72" s="63"/>
      <c r="U72" s="68">
        <f t="shared" si="41"/>
        <v>5.0000000000000001E-3</v>
      </c>
      <c r="V72" s="68">
        <f t="shared" si="41"/>
        <v>5.0000000000000001E-3</v>
      </c>
      <c r="W72" s="68">
        <f t="shared" si="41"/>
        <v>5.0000000000000001E-3</v>
      </c>
      <c r="X72" s="68">
        <f t="shared" si="41"/>
        <v>5.0000000000000001E-3</v>
      </c>
      <c r="Y72" s="68">
        <f t="shared" si="41"/>
        <v>5.0000000000000001E-3</v>
      </c>
      <c r="Z72" s="68">
        <f t="shared" si="41"/>
        <v>5.0000000000000001E-3</v>
      </c>
      <c r="AA72" s="68">
        <f t="shared" si="41"/>
        <v>5.0000000000000001E-3</v>
      </c>
      <c r="AB72" s="68">
        <f t="shared" si="41"/>
        <v>5.0000000000000001E-3</v>
      </c>
      <c r="AC72" s="68">
        <f t="shared" si="41"/>
        <v>5.0000000000000001E-3</v>
      </c>
      <c r="AD72" s="68">
        <f t="shared" si="41"/>
        <v>5.0000000000000001E-3</v>
      </c>
      <c r="AE72" s="68">
        <f t="shared" si="41"/>
        <v>5.0000000000000001E-3</v>
      </c>
      <c r="AF72" s="68">
        <f t="shared" si="41"/>
        <v>5.0000000000000001E-3</v>
      </c>
      <c r="AG72" s="68">
        <f t="shared" si="41"/>
        <v>5.0000000000000001E-3</v>
      </c>
      <c r="AH72" s="68">
        <f t="shared" si="41"/>
        <v>5.0000000000000001E-3</v>
      </c>
      <c r="AI72" s="68">
        <f t="shared" si="41"/>
        <v>5.0000000000000001E-3</v>
      </c>
      <c r="AJ72" s="68">
        <f t="shared" si="41"/>
        <v>5.0000000000000001E-3</v>
      </c>
      <c r="AK72" s="68">
        <f t="shared" si="41"/>
        <v>5.0000000000000001E-3</v>
      </c>
      <c r="AL72" s="68">
        <f t="shared" si="41"/>
        <v>5.0000000000000001E-3</v>
      </c>
      <c r="AM72" s="68">
        <f t="shared" si="41"/>
        <v>5.0000000000000001E-3</v>
      </c>
      <c r="AN72" s="68">
        <f t="shared" si="41"/>
        <v>5.0000000000000001E-3</v>
      </c>
      <c r="AO72" s="68">
        <f t="shared" si="41"/>
        <v>5.0000000000000001E-3</v>
      </c>
      <c r="AP72" s="68">
        <f t="shared" si="41"/>
        <v>5.0000000000000001E-3</v>
      </c>
    </row>
    <row r="73" spans="2:42">
      <c r="B73" s="15" t="s">
        <v>205</v>
      </c>
      <c r="C73" s="63"/>
      <c r="D73" s="63"/>
      <c r="E73" s="63"/>
      <c r="F73" s="63"/>
      <c r="G73" s="63"/>
      <c r="H73" s="63"/>
      <c r="I73" s="63"/>
      <c r="J73" s="63"/>
      <c r="K73" s="63"/>
      <c r="L73" s="63"/>
      <c r="M73" s="63"/>
      <c r="N73" s="63"/>
      <c r="O73" s="63"/>
      <c r="P73" s="63"/>
      <c r="Q73" s="63"/>
      <c r="R73" s="63"/>
      <c r="S73" s="63"/>
      <c r="T73" s="63"/>
      <c r="U73" s="68">
        <f t="shared" si="41"/>
        <v>5.0000000000000001E-3</v>
      </c>
      <c r="V73" s="68">
        <f t="shared" si="41"/>
        <v>5.0000000000000001E-3</v>
      </c>
      <c r="W73" s="68">
        <f t="shared" si="41"/>
        <v>5.0000000000000001E-3</v>
      </c>
      <c r="X73" s="68">
        <f t="shared" si="41"/>
        <v>5.0000000000000001E-3</v>
      </c>
      <c r="Y73" s="68">
        <f t="shared" si="41"/>
        <v>5.0000000000000001E-3</v>
      </c>
      <c r="Z73" s="68">
        <f t="shared" si="41"/>
        <v>5.0000000000000001E-3</v>
      </c>
      <c r="AA73" s="68">
        <f t="shared" si="41"/>
        <v>5.0000000000000001E-3</v>
      </c>
      <c r="AB73" s="68">
        <f t="shared" si="41"/>
        <v>5.0000000000000001E-3</v>
      </c>
      <c r="AC73" s="68">
        <f t="shared" si="41"/>
        <v>5.0000000000000001E-3</v>
      </c>
      <c r="AD73" s="68">
        <f t="shared" si="41"/>
        <v>5.0000000000000001E-3</v>
      </c>
      <c r="AE73" s="68">
        <f t="shared" si="41"/>
        <v>5.0000000000000001E-3</v>
      </c>
      <c r="AF73" s="68">
        <f t="shared" si="41"/>
        <v>5.0000000000000001E-3</v>
      </c>
      <c r="AG73" s="68">
        <f t="shared" si="41"/>
        <v>5.0000000000000001E-3</v>
      </c>
      <c r="AH73" s="68">
        <f t="shared" si="41"/>
        <v>5.0000000000000001E-3</v>
      </c>
      <c r="AI73" s="68">
        <f t="shared" si="41"/>
        <v>5.0000000000000001E-3</v>
      </c>
      <c r="AJ73" s="68">
        <f t="shared" si="41"/>
        <v>5.0000000000000001E-3</v>
      </c>
      <c r="AK73" s="68">
        <f t="shared" si="41"/>
        <v>5.0000000000000001E-3</v>
      </c>
      <c r="AL73" s="68">
        <f t="shared" si="41"/>
        <v>5.0000000000000001E-3</v>
      </c>
      <c r="AM73" s="68">
        <f t="shared" si="41"/>
        <v>5.0000000000000001E-3</v>
      </c>
      <c r="AN73" s="68">
        <f t="shared" si="41"/>
        <v>5.0000000000000001E-3</v>
      </c>
      <c r="AO73" s="68">
        <f t="shared" si="41"/>
        <v>5.0000000000000001E-3</v>
      </c>
      <c r="AP73" s="68">
        <f t="shared" si="41"/>
        <v>5.0000000000000001E-3</v>
      </c>
    </row>
    <row r="74" spans="2:42">
      <c r="B74" s="15" t="s">
        <v>206</v>
      </c>
      <c r="C74" s="63"/>
      <c r="D74" s="63"/>
      <c r="E74" s="63"/>
      <c r="F74" s="63"/>
      <c r="G74" s="63"/>
      <c r="H74" s="63"/>
      <c r="I74" s="63"/>
      <c r="J74" s="63"/>
      <c r="K74" s="63"/>
      <c r="L74" s="63"/>
      <c r="M74" s="63"/>
      <c r="N74" s="63"/>
      <c r="O74" s="63"/>
      <c r="P74" s="63"/>
      <c r="Q74" s="63"/>
      <c r="R74" s="63"/>
      <c r="S74" s="63"/>
      <c r="T74" s="63"/>
      <c r="U74" s="64">
        <f t="shared" si="41"/>
        <v>0.15</v>
      </c>
      <c r="V74" s="64">
        <f t="shared" si="41"/>
        <v>0.15</v>
      </c>
      <c r="W74" s="64">
        <f t="shared" si="41"/>
        <v>0.15</v>
      </c>
      <c r="X74" s="64">
        <f t="shared" si="41"/>
        <v>0.15</v>
      </c>
      <c r="Y74" s="64">
        <f t="shared" si="41"/>
        <v>0.15</v>
      </c>
      <c r="Z74" s="64">
        <f t="shared" si="41"/>
        <v>0.15</v>
      </c>
      <c r="AA74" s="64">
        <f t="shared" si="41"/>
        <v>0.15</v>
      </c>
      <c r="AB74" s="64">
        <f t="shared" si="41"/>
        <v>0.15</v>
      </c>
      <c r="AC74" s="64">
        <f t="shared" si="41"/>
        <v>0.15</v>
      </c>
      <c r="AD74" s="64">
        <f t="shared" si="41"/>
        <v>0.15</v>
      </c>
      <c r="AE74" s="64">
        <f t="shared" si="41"/>
        <v>0.15</v>
      </c>
      <c r="AF74" s="64">
        <f t="shared" si="41"/>
        <v>0.15</v>
      </c>
      <c r="AG74" s="64">
        <f t="shared" si="41"/>
        <v>0.15</v>
      </c>
      <c r="AH74" s="64">
        <f t="shared" si="41"/>
        <v>0.15</v>
      </c>
      <c r="AI74" s="64">
        <f t="shared" si="41"/>
        <v>0.15</v>
      </c>
      <c r="AJ74" s="64">
        <f t="shared" si="41"/>
        <v>0.15</v>
      </c>
      <c r="AK74" s="64">
        <f t="shared" si="41"/>
        <v>0.15</v>
      </c>
      <c r="AL74" s="64">
        <f t="shared" si="41"/>
        <v>0.15</v>
      </c>
      <c r="AM74" s="64">
        <f t="shared" si="41"/>
        <v>0.15</v>
      </c>
      <c r="AN74" s="64">
        <f t="shared" si="41"/>
        <v>0.15</v>
      </c>
      <c r="AO74" s="64">
        <f t="shared" si="41"/>
        <v>0.15</v>
      </c>
      <c r="AP74" s="64">
        <f t="shared" si="41"/>
        <v>0.15</v>
      </c>
    </row>
    <row r="75" spans="2:42">
      <c r="B75" s="32" t="s">
        <v>207</v>
      </c>
      <c r="C75" s="63"/>
      <c r="D75" s="63"/>
      <c r="E75" s="63"/>
      <c r="F75" s="63"/>
      <c r="G75" s="63"/>
      <c r="H75" s="63"/>
      <c r="I75" s="63"/>
      <c r="J75" s="63"/>
      <c r="K75" s="63"/>
      <c r="L75" s="63"/>
      <c r="M75" s="63"/>
      <c r="N75" s="63"/>
      <c r="O75" s="63"/>
      <c r="P75" s="63"/>
      <c r="Q75" s="63"/>
      <c r="R75" s="63"/>
      <c r="S75" s="63"/>
      <c r="T75" s="63"/>
      <c r="U75" s="69">
        <f t="shared" si="41"/>
        <v>142</v>
      </c>
      <c r="V75" s="69">
        <f t="shared" si="41"/>
        <v>142</v>
      </c>
      <c r="W75" s="69">
        <f t="shared" si="41"/>
        <v>142</v>
      </c>
      <c r="X75" s="69">
        <f t="shared" si="41"/>
        <v>142</v>
      </c>
      <c r="Y75" s="69">
        <f t="shared" si="41"/>
        <v>142</v>
      </c>
      <c r="Z75" s="69">
        <f t="shared" si="41"/>
        <v>142</v>
      </c>
      <c r="AA75" s="69">
        <f t="shared" si="41"/>
        <v>142</v>
      </c>
      <c r="AB75" s="69">
        <f t="shared" si="41"/>
        <v>142</v>
      </c>
      <c r="AC75" s="69">
        <f t="shared" si="41"/>
        <v>142</v>
      </c>
      <c r="AD75" s="69">
        <f t="shared" si="41"/>
        <v>142</v>
      </c>
      <c r="AE75" s="69">
        <f t="shared" si="41"/>
        <v>142</v>
      </c>
      <c r="AF75" s="69">
        <f t="shared" si="41"/>
        <v>142</v>
      </c>
      <c r="AG75" s="69">
        <f t="shared" si="41"/>
        <v>142</v>
      </c>
      <c r="AH75" s="69">
        <f t="shared" si="41"/>
        <v>142</v>
      </c>
      <c r="AI75" s="69">
        <f t="shared" si="41"/>
        <v>142</v>
      </c>
      <c r="AJ75" s="69">
        <f t="shared" si="41"/>
        <v>142</v>
      </c>
      <c r="AK75" s="69">
        <f t="shared" si="41"/>
        <v>142</v>
      </c>
      <c r="AL75" s="69">
        <f t="shared" si="41"/>
        <v>142</v>
      </c>
      <c r="AM75" s="69">
        <f t="shared" si="41"/>
        <v>142</v>
      </c>
      <c r="AN75" s="69">
        <f t="shared" si="41"/>
        <v>142</v>
      </c>
      <c r="AO75" s="69">
        <f t="shared" si="41"/>
        <v>142</v>
      </c>
      <c r="AP75" s="69">
        <f t="shared" si="41"/>
        <v>142</v>
      </c>
    </row>
    <row r="76" spans="2:42">
      <c r="B76" s="32"/>
      <c r="S76"/>
    </row>
    <row r="77" spans="2:42">
      <c r="B77" s="70" t="s">
        <v>208</v>
      </c>
      <c r="S77"/>
    </row>
    <row r="78" spans="2:42">
      <c r="B78" s="32" t="s">
        <v>201</v>
      </c>
      <c r="C78" s="63"/>
      <c r="D78" s="63"/>
      <c r="E78" s="63"/>
      <c r="F78" s="63"/>
      <c r="G78" s="63"/>
      <c r="H78" s="63"/>
      <c r="I78" s="63"/>
      <c r="J78" s="63"/>
      <c r="K78" s="63"/>
      <c r="L78" s="63"/>
      <c r="M78" s="63"/>
      <c r="N78" s="63"/>
      <c r="O78" s="63"/>
      <c r="P78" s="63"/>
      <c r="Q78" s="63"/>
      <c r="R78" s="63"/>
      <c r="S78" s="63"/>
      <c r="T78" s="63"/>
      <c r="U78" s="25">
        <v>1.04</v>
      </c>
      <c r="V78" s="25">
        <v>1.04</v>
      </c>
      <c r="W78" s="25">
        <v>1.04</v>
      </c>
      <c r="X78" s="25">
        <v>1.04</v>
      </c>
      <c r="Y78" s="25">
        <v>1.04</v>
      </c>
      <c r="Z78" s="25">
        <v>1.04</v>
      </c>
      <c r="AA78" s="25">
        <v>1.04</v>
      </c>
      <c r="AB78" s="25">
        <v>1.04</v>
      </c>
      <c r="AC78" s="25">
        <v>1.04</v>
      </c>
      <c r="AD78" s="25">
        <v>1.04</v>
      </c>
      <c r="AE78" s="25">
        <v>1.04</v>
      </c>
      <c r="AF78" s="25">
        <v>1.04</v>
      </c>
      <c r="AG78" s="25">
        <v>1.04</v>
      </c>
      <c r="AH78" s="25">
        <v>1.04</v>
      </c>
      <c r="AI78" s="25">
        <v>1.04</v>
      </c>
      <c r="AJ78" s="25">
        <v>1.04</v>
      </c>
      <c r="AK78" s="25">
        <v>1.04</v>
      </c>
      <c r="AL78" s="25">
        <v>1.04</v>
      </c>
      <c r="AM78" s="25">
        <v>1.04</v>
      </c>
      <c r="AN78" s="25">
        <v>1.04</v>
      </c>
      <c r="AO78" s="25">
        <v>1.04</v>
      </c>
      <c r="AP78" s="25">
        <v>1.04</v>
      </c>
    </row>
    <row r="79" spans="2:42">
      <c r="B79" s="32" t="s">
        <v>202</v>
      </c>
      <c r="C79" s="63"/>
      <c r="D79" s="63"/>
      <c r="E79" s="63"/>
      <c r="F79" s="63"/>
      <c r="G79" s="63"/>
      <c r="H79" s="63"/>
      <c r="I79" s="63"/>
      <c r="J79" s="63"/>
      <c r="K79" s="63"/>
      <c r="L79" s="63"/>
      <c r="M79" s="63"/>
      <c r="N79" s="63"/>
      <c r="O79" s="63"/>
      <c r="P79" s="63"/>
      <c r="Q79" s="63"/>
      <c r="R79" s="63"/>
      <c r="S79" s="63"/>
      <c r="T79" s="63"/>
      <c r="U79" s="25">
        <v>0.94</v>
      </c>
      <c r="V79" s="25">
        <v>0.94</v>
      </c>
      <c r="W79" s="25">
        <v>0.94</v>
      </c>
      <c r="X79" s="25">
        <v>0.94</v>
      </c>
      <c r="Y79" s="25">
        <v>0.94</v>
      </c>
      <c r="Z79" s="25">
        <v>0.94</v>
      </c>
      <c r="AA79" s="25">
        <v>0.94</v>
      </c>
      <c r="AB79" s="25">
        <v>0.94</v>
      </c>
      <c r="AC79" s="25">
        <v>0.94</v>
      </c>
      <c r="AD79" s="25">
        <v>0.94</v>
      </c>
      <c r="AE79" s="25">
        <v>0.94</v>
      </c>
      <c r="AF79" s="25">
        <v>0.94</v>
      </c>
      <c r="AG79" s="25">
        <v>0.94</v>
      </c>
      <c r="AH79" s="25">
        <v>0.94</v>
      </c>
      <c r="AI79" s="25">
        <v>0.94</v>
      </c>
      <c r="AJ79" s="25">
        <v>0.94</v>
      </c>
      <c r="AK79" s="25">
        <v>0.94</v>
      </c>
      <c r="AL79" s="25">
        <v>0.94</v>
      </c>
      <c r="AM79" s="25">
        <v>0.94</v>
      </c>
      <c r="AN79" s="25">
        <v>0.94</v>
      </c>
      <c r="AO79" s="25">
        <v>0.94</v>
      </c>
      <c r="AP79" s="25">
        <v>0.94</v>
      </c>
    </row>
    <row r="80" spans="2:42">
      <c r="B80" s="32" t="s">
        <v>42</v>
      </c>
      <c r="C80" s="63"/>
      <c r="D80" s="63"/>
      <c r="E80" s="63"/>
      <c r="F80" s="63"/>
      <c r="G80" s="63"/>
      <c r="H80" s="63"/>
      <c r="I80" s="63"/>
      <c r="J80" s="63"/>
      <c r="K80" s="63"/>
      <c r="L80" s="63"/>
      <c r="M80" s="63"/>
      <c r="N80" s="63"/>
      <c r="O80" s="63"/>
      <c r="P80" s="63"/>
      <c r="Q80" s="63"/>
      <c r="R80" s="63"/>
      <c r="S80" s="63"/>
      <c r="T80" s="63"/>
      <c r="U80" s="25">
        <f t="shared" ref="U80:AP80" si="42">U78-U79</f>
        <v>0.10000000000000009</v>
      </c>
      <c r="V80" s="25">
        <f t="shared" si="42"/>
        <v>0.10000000000000009</v>
      </c>
      <c r="W80" s="25">
        <f t="shared" si="42"/>
        <v>0.10000000000000009</v>
      </c>
      <c r="X80" s="25">
        <f t="shared" si="42"/>
        <v>0.10000000000000009</v>
      </c>
      <c r="Y80" s="25">
        <f t="shared" si="42"/>
        <v>0.10000000000000009</v>
      </c>
      <c r="Z80" s="25">
        <f t="shared" si="42"/>
        <v>0.10000000000000009</v>
      </c>
      <c r="AA80" s="25">
        <f t="shared" si="42"/>
        <v>0.10000000000000009</v>
      </c>
      <c r="AB80" s="25">
        <f t="shared" si="42"/>
        <v>0.10000000000000009</v>
      </c>
      <c r="AC80" s="25">
        <f t="shared" si="42"/>
        <v>0.10000000000000009</v>
      </c>
      <c r="AD80" s="25">
        <f t="shared" si="42"/>
        <v>0.10000000000000009</v>
      </c>
      <c r="AE80" s="25">
        <f t="shared" si="42"/>
        <v>0.10000000000000009</v>
      </c>
      <c r="AF80" s="25">
        <f t="shared" si="42"/>
        <v>0.10000000000000009</v>
      </c>
      <c r="AG80" s="25">
        <f t="shared" si="42"/>
        <v>0.10000000000000009</v>
      </c>
      <c r="AH80" s="25">
        <f t="shared" si="42"/>
        <v>0.10000000000000009</v>
      </c>
      <c r="AI80" s="25">
        <f t="shared" si="42"/>
        <v>0.10000000000000009</v>
      </c>
      <c r="AJ80" s="25">
        <f t="shared" si="42"/>
        <v>0.10000000000000009</v>
      </c>
      <c r="AK80" s="25">
        <f t="shared" si="42"/>
        <v>0.10000000000000009</v>
      </c>
      <c r="AL80" s="25">
        <f t="shared" si="42"/>
        <v>0.10000000000000009</v>
      </c>
      <c r="AM80" s="25">
        <f t="shared" si="42"/>
        <v>0.10000000000000009</v>
      </c>
      <c r="AN80" s="25">
        <f t="shared" si="42"/>
        <v>0.10000000000000009</v>
      </c>
      <c r="AO80" s="25">
        <f t="shared" si="42"/>
        <v>0.10000000000000009</v>
      </c>
      <c r="AP80" s="25">
        <f t="shared" si="42"/>
        <v>0.10000000000000009</v>
      </c>
    </row>
    <row r="81" spans="2:42">
      <c r="B81" s="32" t="s">
        <v>43</v>
      </c>
      <c r="C81" s="63"/>
      <c r="D81" s="63"/>
      <c r="E81" s="63"/>
      <c r="F81" s="63"/>
      <c r="G81" s="63"/>
      <c r="H81" s="63"/>
      <c r="I81" s="63"/>
      <c r="J81" s="63"/>
      <c r="K81" s="63"/>
      <c r="L81" s="63"/>
      <c r="M81" s="63"/>
      <c r="N81" s="63"/>
      <c r="O81" s="63"/>
      <c r="P81" s="63"/>
      <c r="Q81" s="63"/>
      <c r="R81" s="63"/>
      <c r="S81" s="63"/>
      <c r="T81" s="63"/>
      <c r="U81" s="25">
        <v>0.03</v>
      </c>
      <c r="V81" s="25">
        <v>0.03</v>
      </c>
      <c r="W81" s="25">
        <v>0.03</v>
      </c>
      <c r="X81" s="25">
        <v>0.03</v>
      </c>
      <c r="Y81" s="25">
        <v>0.03</v>
      </c>
      <c r="Z81" s="25">
        <v>0.03</v>
      </c>
      <c r="AA81" s="25">
        <v>0.03</v>
      </c>
      <c r="AB81" s="25">
        <v>0.03</v>
      </c>
      <c r="AC81" s="25">
        <v>0.03</v>
      </c>
      <c r="AD81" s="25">
        <v>0.03</v>
      </c>
      <c r="AE81" s="25">
        <v>0.03</v>
      </c>
      <c r="AF81" s="25">
        <v>0.03</v>
      </c>
      <c r="AG81" s="25">
        <v>0.03</v>
      </c>
      <c r="AH81" s="25">
        <v>0.03</v>
      </c>
      <c r="AI81" s="25">
        <v>0.03</v>
      </c>
      <c r="AJ81" s="25">
        <v>0.03</v>
      </c>
      <c r="AK81" s="25">
        <v>0.03</v>
      </c>
      <c r="AL81" s="25">
        <v>0.03</v>
      </c>
      <c r="AM81" s="25">
        <v>0.03</v>
      </c>
      <c r="AN81" s="25">
        <v>0.03</v>
      </c>
      <c r="AO81" s="25">
        <v>0.03</v>
      </c>
      <c r="AP81" s="25">
        <v>0.03</v>
      </c>
    </row>
    <row r="82" spans="2:42">
      <c r="B82" s="32" t="s">
        <v>203</v>
      </c>
      <c r="C82" s="63"/>
      <c r="D82" s="63"/>
      <c r="E82" s="63"/>
      <c r="F82" s="63"/>
      <c r="G82" s="63"/>
      <c r="H82" s="63"/>
      <c r="I82" s="63"/>
      <c r="J82" s="63"/>
      <c r="K82" s="63"/>
      <c r="L82" s="63"/>
      <c r="M82" s="63"/>
      <c r="N82" s="63"/>
      <c r="O82" s="63"/>
      <c r="P82" s="63"/>
      <c r="Q82" s="63"/>
      <c r="R82" s="63"/>
      <c r="S82" s="63"/>
      <c r="T82" s="63"/>
      <c r="U82" s="25">
        <f>U81</f>
        <v>0.03</v>
      </c>
      <c r="V82" s="25">
        <f t="shared" ref="V82:AP82" si="43">V81</f>
        <v>0.03</v>
      </c>
      <c r="W82" s="25">
        <f t="shared" si="43"/>
        <v>0.03</v>
      </c>
      <c r="X82" s="25">
        <f t="shared" si="43"/>
        <v>0.03</v>
      </c>
      <c r="Y82" s="25">
        <f t="shared" si="43"/>
        <v>0.03</v>
      </c>
      <c r="Z82" s="25">
        <f t="shared" si="43"/>
        <v>0.03</v>
      </c>
      <c r="AA82" s="25">
        <f t="shared" si="43"/>
        <v>0.03</v>
      </c>
      <c r="AB82" s="25">
        <f t="shared" si="43"/>
        <v>0.03</v>
      </c>
      <c r="AC82" s="25">
        <f t="shared" si="43"/>
        <v>0.03</v>
      </c>
      <c r="AD82" s="25">
        <f t="shared" si="43"/>
        <v>0.03</v>
      </c>
      <c r="AE82" s="25">
        <f t="shared" si="43"/>
        <v>0.03</v>
      </c>
      <c r="AF82" s="25">
        <f t="shared" si="43"/>
        <v>0.03</v>
      </c>
      <c r="AG82" s="25">
        <f t="shared" si="43"/>
        <v>0.03</v>
      </c>
      <c r="AH82" s="25">
        <f t="shared" si="43"/>
        <v>0.03</v>
      </c>
      <c r="AI82" s="25">
        <f t="shared" si="43"/>
        <v>0.03</v>
      </c>
      <c r="AJ82" s="25">
        <f t="shared" si="43"/>
        <v>0.03</v>
      </c>
      <c r="AK82" s="25">
        <f t="shared" si="43"/>
        <v>0.03</v>
      </c>
      <c r="AL82" s="25">
        <f t="shared" si="43"/>
        <v>0.03</v>
      </c>
      <c r="AM82" s="25">
        <f t="shared" si="43"/>
        <v>0.03</v>
      </c>
      <c r="AN82" s="25">
        <f t="shared" si="43"/>
        <v>0.03</v>
      </c>
      <c r="AO82" s="25">
        <f t="shared" si="43"/>
        <v>0.03</v>
      </c>
      <c r="AP82" s="25">
        <f t="shared" si="43"/>
        <v>0.03</v>
      </c>
    </row>
    <row r="83" spans="2:42">
      <c r="B83" s="32" t="s">
        <v>47</v>
      </c>
      <c r="C83" s="63"/>
      <c r="D83" s="63"/>
      <c r="E83" s="63"/>
      <c r="F83" s="63"/>
      <c r="G83" s="63"/>
      <c r="H83" s="63"/>
      <c r="I83" s="63"/>
      <c r="J83" s="63"/>
      <c r="K83" s="63"/>
      <c r="L83" s="63"/>
      <c r="M83" s="63"/>
      <c r="N83" s="63"/>
      <c r="O83" s="63"/>
      <c r="P83" s="63"/>
      <c r="Q83" s="63"/>
      <c r="R83" s="63"/>
      <c r="S83" s="63"/>
      <c r="T83" s="63"/>
      <c r="U83" s="4">
        <f>'[1]D&amp;A_CapEx'!U23</f>
        <v>0</v>
      </c>
      <c r="V83" s="4">
        <f>'[1]D&amp;A_CapEx'!V23</f>
        <v>0</v>
      </c>
      <c r="W83" s="4">
        <f>'[1]D&amp;A_CapEx'!W23</f>
        <v>0</v>
      </c>
      <c r="X83" s="4">
        <f>'[1]D&amp;A_CapEx'!X23</f>
        <v>0</v>
      </c>
      <c r="Y83" s="4">
        <f>'[1]D&amp;A_CapEx'!Y23</f>
        <v>0</v>
      </c>
      <c r="Z83" s="4">
        <f>'[1]D&amp;A_CapEx'!Z23</f>
        <v>0</v>
      </c>
      <c r="AA83" s="4">
        <f>'[1]D&amp;A_CapEx'!AA23</f>
        <v>0</v>
      </c>
      <c r="AB83" s="4">
        <f>'[1]D&amp;A_CapEx'!AB23</f>
        <v>0</v>
      </c>
      <c r="AC83" s="4">
        <f>'[1]D&amp;A_CapEx'!AC23</f>
        <v>0</v>
      </c>
      <c r="AD83" s="4">
        <f>'[1]D&amp;A_CapEx'!AD23</f>
        <v>0</v>
      </c>
      <c r="AE83" s="4">
        <f>'[1]D&amp;A_CapEx'!AE23</f>
        <v>0</v>
      </c>
      <c r="AF83" s="4">
        <f>'[1]D&amp;A_CapEx'!AF23</f>
        <v>0</v>
      </c>
      <c r="AG83" s="4">
        <f>'[1]D&amp;A_CapEx'!AG23</f>
        <v>0</v>
      </c>
      <c r="AH83" s="4">
        <f>'[1]D&amp;A_CapEx'!AH23</f>
        <v>0</v>
      </c>
      <c r="AI83" s="4">
        <f>'[1]D&amp;A_CapEx'!AI23</f>
        <v>0</v>
      </c>
      <c r="AJ83" s="4">
        <f>'[1]D&amp;A_CapEx'!AJ23</f>
        <v>0</v>
      </c>
      <c r="AK83" s="4">
        <f>'[1]D&amp;A_CapEx'!AK23</f>
        <v>0</v>
      </c>
      <c r="AL83" s="4">
        <f>'[1]D&amp;A_CapEx'!AL23</f>
        <v>0</v>
      </c>
      <c r="AM83" s="4">
        <f>'[1]D&amp;A_CapEx'!AM23</f>
        <v>0</v>
      </c>
      <c r="AN83" s="4">
        <f>'[1]D&amp;A_CapEx'!AN23</f>
        <v>0</v>
      </c>
      <c r="AO83" s="4">
        <f>'[1]D&amp;A_CapEx'!AO23</f>
        <v>0</v>
      </c>
      <c r="AP83" s="4">
        <f>'[1]D&amp;A_CapEx'!AP23</f>
        <v>0</v>
      </c>
    </row>
    <row r="84" spans="2:42">
      <c r="B84" s="32" t="s">
        <v>204</v>
      </c>
      <c r="C84" s="63"/>
      <c r="D84" s="63"/>
      <c r="E84" s="63"/>
      <c r="F84" s="63"/>
      <c r="G84" s="63"/>
      <c r="H84" s="63"/>
      <c r="I84" s="63"/>
      <c r="J84" s="63"/>
      <c r="K84" s="63"/>
      <c r="L84" s="63"/>
      <c r="M84" s="63"/>
      <c r="N84" s="63"/>
      <c r="O84" s="63"/>
      <c r="P84" s="63"/>
      <c r="Q84" s="63"/>
      <c r="R84" s="63"/>
      <c r="S84" s="63"/>
      <c r="T84" s="63"/>
      <c r="U84" s="24">
        <v>5.0000000000000001E-3</v>
      </c>
      <c r="V84" s="24">
        <v>5.0000000000000001E-3</v>
      </c>
      <c r="W84" s="24">
        <v>5.0000000000000001E-3</v>
      </c>
      <c r="X84" s="24">
        <v>5.0000000000000001E-3</v>
      </c>
      <c r="Y84" s="24">
        <v>5.0000000000000001E-3</v>
      </c>
      <c r="Z84" s="24">
        <v>5.0000000000000001E-3</v>
      </c>
      <c r="AA84" s="24">
        <v>5.0000000000000001E-3</v>
      </c>
      <c r="AB84" s="24">
        <v>5.0000000000000001E-3</v>
      </c>
      <c r="AC84" s="24">
        <v>5.0000000000000001E-3</v>
      </c>
      <c r="AD84" s="24">
        <v>5.0000000000000001E-3</v>
      </c>
      <c r="AE84" s="24">
        <v>5.0000000000000001E-3</v>
      </c>
      <c r="AF84" s="24">
        <v>5.0000000000000001E-3</v>
      </c>
      <c r="AG84" s="24">
        <v>5.0000000000000001E-3</v>
      </c>
      <c r="AH84" s="24">
        <v>5.0000000000000001E-3</v>
      </c>
      <c r="AI84" s="24">
        <v>5.0000000000000001E-3</v>
      </c>
      <c r="AJ84" s="24">
        <v>5.0000000000000001E-3</v>
      </c>
      <c r="AK84" s="24">
        <v>5.0000000000000001E-3</v>
      </c>
      <c r="AL84" s="24">
        <v>5.0000000000000001E-3</v>
      </c>
      <c r="AM84" s="24">
        <v>5.0000000000000001E-3</v>
      </c>
      <c r="AN84" s="24">
        <v>5.0000000000000001E-3</v>
      </c>
      <c r="AO84" s="24">
        <v>5.0000000000000001E-3</v>
      </c>
      <c r="AP84" s="24">
        <v>5.0000000000000001E-3</v>
      </c>
    </row>
    <row r="85" spans="2:42">
      <c r="B85" s="15" t="s">
        <v>128</v>
      </c>
      <c r="C85" s="63"/>
      <c r="D85" s="63"/>
      <c r="E85" s="63"/>
      <c r="F85" s="63"/>
      <c r="G85" s="63"/>
      <c r="H85" s="63"/>
      <c r="I85" s="63"/>
      <c r="J85" s="63"/>
      <c r="K85" s="63"/>
      <c r="L85" s="63"/>
      <c r="M85" s="63"/>
      <c r="N85" s="63"/>
      <c r="O85" s="63"/>
      <c r="P85" s="63"/>
      <c r="Q85" s="63"/>
      <c r="R85" s="63"/>
      <c r="S85" s="63"/>
      <c r="T85" s="63"/>
      <c r="U85" s="24">
        <v>5.0000000000000001E-3</v>
      </c>
      <c r="V85" s="24">
        <v>5.0000000000000001E-3</v>
      </c>
      <c r="W85" s="24">
        <v>5.0000000000000001E-3</v>
      </c>
      <c r="X85" s="24">
        <v>5.0000000000000001E-3</v>
      </c>
      <c r="Y85" s="24">
        <v>5.0000000000000001E-3</v>
      </c>
      <c r="Z85" s="24">
        <v>5.0000000000000001E-3</v>
      </c>
      <c r="AA85" s="24">
        <v>5.0000000000000001E-3</v>
      </c>
      <c r="AB85" s="24">
        <v>5.0000000000000001E-3</v>
      </c>
      <c r="AC85" s="24">
        <v>5.0000000000000001E-3</v>
      </c>
      <c r="AD85" s="24">
        <v>5.0000000000000001E-3</v>
      </c>
      <c r="AE85" s="24">
        <v>5.0000000000000001E-3</v>
      </c>
      <c r="AF85" s="24">
        <v>5.0000000000000001E-3</v>
      </c>
      <c r="AG85" s="24">
        <v>5.0000000000000001E-3</v>
      </c>
      <c r="AH85" s="24">
        <v>5.0000000000000001E-3</v>
      </c>
      <c r="AI85" s="24">
        <v>5.0000000000000001E-3</v>
      </c>
      <c r="AJ85" s="24">
        <v>5.0000000000000001E-3</v>
      </c>
      <c r="AK85" s="24">
        <v>5.0000000000000001E-3</v>
      </c>
      <c r="AL85" s="24">
        <v>5.0000000000000001E-3</v>
      </c>
      <c r="AM85" s="24">
        <v>5.0000000000000001E-3</v>
      </c>
      <c r="AN85" s="24">
        <v>5.0000000000000001E-3</v>
      </c>
      <c r="AO85" s="24">
        <v>5.0000000000000001E-3</v>
      </c>
      <c r="AP85" s="24">
        <v>5.0000000000000001E-3</v>
      </c>
    </row>
    <row r="86" spans="2:42">
      <c r="B86" s="15" t="s">
        <v>206</v>
      </c>
      <c r="C86" s="63"/>
      <c r="D86" s="63"/>
      <c r="E86" s="63"/>
      <c r="F86" s="63"/>
      <c r="G86" s="63"/>
      <c r="H86" s="63"/>
      <c r="I86" s="63"/>
      <c r="J86" s="63"/>
      <c r="K86" s="63"/>
      <c r="L86" s="63"/>
      <c r="M86" s="63"/>
      <c r="N86" s="63"/>
      <c r="O86" s="63"/>
      <c r="P86" s="63"/>
      <c r="Q86" s="63"/>
      <c r="R86" s="63"/>
      <c r="S86" s="63"/>
      <c r="T86" s="63"/>
      <c r="U86" s="25">
        <v>0.15</v>
      </c>
      <c r="V86" s="25">
        <v>0.15</v>
      </c>
      <c r="W86" s="25">
        <v>0.15</v>
      </c>
      <c r="X86" s="25">
        <v>0.15</v>
      </c>
      <c r="Y86" s="25">
        <v>0.15</v>
      </c>
      <c r="Z86" s="25">
        <v>0.15</v>
      </c>
      <c r="AA86" s="25">
        <v>0.15</v>
      </c>
      <c r="AB86" s="25">
        <v>0.15</v>
      </c>
      <c r="AC86" s="25">
        <v>0.15</v>
      </c>
      <c r="AD86" s="25">
        <v>0.15</v>
      </c>
      <c r="AE86" s="25">
        <v>0.15</v>
      </c>
      <c r="AF86" s="25">
        <v>0.15</v>
      </c>
      <c r="AG86" s="25">
        <v>0.15</v>
      </c>
      <c r="AH86" s="25">
        <v>0.15</v>
      </c>
      <c r="AI86" s="25">
        <v>0.15</v>
      </c>
      <c r="AJ86" s="25">
        <v>0.15</v>
      </c>
      <c r="AK86" s="25">
        <v>0.15</v>
      </c>
      <c r="AL86" s="25">
        <v>0.15</v>
      </c>
      <c r="AM86" s="25">
        <v>0.15</v>
      </c>
      <c r="AN86" s="25">
        <v>0.15</v>
      </c>
      <c r="AO86" s="25">
        <v>0.15</v>
      </c>
      <c r="AP86" s="25">
        <v>0.15</v>
      </c>
    </row>
    <row r="87" spans="2:42">
      <c r="B87" s="32" t="s">
        <v>207</v>
      </c>
      <c r="C87" s="63"/>
      <c r="D87" s="63"/>
      <c r="E87" s="63"/>
      <c r="F87" s="63"/>
      <c r="G87" s="63"/>
      <c r="H87" s="63"/>
      <c r="I87" s="63"/>
      <c r="J87" s="63"/>
      <c r="K87" s="63"/>
      <c r="L87" s="63"/>
      <c r="M87" s="63"/>
      <c r="N87" s="63"/>
      <c r="O87" s="63"/>
      <c r="P87" s="63"/>
      <c r="Q87" s="63"/>
      <c r="R87" s="63"/>
      <c r="S87" s="63"/>
      <c r="T87" s="63"/>
      <c r="U87">
        <v>142</v>
      </c>
      <c r="V87">
        <v>142</v>
      </c>
      <c r="W87">
        <v>142</v>
      </c>
      <c r="X87">
        <v>142</v>
      </c>
      <c r="Y87">
        <v>142</v>
      </c>
      <c r="Z87">
        <v>142</v>
      </c>
      <c r="AA87">
        <v>142</v>
      </c>
      <c r="AB87">
        <v>142</v>
      </c>
      <c r="AC87">
        <v>142</v>
      </c>
      <c r="AD87">
        <v>142</v>
      </c>
      <c r="AE87">
        <v>142</v>
      </c>
      <c r="AF87">
        <v>142</v>
      </c>
      <c r="AG87">
        <v>142</v>
      </c>
      <c r="AH87">
        <v>142</v>
      </c>
      <c r="AI87">
        <v>142</v>
      </c>
      <c r="AJ87">
        <v>142</v>
      </c>
      <c r="AK87">
        <v>142</v>
      </c>
      <c r="AL87">
        <v>142</v>
      </c>
      <c r="AM87">
        <v>142</v>
      </c>
      <c r="AN87">
        <v>142</v>
      </c>
      <c r="AO87">
        <v>142</v>
      </c>
      <c r="AP87">
        <v>142</v>
      </c>
    </row>
    <row r="88" spans="2:42">
      <c r="B88" s="32"/>
      <c r="S88"/>
    </row>
    <row r="89" spans="2:42">
      <c r="B89" s="70" t="s">
        <v>209</v>
      </c>
      <c r="S89"/>
    </row>
    <row r="90" spans="2:42">
      <c r="B90" s="32" t="s">
        <v>201</v>
      </c>
      <c r="C90" s="63"/>
      <c r="D90" s="63"/>
      <c r="E90" s="63"/>
      <c r="F90" s="63"/>
      <c r="G90" s="63"/>
      <c r="H90" s="63"/>
      <c r="I90" s="63"/>
      <c r="J90" s="63"/>
      <c r="K90" s="63"/>
      <c r="L90" s="63"/>
      <c r="M90" s="63"/>
      <c r="N90" s="63"/>
      <c r="O90" s="63"/>
      <c r="P90" s="63"/>
      <c r="Q90" s="63"/>
      <c r="R90" s="63"/>
      <c r="S90" s="63"/>
      <c r="T90" s="63"/>
      <c r="U90" s="25">
        <v>1.06</v>
      </c>
      <c r="V90" s="25">
        <v>1.06</v>
      </c>
      <c r="W90" s="25">
        <v>1.06</v>
      </c>
      <c r="X90" s="25">
        <v>1.06</v>
      </c>
      <c r="Y90" s="25">
        <v>1.06</v>
      </c>
      <c r="Z90" s="25">
        <v>1.06</v>
      </c>
      <c r="AA90" s="25">
        <v>1.06</v>
      </c>
      <c r="AB90" s="25">
        <v>1.06</v>
      </c>
      <c r="AC90" s="25">
        <v>1.06</v>
      </c>
      <c r="AD90" s="25">
        <v>1.06</v>
      </c>
      <c r="AE90" s="25">
        <v>1.06</v>
      </c>
      <c r="AF90" s="25">
        <v>1.06</v>
      </c>
      <c r="AG90" s="25">
        <v>1.06</v>
      </c>
      <c r="AH90" s="25">
        <v>1.06</v>
      </c>
      <c r="AI90" s="25">
        <v>1.06</v>
      </c>
      <c r="AJ90" s="25">
        <v>1.06</v>
      </c>
      <c r="AK90" s="25">
        <v>1.06</v>
      </c>
      <c r="AL90" s="25">
        <v>1.06</v>
      </c>
      <c r="AM90" s="25">
        <v>1.06</v>
      </c>
      <c r="AN90" s="25">
        <v>1.06</v>
      </c>
      <c r="AO90" s="25">
        <v>1.06</v>
      </c>
      <c r="AP90" s="25">
        <v>1.06</v>
      </c>
    </row>
    <row r="91" spans="2:42">
      <c r="B91" s="32" t="s">
        <v>202</v>
      </c>
      <c r="C91" s="63"/>
      <c r="D91" s="63"/>
      <c r="E91" s="63"/>
      <c r="F91" s="63"/>
      <c r="G91" s="63"/>
      <c r="H91" s="63"/>
      <c r="I91" s="63"/>
      <c r="J91" s="63"/>
      <c r="K91" s="63"/>
      <c r="L91" s="63"/>
      <c r="M91" s="63"/>
      <c r="N91" s="63"/>
      <c r="O91" s="63"/>
      <c r="P91" s="63"/>
      <c r="Q91" s="63"/>
      <c r="R91" s="63"/>
      <c r="S91" s="63"/>
      <c r="T91" s="63"/>
      <c r="U91" s="25">
        <v>0.92</v>
      </c>
      <c r="V91" s="25">
        <v>0.92</v>
      </c>
      <c r="W91" s="25">
        <v>0.92</v>
      </c>
      <c r="X91" s="25">
        <v>0.92</v>
      </c>
      <c r="Y91" s="25">
        <v>0.92</v>
      </c>
      <c r="Z91" s="25">
        <v>0.92</v>
      </c>
      <c r="AA91" s="25">
        <v>0.92</v>
      </c>
      <c r="AB91" s="25">
        <v>0.92</v>
      </c>
      <c r="AC91" s="25">
        <v>0.92</v>
      </c>
      <c r="AD91" s="25">
        <v>0.92</v>
      </c>
      <c r="AE91" s="25">
        <v>0.92</v>
      </c>
      <c r="AF91" s="25">
        <v>0.92</v>
      </c>
      <c r="AG91" s="25">
        <v>0.92</v>
      </c>
      <c r="AH91" s="25">
        <v>0.92</v>
      </c>
      <c r="AI91" s="25">
        <v>0.92</v>
      </c>
      <c r="AJ91" s="25">
        <v>0.92</v>
      </c>
      <c r="AK91" s="25">
        <v>0.92</v>
      </c>
      <c r="AL91" s="25">
        <v>0.92</v>
      </c>
      <c r="AM91" s="25">
        <v>0.92</v>
      </c>
      <c r="AN91" s="25">
        <v>0.92</v>
      </c>
      <c r="AO91" s="25">
        <v>0.92</v>
      </c>
      <c r="AP91" s="25">
        <v>0.92</v>
      </c>
    </row>
    <row r="92" spans="2:42">
      <c r="B92" s="32" t="s">
        <v>42</v>
      </c>
      <c r="C92" s="63"/>
      <c r="D92" s="63"/>
      <c r="E92" s="63"/>
      <c r="F92" s="63"/>
      <c r="G92" s="63"/>
      <c r="H92" s="63"/>
      <c r="I92" s="63"/>
      <c r="J92" s="63"/>
      <c r="K92" s="63"/>
      <c r="L92" s="63"/>
      <c r="M92" s="63"/>
      <c r="N92" s="63"/>
      <c r="O92" s="63"/>
      <c r="P92" s="63"/>
      <c r="Q92" s="63"/>
      <c r="R92" s="63"/>
      <c r="S92" s="63"/>
      <c r="T92" s="63"/>
      <c r="U92" s="25">
        <f t="shared" ref="U92:AP92" si="44">U90-U91</f>
        <v>0.14000000000000001</v>
      </c>
      <c r="V92" s="25">
        <f t="shared" si="44"/>
        <v>0.14000000000000001</v>
      </c>
      <c r="W92" s="25">
        <f t="shared" si="44"/>
        <v>0.14000000000000001</v>
      </c>
      <c r="X92" s="25">
        <f t="shared" si="44"/>
        <v>0.14000000000000001</v>
      </c>
      <c r="Y92" s="25">
        <f t="shared" si="44"/>
        <v>0.14000000000000001</v>
      </c>
      <c r="Z92" s="25">
        <f t="shared" si="44"/>
        <v>0.14000000000000001</v>
      </c>
      <c r="AA92" s="25">
        <f t="shared" si="44"/>
        <v>0.14000000000000001</v>
      </c>
      <c r="AB92" s="25">
        <f t="shared" si="44"/>
        <v>0.14000000000000001</v>
      </c>
      <c r="AC92" s="25">
        <f t="shared" si="44"/>
        <v>0.14000000000000001</v>
      </c>
      <c r="AD92" s="25">
        <f t="shared" si="44"/>
        <v>0.14000000000000001</v>
      </c>
      <c r="AE92" s="25">
        <f t="shared" si="44"/>
        <v>0.14000000000000001</v>
      </c>
      <c r="AF92" s="25">
        <f t="shared" si="44"/>
        <v>0.14000000000000001</v>
      </c>
      <c r="AG92" s="25">
        <f t="shared" si="44"/>
        <v>0.14000000000000001</v>
      </c>
      <c r="AH92" s="25">
        <f t="shared" si="44"/>
        <v>0.14000000000000001</v>
      </c>
      <c r="AI92" s="25">
        <f t="shared" si="44"/>
        <v>0.14000000000000001</v>
      </c>
      <c r="AJ92" s="25">
        <f t="shared" si="44"/>
        <v>0.14000000000000001</v>
      </c>
      <c r="AK92" s="25">
        <f t="shared" si="44"/>
        <v>0.14000000000000001</v>
      </c>
      <c r="AL92" s="25">
        <f t="shared" si="44"/>
        <v>0.14000000000000001</v>
      </c>
      <c r="AM92" s="25">
        <f t="shared" si="44"/>
        <v>0.14000000000000001</v>
      </c>
      <c r="AN92" s="25">
        <f t="shared" si="44"/>
        <v>0.14000000000000001</v>
      </c>
      <c r="AO92" s="25">
        <f t="shared" si="44"/>
        <v>0.14000000000000001</v>
      </c>
      <c r="AP92" s="25">
        <f t="shared" si="44"/>
        <v>0.14000000000000001</v>
      </c>
    </row>
    <row r="93" spans="2:42">
      <c r="B93" s="32" t="s">
        <v>43</v>
      </c>
      <c r="C93" s="63"/>
      <c r="D93" s="63"/>
      <c r="E93" s="63"/>
      <c r="F93" s="63"/>
      <c r="G93" s="63"/>
      <c r="H93" s="63"/>
      <c r="I93" s="63"/>
      <c r="J93" s="63"/>
      <c r="K93" s="63"/>
      <c r="L93" s="63"/>
      <c r="M93" s="63"/>
      <c r="N93" s="63"/>
      <c r="O93" s="63"/>
      <c r="P93" s="63"/>
      <c r="Q93" s="63"/>
      <c r="R93" s="63"/>
      <c r="S93" s="63"/>
      <c r="T93" s="63"/>
      <c r="U93" s="25">
        <v>0.02</v>
      </c>
      <c r="V93" s="25">
        <v>0.02</v>
      </c>
      <c r="W93" s="25">
        <v>0.02</v>
      </c>
      <c r="X93" s="25">
        <v>0.02</v>
      </c>
      <c r="Y93" s="25">
        <v>0.02</v>
      </c>
      <c r="Z93" s="25">
        <v>0.02</v>
      </c>
      <c r="AA93" s="25">
        <v>0.02</v>
      </c>
      <c r="AB93" s="25">
        <v>0.02</v>
      </c>
      <c r="AC93" s="25">
        <v>0.02</v>
      </c>
      <c r="AD93" s="25">
        <v>0.02</v>
      </c>
      <c r="AE93" s="25">
        <v>0.02</v>
      </c>
      <c r="AF93" s="25">
        <v>0.02</v>
      </c>
      <c r="AG93" s="25">
        <v>0.02</v>
      </c>
      <c r="AH93" s="25">
        <v>0.02</v>
      </c>
      <c r="AI93" s="25">
        <v>0.02</v>
      </c>
      <c r="AJ93" s="25">
        <v>0.02</v>
      </c>
      <c r="AK93" s="25">
        <v>0.02</v>
      </c>
      <c r="AL93" s="25">
        <v>0.02</v>
      </c>
      <c r="AM93" s="25">
        <v>0.02</v>
      </c>
      <c r="AN93" s="25">
        <v>0.02</v>
      </c>
      <c r="AO93" s="25">
        <v>0.02</v>
      </c>
      <c r="AP93" s="25">
        <v>0.02</v>
      </c>
    </row>
    <row r="94" spans="2:42">
      <c r="B94" s="32" t="s">
        <v>203</v>
      </c>
      <c r="C94" s="63"/>
      <c r="D94" s="63"/>
      <c r="E94" s="63"/>
      <c r="F94" s="63"/>
      <c r="G94" s="63"/>
      <c r="H94" s="63"/>
      <c r="I94" s="63"/>
      <c r="J94" s="63"/>
      <c r="K94" s="63"/>
      <c r="L94" s="63"/>
      <c r="M94" s="63"/>
      <c r="N94" s="63"/>
      <c r="O94" s="63"/>
      <c r="P94" s="63"/>
      <c r="Q94" s="63"/>
      <c r="R94" s="63"/>
      <c r="S94" s="63"/>
      <c r="T94" s="63"/>
      <c r="U94" s="25">
        <f>U93</f>
        <v>0.02</v>
      </c>
      <c r="V94" s="25">
        <f t="shared" ref="V94:AP94" si="45">V93</f>
        <v>0.02</v>
      </c>
      <c r="W94" s="25">
        <f t="shared" si="45"/>
        <v>0.02</v>
      </c>
      <c r="X94" s="25">
        <f t="shared" si="45"/>
        <v>0.02</v>
      </c>
      <c r="Y94" s="25">
        <f t="shared" si="45"/>
        <v>0.02</v>
      </c>
      <c r="Z94" s="25">
        <f t="shared" si="45"/>
        <v>0.02</v>
      </c>
      <c r="AA94" s="25">
        <f t="shared" si="45"/>
        <v>0.02</v>
      </c>
      <c r="AB94" s="25">
        <f t="shared" si="45"/>
        <v>0.02</v>
      </c>
      <c r="AC94" s="25">
        <f t="shared" si="45"/>
        <v>0.02</v>
      </c>
      <c r="AD94" s="25">
        <f t="shared" si="45"/>
        <v>0.02</v>
      </c>
      <c r="AE94" s="25">
        <f t="shared" si="45"/>
        <v>0.02</v>
      </c>
      <c r="AF94" s="25">
        <f t="shared" si="45"/>
        <v>0.02</v>
      </c>
      <c r="AG94" s="25">
        <f t="shared" si="45"/>
        <v>0.02</v>
      </c>
      <c r="AH94" s="25">
        <f t="shared" si="45"/>
        <v>0.02</v>
      </c>
      <c r="AI94" s="25">
        <f t="shared" si="45"/>
        <v>0.02</v>
      </c>
      <c r="AJ94" s="25">
        <f t="shared" si="45"/>
        <v>0.02</v>
      </c>
      <c r="AK94" s="25">
        <f t="shared" si="45"/>
        <v>0.02</v>
      </c>
      <c r="AL94" s="25">
        <f t="shared" si="45"/>
        <v>0.02</v>
      </c>
      <c r="AM94" s="25">
        <f t="shared" si="45"/>
        <v>0.02</v>
      </c>
      <c r="AN94" s="25">
        <f t="shared" si="45"/>
        <v>0.02</v>
      </c>
      <c r="AO94" s="25">
        <f t="shared" si="45"/>
        <v>0.02</v>
      </c>
      <c r="AP94" s="25">
        <f t="shared" si="45"/>
        <v>0.02</v>
      </c>
    </row>
    <row r="95" spans="2:42">
      <c r="B95" s="30" t="s">
        <v>47</v>
      </c>
      <c r="C95" s="71"/>
      <c r="D95" s="71"/>
      <c r="E95" s="71"/>
      <c r="F95" s="71"/>
      <c r="G95" s="71"/>
      <c r="H95" s="71"/>
      <c r="I95" s="71"/>
      <c r="J95" s="71"/>
      <c r="K95" s="71"/>
      <c r="L95" s="71"/>
      <c r="M95" s="71"/>
      <c r="N95" s="71"/>
      <c r="O95" s="71"/>
      <c r="P95" s="71"/>
      <c r="Q95" s="71"/>
      <c r="R95" s="71"/>
      <c r="S95" s="71"/>
      <c r="T95" s="71"/>
      <c r="U95" s="4">
        <f>'[1]D&amp;A_CapEx'!U23</f>
        <v>0</v>
      </c>
      <c r="V95" s="4">
        <f>'[1]D&amp;A_CapEx'!V23</f>
        <v>0</v>
      </c>
      <c r="W95" s="4">
        <f>'[1]D&amp;A_CapEx'!W23</f>
        <v>0</v>
      </c>
      <c r="X95" s="4">
        <f>'[1]D&amp;A_CapEx'!X23</f>
        <v>0</v>
      </c>
      <c r="Y95" s="4">
        <f>'[1]D&amp;A_CapEx'!Y23</f>
        <v>0</v>
      </c>
      <c r="Z95" s="4">
        <f>'[1]D&amp;A_CapEx'!Z23</f>
        <v>0</v>
      </c>
      <c r="AA95" s="4">
        <f>'[1]D&amp;A_CapEx'!AA23</f>
        <v>0</v>
      </c>
      <c r="AB95" s="4">
        <f>'[1]D&amp;A_CapEx'!AB23</f>
        <v>0</v>
      </c>
      <c r="AC95" s="4">
        <f>'[1]D&amp;A_CapEx'!AC23</f>
        <v>0</v>
      </c>
      <c r="AD95" s="4">
        <f>'[1]D&amp;A_CapEx'!AD23</f>
        <v>0</v>
      </c>
      <c r="AE95" s="4">
        <f>'[1]D&amp;A_CapEx'!AE23</f>
        <v>0</v>
      </c>
      <c r="AF95" s="4">
        <f>'[1]D&amp;A_CapEx'!AF23</f>
        <v>0</v>
      </c>
      <c r="AG95" s="4">
        <f>'[1]D&amp;A_CapEx'!AG23</f>
        <v>0</v>
      </c>
      <c r="AH95" s="4">
        <f>'[1]D&amp;A_CapEx'!AH23</f>
        <v>0</v>
      </c>
      <c r="AI95" s="4">
        <f>'[1]D&amp;A_CapEx'!AI23</f>
        <v>0</v>
      </c>
      <c r="AJ95" s="4">
        <f>'[1]D&amp;A_CapEx'!AJ23</f>
        <v>0</v>
      </c>
      <c r="AK95" s="4">
        <f>'[1]D&amp;A_CapEx'!AK23</f>
        <v>0</v>
      </c>
      <c r="AL95" s="4">
        <f>'[1]D&amp;A_CapEx'!AL23</f>
        <v>0</v>
      </c>
      <c r="AM95" s="4">
        <f>'[1]D&amp;A_CapEx'!AM23</f>
        <v>0</v>
      </c>
      <c r="AN95" s="4">
        <f>'[1]D&amp;A_CapEx'!AN23</f>
        <v>0</v>
      </c>
      <c r="AO95" s="4">
        <f>'[1]D&amp;A_CapEx'!AO23</f>
        <v>0</v>
      </c>
      <c r="AP95" s="4">
        <f>'[1]D&amp;A_CapEx'!AP23</f>
        <v>0</v>
      </c>
    </row>
    <row r="96" spans="2:42">
      <c r="B96" s="32" t="s">
        <v>204</v>
      </c>
      <c r="C96" s="63"/>
      <c r="D96" s="63"/>
      <c r="E96" s="63"/>
      <c r="F96" s="63"/>
      <c r="G96" s="63"/>
      <c r="H96" s="63"/>
      <c r="I96" s="63"/>
      <c r="J96" s="63"/>
      <c r="K96" s="63"/>
      <c r="L96" s="63"/>
      <c r="M96" s="63"/>
      <c r="N96" s="63"/>
      <c r="O96" s="63"/>
      <c r="P96" s="63"/>
      <c r="Q96" s="63"/>
      <c r="R96" s="63"/>
      <c r="S96" s="63"/>
      <c r="T96" s="63"/>
      <c r="U96" s="72">
        <v>7.0000000000000001E-3</v>
      </c>
      <c r="V96" s="72">
        <v>7.0000000000000001E-3</v>
      </c>
      <c r="W96" s="72">
        <v>7.0000000000000001E-3</v>
      </c>
      <c r="X96" s="72">
        <v>7.0000000000000001E-3</v>
      </c>
      <c r="Y96" s="72">
        <v>7.0000000000000001E-3</v>
      </c>
      <c r="Z96" s="72">
        <v>7.0000000000000001E-3</v>
      </c>
      <c r="AA96" s="72">
        <v>7.0000000000000001E-3</v>
      </c>
      <c r="AB96" s="72">
        <v>7.0000000000000001E-3</v>
      </c>
      <c r="AC96" s="72">
        <v>7.0000000000000001E-3</v>
      </c>
      <c r="AD96" s="72">
        <v>7.0000000000000001E-3</v>
      </c>
      <c r="AE96" s="72">
        <v>7.0000000000000001E-3</v>
      </c>
      <c r="AF96" s="72">
        <v>7.0000000000000001E-3</v>
      </c>
      <c r="AG96" s="72">
        <v>7.0000000000000001E-3</v>
      </c>
      <c r="AH96" s="72">
        <v>7.0000000000000001E-3</v>
      </c>
      <c r="AI96" s="72">
        <v>7.0000000000000001E-3</v>
      </c>
      <c r="AJ96" s="72">
        <v>7.0000000000000001E-3</v>
      </c>
      <c r="AK96" s="72">
        <v>7.0000000000000001E-3</v>
      </c>
      <c r="AL96" s="72">
        <v>7.0000000000000001E-3</v>
      </c>
      <c r="AM96" s="72">
        <v>7.0000000000000001E-3</v>
      </c>
      <c r="AN96" s="72">
        <v>7.0000000000000001E-3</v>
      </c>
      <c r="AO96" s="72">
        <v>7.0000000000000001E-3</v>
      </c>
      <c r="AP96" s="72">
        <v>7.0000000000000001E-3</v>
      </c>
    </row>
    <row r="97" spans="2:42">
      <c r="B97" s="15" t="s">
        <v>128</v>
      </c>
      <c r="C97" s="63"/>
      <c r="D97" s="63"/>
      <c r="E97" s="63"/>
      <c r="F97" s="63"/>
      <c r="G97" s="63"/>
      <c r="H97" s="63"/>
      <c r="I97" s="63"/>
      <c r="J97" s="63"/>
      <c r="K97" s="63"/>
      <c r="L97" s="63"/>
      <c r="M97" s="63"/>
      <c r="N97" s="63"/>
      <c r="O97" s="63"/>
      <c r="P97" s="63"/>
      <c r="Q97" s="63"/>
      <c r="R97" s="63"/>
      <c r="S97" s="63"/>
      <c r="T97" s="63"/>
      <c r="U97" s="24">
        <v>3.0000000000000001E-3</v>
      </c>
      <c r="V97" s="24">
        <v>3.0000000000000001E-3</v>
      </c>
      <c r="W97" s="24">
        <v>3.0000000000000001E-3</v>
      </c>
      <c r="X97" s="24">
        <v>3.0000000000000001E-3</v>
      </c>
      <c r="Y97" s="24">
        <v>3.0000000000000001E-3</v>
      </c>
      <c r="Z97" s="24">
        <v>3.0000000000000001E-3</v>
      </c>
      <c r="AA97" s="24">
        <v>3.0000000000000001E-3</v>
      </c>
      <c r="AB97" s="24">
        <v>3.0000000000000001E-3</v>
      </c>
      <c r="AC97" s="24">
        <v>3.0000000000000001E-3</v>
      </c>
      <c r="AD97" s="73">
        <v>3.0000000000000001E-3</v>
      </c>
      <c r="AE97" s="73">
        <v>3.0000000000000001E-3</v>
      </c>
      <c r="AF97" s="73">
        <v>3.0000000000000001E-3</v>
      </c>
      <c r="AG97" s="73">
        <v>3.0000000000000001E-3</v>
      </c>
      <c r="AH97" s="73">
        <v>3.0000000000000001E-3</v>
      </c>
      <c r="AI97" s="73">
        <v>3.0000000000000001E-3</v>
      </c>
      <c r="AJ97" s="73">
        <v>3.0000000000000001E-3</v>
      </c>
      <c r="AK97" s="73">
        <v>3.0000000000000001E-3</v>
      </c>
      <c r="AL97" s="73">
        <v>3.0000000000000001E-3</v>
      </c>
      <c r="AM97" s="73">
        <v>3.0000000000000001E-3</v>
      </c>
      <c r="AN97" s="73">
        <v>3.0000000000000001E-3</v>
      </c>
      <c r="AO97" s="73">
        <v>3.0000000000000001E-3</v>
      </c>
      <c r="AP97" s="73">
        <v>3.0000000000000001E-3</v>
      </c>
    </row>
    <row r="98" spans="2:42">
      <c r="B98" s="15" t="s">
        <v>206</v>
      </c>
      <c r="C98" s="63"/>
      <c r="D98" s="63"/>
      <c r="E98" s="63"/>
      <c r="F98" s="63"/>
      <c r="G98" s="63"/>
      <c r="H98" s="63"/>
      <c r="I98" s="63"/>
      <c r="J98" s="63"/>
      <c r="K98" s="63"/>
      <c r="L98" s="63"/>
      <c r="M98" s="63"/>
      <c r="N98" s="63"/>
      <c r="O98" s="63"/>
      <c r="P98" s="63"/>
      <c r="Q98" s="63"/>
      <c r="R98" s="63"/>
      <c r="S98" s="63"/>
      <c r="T98" s="63"/>
      <c r="U98" s="25">
        <v>0.1</v>
      </c>
      <c r="V98" s="25">
        <v>0.1</v>
      </c>
      <c r="W98" s="25">
        <v>0.1</v>
      </c>
      <c r="X98" s="25">
        <v>0.1</v>
      </c>
      <c r="Y98" s="25">
        <v>0.1</v>
      </c>
      <c r="Z98" s="25">
        <v>0.1</v>
      </c>
      <c r="AA98" s="25">
        <v>0.1</v>
      </c>
      <c r="AB98" s="25">
        <v>0.1</v>
      </c>
      <c r="AC98" s="25">
        <v>0.1</v>
      </c>
      <c r="AD98" s="25">
        <v>0.1</v>
      </c>
      <c r="AE98" s="25">
        <v>0.1</v>
      </c>
      <c r="AF98" s="25">
        <v>0.1</v>
      </c>
      <c r="AG98" s="25">
        <v>0.1</v>
      </c>
      <c r="AH98" s="25">
        <v>0.1</v>
      </c>
      <c r="AI98" s="25">
        <v>0.1</v>
      </c>
      <c r="AJ98" s="25">
        <v>0.1</v>
      </c>
      <c r="AK98" s="25">
        <v>0.1</v>
      </c>
      <c r="AL98" s="25">
        <v>0.1</v>
      </c>
      <c r="AM98" s="25">
        <v>0.1</v>
      </c>
      <c r="AN98" s="25">
        <v>0.1</v>
      </c>
      <c r="AO98" s="25">
        <v>0.1</v>
      </c>
      <c r="AP98" s="25">
        <v>0.1</v>
      </c>
    </row>
    <row r="99" spans="2:42">
      <c r="B99" s="32" t="s">
        <v>207</v>
      </c>
      <c r="C99" s="63"/>
      <c r="D99" s="63"/>
      <c r="E99" s="63"/>
      <c r="F99" s="63"/>
      <c r="G99" s="63"/>
      <c r="H99" s="63"/>
      <c r="I99" s="63"/>
      <c r="J99" s="63"/>
      <c r="K99" s="63"/>
      <c r="L99" s="63"/>
      <c r="M99" s="63"/>
      <c r="N99" s="63"/>
      <c r="O99" s="63"/>
      <c r="P99" s="63"/>
      <c r="Q99" s="63"/>
      <c r="R99" s="63"/>
      <c r="S99" s="63"/>
      <c r="T99" s="63"/>
      <c r="U99">
        <v>142</v>
      </c>
      <c r="V99">
        <v>142</v>
      </c>
      <c r="W99">
        <v>142</v>
      </c>
      <c r="X99">
        <v>142</v>
      </c>
      <c r="Y99">
        <v>142</v>
      </c>
      <c r="Z99">
        <v>142</v>
      </c>
      <c r="AA99">
        <v>142</v>
      </c>
      <c r="AB99">
        <v>142</v>
      </c>
      <c r="AC99">
        <v>142</v>
      </c>
      <c r="AD99">
        <v>142</v>
      </c>
      <c r="AE99">
        <v>142</v>
      </c>
      <c r="AF99">
        <v>142</v>
      </c>
      <c r="AG99">
        <v>142</v>
      </c>
      <c r="AH99">
        <v>142</v>
      </c>
      <c r="AI99">
        <v>142</v>
      </c>
      <c r="AJ99">
        <v>142</v>
      </c>
      <c r="AK99">
        <v>142</v>
      </c>
      <c r="AL99">
        <v>142</v>
      </c>
      <c r="AM99">
        <v>142</v>
      </c>
      <c r="AN99">
        <v>142</v>
      </c>
      <c r="AO99">
        <v>142</v>
      </c>
      <c r="AP99">
        <v>142</v>
      </c>
    </row>
    <row r="100" spans="2:42">
      <c r="S100"/>
    </row>
    <row r="101" spans="2:42">
      <c r="B101" s="70" t="s">
        <v>210</v>
      </c>
      <c r="S101"/>
    </row>
    <row r="102" spans="2:42">
      <c r="B102" s="32" t="s">
        <v>201</v>
      </c>
      <c r="C102" s="63"/>
      <c r="D102" s="63"/>
      <c r="E102" s="63"/>
      <c r="F102" s="63"/>
      <c r="G102" s="63"/>
      <c r="H102" s="63"/>
      <c r="I102" s="63"/>
      <c r="J102" s="63"/>
      <c r="K102" s="63"/>
      <c r="L102" s="63"/>
      <c r="M102" s="63"/>
      <c r="N102" s="63"/>
      <c r="O102" s="63"/>
      <c r="P102" s="63"/>
      <c r="Q102" s="63"/>
      <c r="R102" s="63"/>
      <c r="S102" s="63"/>
      <c r="T102" s="63"/>
      <c r="U102" s="25">
        <v>1.02</v>
      </c>
      <c r="V102" s="25">
        <v>1.02</v>
      </c>
      <c r="W102" s="25">
        <v>1.02</v>
      </c>
      <c r="X102" s="25">
        <v>1.02</v>
      </c>
      <c r="Y102" s="25">
        <v>1.02</v>
      </c>
      <c r="Z102" s="25">
        <v>1.02</v>
      </c>
      <c r="AA102" s="25">
        <v>1.02</v>
      </c>
      <c r="AB102" s="25">
        <v>1.02</v>
      </c>
      <c r="AC102" s="25">
        <v>1.02</v>
      </c>
      <c r="AD102" s="25">
        <v>1.02</v>
      </c>
      <c r="AE102" s="25">
        <v>1.02</v>
      </c>
      <c r="AF102" s="25">
        <v>1.02</v>
      </c>
      <c r="AG102" s="25">
        <v>1.02</v>
      </c>
      <c r="AH102" s="25">
        <v>1.02</v>
      </c>
      <c r="AI102" s="25">
        <v>1.02</v>
      </c>
      <c r="AJ102" s="25">
        <v>1.02</v>
      </c>
      <c r="AK102" s="25">
        <v>1.02</v>
      </c>
      <c r="AL102" s="25">
        <v>1.02</v>
      </c>
      <c r="AM102" s="25">
        <v>1.02</v>
      </c>
      <c r="AN102" s="25">
        <v>1.02</v>
      </c>
      <c r="AO102" s="25">
        <v>1.02</v>
      </c>
      <c r="AP102" s="25">
        <v>1.02</v>
      </c>
    </row>
    <row r="103" spans="2:42">
      <c r="B103" s="32" t="s">
        <v>202</v>
      </c>
      <c r="C103" s="63"/>
      <c r="D103" s="63"/>
      <c r="E103" s="63"/>
      <c r="F103" s="63"/>
      <c r="G103" s="63"/>
      <c r="H103" s="63"/>
      <c r="I103" s="63"/>
      <c r="J103" s="63"/>
      <c r="K103" s="63"/>
      <c r="L103" s="63"/>
      <c r="M103" s="63"/>
      <c r="N103" s="63"/>
      <c r="O103" s="63"/>
      <c r="P103" s="63"/>
      <c r="Q103" s="63"/>
      <c r="R103" s="63"/>
      <c r="S103" s="63"/>
      <c r="T103" s="63"/>
      <c r="U103" s="25">
        <v>0.96</v>
      </c>
      <c r="V103" s="25">
        <v>0.96</v>
      </c>
      <c r="W103" s="25">
        <v>0.96</v>
      </c>
      <c r="X103" s="25">
        <v>0.96</v>
      </c>
      <c r="Y103" s="25">
        <v>0.96</v>
      </c>
      <c r="Z103" s="25">
        <v>0.96</v>
      </c>
      <c r="AA103" s="25">
        <v>0.96</v>
      </c>
      <c r="AB103" s="25">
        <v>0.96</v>
      </c>
      <c r="AC103" s="25">
        <v>0.96</v>
      </c>
      <c r="AD103" s="25">
        <v>0.96</v>
      </c>
      <c r="AE103" s="25">
        <v>0.96</v>
      </c>
      <c r="AF103" s="25">
        <v>0.96</v>
      </c>
      <c r="AG103" s="25">
        <v>0.96</v>
      </c>
      <c r="AH103" s="25">
        <v>0.96</v>
      </c>
      <c r="AI103" s="25">
        <v>0.96</v>
      </c>
      <c r="AJ103" s="25">
        <v>0.96</v>
      </c>
      <c r="AK103" s="25">
        <v>0.96</v>
      </c>
      <c r="AL103" s="25">
        <v>0.96</v>
      </c>
      <c r="AM103" s="25">
        <v>0.96</v>
      </c>
      <c r="AN103" s="25">
        <v>0.96</v>
      </c>
      <c r="AO103" s="25">
        <v>0.96</v>
      </c>
      <c r="AP103" s="25">
        <v>0.96</v>
      </c>
    </row>
    <row r="104" spans="2:42">
      <c r="B104" s="32" t="s">
        <v>42</v>
      </c>
      <c r="C104" s="63"/>
      <c r="D104" s="63"/>
      <c r="E104" s="63"/>
      <c r="F104" s="63"/>
      <c r="G104" s="63"/>
      <c r="H104" s="63"/>
      <c r="I104" s="63"/>
      <c r="J104" s="63"/>
      <c r="K104" s="63"/>
      <c r="L104" s="63"/>
      <c r="M104" s="63"/>
      <c r="N104" s="63"/>
      <c r="O104" s="63"/>
      <c r="P104" s="63"/>
      <c r="Q104" s="63"/>
      <c r="R104" s="63"/>
      <c r="S104" s="63"/>
      <c r="T104" s="63"/>
      <c r="U104" s="25">
        <f t="shared" ref="U104:AP104" si="46">U102-U103</f>
        <v>6.0000000000000053E-2</v>
      </c>
      <c r="V104" s="25">
        <f t="shared" si="46"/>
        <v>6.0000000000000053E-2</v>
      </c>
      <c r="W104" s="25">
        <f t="shared" si="46"/>
        <v>6.0000000000000053E-2</v>
      </c>
      <c r="X104" s="25">
        <f t="shared" si="46"/>
        <v>6.0000000000000053E-2</v>
      </c>
      <c r="Y104" s="25">
        <f t="shared" si="46"/>
        <v>6.0000000000000053E-2</v>
      </c>
      <c r="Z104" s="25">
        <f t="shared" si="46"/>
        <v>6.0000000000000053E-2</v>
      </c>
      <c r="AA104" s="25">
        <f t="shared" si="46"/>
        <v>6.0000000000000053E-2</v>
      </c>
      <c r="AB104" s="25">
        <f t="shared" si="46"/>
        <v>6.0000000000000053E-2</v>
      </c>
      <c r="AC104" s="25">
        <f t="shared" si="46"/>
        <v>6.0000000000000053E-2</v>
      </c>
      <c r="AD104" s="25">
        <f t="shared" si="46"/>
        <v>6.0000000000000053E-2</v>
      </c>
      <c r="AE104" s="25">
        <f t="shared" si="46"/>
        <v>6.0000000000000053E-2</v>
      </c>
      <c r="AF104" s="25">
        <f t="shared" si="46"/>
        <v>6.0000000000000053E-2</v>
      </c>
      <c r="AG104" s="25">
        <f t="shared" si="46"/>
        <v>6.0000000000000053E-2</v>
      </c>
      <c r="AH104" s="25">
        <f t="shared" si="46"/>
        <v>6.0000000000000053E-2</v>
      </c>
      <c r="AI104" s="25">
        <f t="shared" si="46"/>
        <v>6.0000000000000053E-2</v>
      </c>
      <c r="AJ104" s="25">
        <f t="shared" si="46"/>
        <v>6.0000000000000053E-2</v>
      </c>
      <c r="AK104" s="25">
        <f t="shared" si="46"/>
        <v>6.0000000000000053E-2</v>
      </c>
      <c r="AL104" s="25">
        <f t="shared" si="46"/>
        <v>6.0000000000000053E-2</v>
      </c>
      <c r="AM104" s="25">
        <f t="shared" si="46"/>
        <v>6.0000000000000053E-2</v>
      </c>
      <c r="AN104" s="25">
        <f t="shared" si="46"/>
        <v>6.0000000000000053E-2</v>
      </c>
      <c r="AO104" s="25">
        <f t="shared" si="46"/>
        <v>6.0000000000000053E-2</v>
      </c>
      <c r="AP104" s="25">
        <f t="shared" si="46"/>
        <v>6.0000000000000053E-2</v>
      </c>
    </row>
    <row r="105" spans="2:42">
      <c r="B105" s="32" t="s">
        <v>43</v>
      </c>
      <c r="C105" s="63"/>
      <c r="D105" s="63"/>
      <c r="E105" s="63"/>
      <c r="F105" s="63"/>
      <c r="G105" s="63"/>
      <c r="H105" s="63"/>
      <c r="I105" s="63"/>
      <c r="J105" s="63"/>
      <c r="K105" s="63"/>
      <c r="L105" s="63"/>
      <c r="M105" s="63"/>
      <c r="N105" s="63"/>
      <c r="O105" s="63"/>
      <c r="P105" s="63"/>
      <c r="Q105" s="63"/>
      <c r="R105" s="63"/>
      <c r="S105" s="63"/>
      <c r="T105" s="63"/>
      <c r="U105" s="25">
        <v>0.04</v>
      </c>
      <c r="V105" s="25">
        <v>0.04</v>
      </c>
      <c r="W105" s="25">
        <v>0.04</v>
      </c>
      <c r="X105" s="25">
        <v>0.04</v>
      </c>
      <c r="Y105" s="25">
        <v>0.04</v>
      </c>
      <c r="Z105" s="25">
        <v>0.04</v>
      </c>
      <c r="AA105" s="25">
        <v>0.04</v>
      </c>
      <c r="AB105" s="25">
        <v>0.04</v>
      </c>
      <c r="AC105" s="25">
        <v>0.04</v>
      </c>
      <c r="AD105" s="25">
        <v>0.04</v>
      </c>
      <c r="AE105" s="25">
        <v>0.04</v>
      </c>
      <c r="AF105" s="25">
        <v>0.04</v>
      </c>
      <c r="AG105" s="25">
        <v>0.04</v>
      </c>
      <c r="AH105" s="25">
        <v>0.04</v>
      </c>
      <c r="AI105" s="25">
        <v>0.04</v>
      </c>
      <c r="AJ105" s="25">
        <v>0.04</v>
      </c>
      <c r="AK105" s="25">
        <v>0.04</v>
      </c>
      <c r="AL105" s="25">
        <v>0.04</v>
      </c>
      <c r="AM105" s="25">
        <v>0.04</v>
      </c>
      <c r="AN105" s="25">
        <v>0.04</v>
      </c>
      <c r="AO105" s="25">
        <v>0.04</v>
      </c>
      <c r="AP105" s="25">
        <v>0.04</v>
      </c>
    </row>
    <row r="106" spans="2:42">
      <c r="B106" s="32" t="s">
        <v>203</v>
      </c>
      <c r="C106" s="63"/>
      <c r="D106" s="63"/>
      <c r="E106" s="63"/>
      <c r="F106" s="63"/>
      <c r="G106" s="63"/>
      <c r="H106" s="63"/>
      <c r="I106" s="63"/>
      <c r="J106" s="63"/>
      <c r="K106" s="63"/>
      <c r="L106" s="63"/>
      <c r="M106" s="63"/>
      <c r="N106" s="63"/>
      <c r="O106" s="63"/>
      <c r="P106" s="63"/>
      <c r="Q106" s="63"/>
      <c r="R106" s="63"/>
      <c r="S106" s="63"/>
      <c r="T106" s="63"/>
      <c r="U106" s="25">
        <f t="shared" ref="U106:AP106" si="47">U105</f>
        <v>0.04</v>
      </c>
      <c r="V106" s="25">
        <f t="shared" si="47"/>
        <v>0.04</v>
      </c>
      <c r="W106" s="25">
        <f t="shared" si="47"/>
        <v>0.04</v>
      </c>
      <c r="X106" s="25">
        <f t="shared" si="47"/>
        <v>0.04</v>
      </c>
      <c r="Y106" s="25">
        <f t="shared" si="47"/>
        <v>0.04</v>
      </c>
      <c r="Z106" s="25">
        <f t="shared" si="47"/>
        <v>0.04</v>
      </c>
      <c r="AA106" s="25">
        <f t="shared" si="47"/>
        <v>0.04</v>
      </c>
      <c r="AB106" s="25">
        <f t="shared" si="47"/>
        <v>0.04</v>
      </c>
      <c r="AC106" s="25">
        <f t="shared" si="47"/>
        <v>0.04</v>
      </c>
      <c r="AD106" s="25">
        <f t="shared" si="47"/>
        <v>0.04</v>
      </c>
      <c r="AE106" s="25">
        <f t="shared" si="47"/>
        <v>0.04</v>
      </c>
      <c r="AF106" s="25">
        <f t="shared" si="47"/>
        <v>0.04</v>
      </c>
      <c r="AG106" s="25">
        <f t="shared" si="47"/>
        <v>0.04</v>
      </c>
      <c r="AH106" s="25">
        <f t="shared" si="47"/>
        <v>0.04</v>
      </c>
      <c r="AI106" s="25">
        <f t="shared" si="47"/>
        <v>0.04</v>
      </c>
      <c r="AJ106" s="25">
        <f t="shared" si="47"/>
        <v>0.04</v>
      </c>
      <c r="AK106" s="25">
        <f t="shared" si="47"/>
        <v>0.04</v>
      </c>
      <c r="AL106" s="25">
        <f t="shared" si="47"/>
        <v>0.04</v>
      </c>
      <c r="AM106" s="25">
        <f t="shared" si="47"/>
        <v>0.04</v>
      </c>
      <c r="AN106" s="25">
        <f t="shared" si="47"/>
        <v>0.04</v>
      </c>
      <c r="AO106" s="25">
        <f t="shared" si="47"/>
        <v>0.04</v>
      </c>
      <c r="AP106" s="25">
        <f t="shared" si="47"/>
        <v>0.04</v>
      </c>
    </row>
    <row r="107" spans="2:42">
      <c r="B107" s="30" t="s">
        <v>47</v>
      </c>
      <c r="C107" s="71"/>
      <c r="D107" s="71"/>
      <c r="E107" s="71"/>
      <c r="F107" s="71"/>
      <c r="G107" s="71"/>
      <c r="H107" s="71"/>
      <c r="I107" s="71"/>
      <c r="J107" s="71"/>
      <c r="K107" s="71"/>
      <c r="L107" s="71"/>
      <c r="M107" s="71"/>
      <c r="N107" s="71"/>
      <c r="O107" s="71"/>
      <c r="P107" s="71"/>
      <c r="Q107" s="71"/>
      <c r="R107" s="71"/>
      <c r="S107" s="71"/>
      <c r="T107" s="71"/>
      <c r="U107" s="4">
        <f>'[1]D&amp;A_CapEx'!U23</f>
        <v>0</v>
      </c>
      <c r="V107" s="4">
        <f>'[1]D&amp;A_CapEx'!V23</f>
        <v>0</v>
      </c>
      <c r="W107" s="4">
        <f>'[1]D&amp;A_CapEx'!W23</f>
        <v>0</v>
      </c>
      <c r="X107" s="4">
        <f>'[1]D&amp;A_CapEx'!X23</f>
        <v>0</v>
      </c>
      <c r="Y107" s="4">
        <f>'[1]D&amp;A_CapEx'!Y23</f>
        <v>0</v>
      </c>
      <c r="Z107" s="4">
        <f>'[1]D&amp;A_CapEx'!Z23</f>
        <v>0</v>
      </c>
      <c r="AA107" s="4">
        <f>'[1]D&amp;A_CapEx'!AA23</f>
        <v>0</v>
      </c>
      <c r="AB107" s="4">
        <f>'[1]D&amp;A_CapEx'!AB23</f>
        <v>0</v>
      </c>
      <c r="AC107" s="4">
        <f>'[1]D&amp;A_CapEx'!AC23</f>
        <v>0</v>
      </c>
      <c r="AD107" s="4">
        <f>'[1]D&amp;A_CapEx'!AD23</f>
        <v>0</v>
      </c>
      <c r="AE107" s="4">
        <f>'[1]D&amp;A_CapEx'!AE23</f>
        <v>0</v>
      </c>
      <c r="AF107" s="4">
        <f>'[1]D&amp;A_CapEx'!AF23</f>
        <v>0</v>
      </c>
      <c r="AG107" s="4">
        <f>'[1]D&amp;A_CapEx'!AG23</f>
        <v>0</v>
      </c>
      <c r="AH107" s="4">
        <f>'[1]D&amp;A_CapEx'!AH23</f>
        <v>0</v>
      </c>
      <c r="AI107" s="4">
        <f>'[1]D&amp;A_CapEx'!AI23</f>
        <v>0</v>
      </c>
      <c r="AJ107" s="4">
        <f>'[1]D&amp;A_CapEx'!AJ23</f>
        <v>0</v>
      </c>
      <c r="AK107" s="4">
        <f>'[1]D&amp;A_CapEx'!AK23</f>
        <v>0</v>
      </c>
      <c r="AL107" s="4">
        <f>'[1]D&amp;A_CapEx'!AL23</f>
        <v>0</v>
      </c>
      <c r="AM107" s="4">
        <f>'[1]D&amp;A_CapEx'!AM23</f>
        <v>0</v>
      </c>
      <c r="AN107" s="4">
        <f>'[1]D&amp;A_CapEx'!AN23</f>
        <v>0</v>
      </c>
      <c r="AO107" s="4">
        <f>'[1]D&amp;A_CapEx'!AO23</f>
        <v>0</v>
      </c>
      <c r="AP107" s="4">
        <f>'[1]D&amp;A_CapEx'!AP23</f>
        <v>0</v>
      </c>
    </row>
    <row r="108" spans="2:42">
      <c r="B108" s="32" t="s">
        <v>204</v>
      </c>
      <c r="C108" s="63"/>
      <c r="D108" s="63"/>
      <c r="E108" s="63"/>
      <c r="F108" s="63"/>
      <c r="G108" s="63"/>
      <c r="H108" s="63"/>
      <c r="I108" s="63"/>
      <c r="J108" s="63"/>
      <c r="K108" s="63"/>
      <c r="L108" s="63"/>
      <c r="M108" s="63"/>
      <c r="N108" s="63"/>
      <c r="O108" s="63"/>
      <c r="P108" s="63"/>
      <c r="Q108" s="63"/>
      <c r="R108" s="63"/>
      <c r="S108" s="63"/>
      <c r="T108" s="63"/>
      <c r="U108" s="24">
        <v>3.0000000000000001E-3</v>
      </c>
      <c r="V108" s="24">
        <v>3.0000000000000001E-3</v>
      </c>
      <c r="W108" s="24">
        <v>3.0000000000000001E-3</v>
      </c>
      <c r="X108" s="24">
        <v>3.0000000000000001E-3</v>
      </c>
      <c r="Y108" s="24">
        <v>3.0000000000000001E-3</v>
      </c>
      <c r="Z108" s="24">
        <v>3.0000000000000001E-3</v>
      </c>
      <c r="AA108" s="24">
        <v>3.0000000000000001E-3</v>
      </c>
      <c r="AB108" s="24">
        <v>3.0000000000000001E-3</v>
      </c>
      <c r="AC108" s="24">
        <v>3.0000000000000001E-3</v>
      </c>
      <c r="AD108" s="24">
        <v>3.0000000000000001E-3</v>
      </c>
      <c r="AE108" s="24">
        <v>3.0000000000000001E-3</v>
      </c>
      <c r="AF108" s="24">
        <v>3.0000000000000001E-3</v>
      </c>
      <c r="AG108" s="24">
        <v>3.0000000000000001E-3</v>
      </c>
      <c r="AH108" s="24">
        <v>3.0000000000000001E-3</v>
      </c>
      <c r="AI108" s="24">
        <v>3.0000000000000001E-3</v>
      </c>
      <c r="AJ108" s="24">
        <v>3.0000000000000001E-3</v>
      </c>
      <c r="AK108" s="24">
        <v>3.0000000000000001E-3</v>
      </c>
      <c r="AL108" s="24">
        <v>3.0000000000000001E-3</v>
      </c>
      <c r="AM108" s="24">
        <v>3.0000000000000001E-3</v>
      </c>
      <c r="AN108" s="24">
        <v>3.0000000000000001E-3</v>
      </c>
      <c r="AO108" s="24">
        <v>3.0000000000000001E-3</v>
      </c>
      <c r="AP108" s="24">
        <v>3.0000000000000001E-3</v>
      </c>
    </row>
    <row r="109" spans="2:42">
      <c r="B109" s="15" t="s">
        <v>128</v>
      </c>
      <c r="C109" s="63"/>
      <c r="D109" s="63"/>
      <c r="E109" s="63"/>
      <c r="F109" s="63"/>
      <c r="G109" s="63"/>
      <c r="H109" s="63"/>
      <c r="I109" s="63"/>
      <c r="J109" s="63"/>
      <c r="K109" s="63"/>
      <c r="L109" s="63"/>
      <c r="M109" s="63"/>
      <c r="N109" s="63"/>
      <c r="O109" s="63"/>
      <c r="P109" s="63"/>
      <c r="Q109" s="63"/>
      <c r="R109" s="63"/>
      <c r="S109" s="63"/>
      <c r="T109" s="63"/>
      <c r="U109" s="24">
        <v>8.0000000000000002E-3</v>
      </c>
      <c r="V109" s="24">
        <v>8.0000000000000002E-3</v>
      </c>
      <c r="W109" s="24">
        <v>8.0000000000000002E-3</v>
      </c>
      <c r="X109" s="24">
        <v>8.0000000000000002E-3</v>
      </c>
      <c r="Y109" s="24">
        <v>8.0000000000000002E-3</v>
      </c>
      <c r="Z109" s="24">
        <v>8.0000000000000002E-3</v>
      </c>
      <c r="AA109" s="24">
        <v>8.0000000000000002E-3</v>
      </c>
      <c r="AB109" s="24">
        <v>8.0000000000000002E-3</v>
      </c>
      <c r="AC109" s="24">
        <v>8.0000000000000002E-3</v>
      </c>
      <c r="AD109" s="24">
        <v>8.0000000000000002E-3</v>
      </c>
      <c r="AE109" s="24">
        <v>8.0000000000000002E-3</v>
      </c>
      <c r="AF109" s="24">
        <v>8.0000000000000002E-3</v>
      </c>
      <c r="AG109" s="24">
        <v>8.0000000000000002E-3</v>
      </c>
      <c r="AH109" s="24">
        <v>8.0000000000000002E-3</v>
      </c>
      <c r="AI109" s="24">
        <v>8.0000000000000002E-3</v>
      </c>
      <c r="AJ109" s="24">
        <v>8.0000000000000002E-3</v>
      </c>
      <c r="AK109" s="24">
        <v>8.0000000000000002E-3</v>
      </c>
      <c r="AL109" s="24">
        <v>8.0000000000000002E-3</v>
      </c>
      <c r="AM109" s="24">
        <v>8.0000000000000002E-3</v>
      </c>
      <c r="AN109" s="24">
        <v>8.0000000000000002E-3</v>
      </c>
      <c r="AO109" s="24">
        <v>8.0000000000000002E-3</v>
      </c>
      <c r="AP109" s="24">
        <v>8.0000000000000002E-3</v>
      </c>
    </row>
    <row r="110" spans="2:42">
      <c r="B110" s="15" t="s">
        <v>206</v>
      </c>
      <c r="C110" s="63"/>
      <c r="D110" s="63"/>
      <c r="E110" s="63"/>
      <c r="F110" s="63"/>
      <c r="G110" s="63"/>
      <c r="H110" s="63"/>
      <c r="I110" s="63"/>
      <c r="J110" s="63"/>
      <c r="K110" s="63"/>
      <c r="L110" s="63"/>
      <c r="M110" s="63"/>
      <c r="N110" s="63"/>
      <c r="O110" s="63"/>
      <c r="P110" s="63"/>
      <c r="Q110" s="63"/>
      <c r="R110" s="63"/>
      <c r="S110" s="63"/>
      <c r="T110" s="63"/>
      <c r="U110" s="25">
        <v>0.2</v>
      </c>
      <c r="V110" s="25">
        <v>0.2</v>
      </c>
      <c r="W110" s="25">
        <v>0.2</v>
      </c>
      <c r="X110" s="25">
        <v>0.2</v>
      </c>
      <c r="Y110" s="25">
        <v>0.2</v>
      </c>
      <c r="Z110" s="25">
        <v>0.2</v>
      </c>
      <c r="AA110" s="25">
        <v>0.2</v>
      </c>
      <c r="AB110" s="25">
        <v>0.2</v>
      </c>
      <c r="AC110" s="25">
        <v>0.2</v>
      </c>
      <c r="AD110" s="25">
        <v>0.2</v>
      </c>
      <c r="AE110" s="25">
        <v>0.2</v>
      </c>
      <c r="AF110" s="25">
        <v>0.2</v>
      </c>
      <c r="AG110" s="25">
        <v>0.2</v>
      </c>
      <c r="AH110" s="25">
        <v>0.2</v>
      </c>
      <c r="AI110" s="25">
        <v>0.2</v>
      </c>
      <c r="AJ110" s="25">
        <v>0.2</v>
      </c>
      <c r="AK110" s="25">
        <v>0.2</v>
      </c>
      <c r="AL110" s="25">
        <v>0.2</v>
      </c>
      <c r="AM110" s="25">
        <v>0.2</v>
      </c>
      <c r="AN110" s="25">
        <v>0.2</v>
      </c>
      <c r="AO110" s="25">
        <v>0.2</v>
      </c>
      <c r="AP110" s="25">
        <v>0.2</v>
      </c>
    </row>
    <row r="111" spans="2:42">
      <c r="B111" s="32" t="s">
        <v>207</v>
      </c>
      <c r="C111" s="63"/>
      <c r="D111" s="63"/>
      <c r="E111" s="63"/>
      <c r="F111" s="63"/>
      <c r="G111" s="63"/>
      <c r="H111" s="63"/>
      <c r="I111" s="63"/>
      <c r="J111" s="63"/>
      <c r="K111" s="63"/>
      <c r="L111" s="63"/>
      <c r="M111" s="63"/>
      <c r="N111" s="63"/>
      <c r="O111" s="63"/>
      <c r="P111" s="63"/>
      <c r="Q111" s="63"/>
      <c r="R111" s="63"/>
      <c r="S111" s="63"/>
      <c r="T111" s="63"/>
      <c r="U111">
        <v>142</v>
      </c>
      <c r="V111">
        <v>142</v>
      </c>
      <c r="W111">
        <v>142</v>
      </c>
      <c r="X111">
        <v>142</v>
      </c>
      <c r="Y111">
        <v>142</v>
      </c>
      <c r="Z111">
        <v>142</v>
      </c>
      <c r="AA111">
        <v>142</v>
      </c>
      <c r="AB111">
        <v>142</v>
      </c>
      <c r="AC111">
        <v>142</v>
      </c>
      <c r="AD111">
        <v>142</v>
      </c>
      <c r="AE111">
        <v>142</v>
      </c>
      <c r="AF111">
        <v>142</v>
      </c>
      <c r="AG111">
        <v>142</v>
      </c>
      <c r="AH111">
        <v>142</v>
      </c>
      <c r="AI111">
        <v>142</v>
      </c>
      <c r="AJ111">
        <v>142</v>
      </c>
      <c r="AK111">
        <v>142</v>
      </c>
      <c r="AL111">
        <v>142</v>
      </c>
      <c r="AM111">
        <v>142</v>
      </c>
      <c r="AN111">
        <v>142</v>
      </c>
      <c r="AO111">
        <v>142</v>
      </c>
      <c r="AP111">
        <v>142</v>
      </c>
    </row>
  </sheetData>
  <dataValidations disablePrompts="1" count="1">
    <dataValidation type="list" allowBlank="1" showInputMessage="1" showErrorMessage="1" sqref="C5" xr:uid="{E6FF0D56-92E1-3F48-9B7B-F7A2EC33322D}">
      <formula1>"1, 2, 3"</formula1>
    </dataValidation>
  </dataValidations>
  <pageMargins left="0.7" right="0.7" top="0.75" bottom="0.75" header="0.3" footer="0.3"/>
  <pageSetup paperSize="9" orientation="portrait" horizontalDpi="0" verticalDpi="0"/>
  <ignoredErrors>
    <ignoredError sqref="U8 G8:I8 K8:T8" formulaRange="1"/>
    <ignoredError sqref="J16"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20C9-A0F7-5D4E-A231-63B943F31C41}">
  <dimension ref="A1:XFD66"/>
  <sheetViews>
    <sheetView zoomScale="81" workbookViewId="0">
      <pane xSplit="2" ySplit="7" topLeftCell="J8" activePane="bottomRight" state="frozen"/>
      <selection pane="topRight" activeCell="C1" sqref="C1"/>
      <selection pane="bottomLeft" activeCell="A8" sqref="A8"/>
      <selection pane="bottomRight" activeCell="V41" sqref="V41"/>
    </sheetView>
  </sheetViews>
  <sheetFormatPr baseColWidth="10" defaultRowHeight="16"/>
  <cols>
    <col min="1" max="1" width="2.83203125" customWidth="1"/>
    <col min="2" max="2" width="36.6640625" bestFit="1" customWidth="1"/>
    <col min="15" max="15" width="11.6640625" bestFit="1" customWidth="1"/>
    <col min="20" max="20" width="12.6640625" bestFit="1" customWidth="1"/>
    <col min="22" max="22" width="13.33203125" bestFit="1" customWidth="1"/>
  </cols>
  <sheetData>
    <row r="1" spans="2:42">
      <c r="B1" t="e" vm="1">
        <v>#VALUE!</v>
      </c>
    </row>
    <row r="7" spans="2:42">
      <c r="C7" t="s">
        <v>0</v>
      </c>
      <c r="D7" t="s">
        <v>1</v>
      </c>
      <c r="E7" t="s">
        <v>2</v>
      </c>
      <c r="F7" t="s">
        <v>3</v>
      </c>
      <c r="G7" t="s">
        <v>4</v>
      </c>
      <c r="H7" t="s">
        <v>5</v>
      </c>
      <c r="I7" t="s">
        <v>6</v>
      </c>
      <c r="J7" t="s">
        <v>7</v>
      </c>
      <c r="K7" t="s">
        <v>8</v>
      </c>
      <c r="L7" t="s">
        <v>9</v>
      </c>
      <c r="M7" s="1" t="s">
        <v>10</v>
      </c>
      <c r="N7" s="1" t="s">
        <v>11</v>
      </c>
      <c r="O7" t="s">
        <v>12</v>
      </c>
      <c r="P7" t="s">
        <v>13</v>
      </c>
      <c r="Q7" t="s">
        <v>14</v>
      </c>
      <c r="R7" t="s">
        <v>191</v>
      </c>
      <c r="S7"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2:42">
      <c r="B8" t="s">
        <v>73</v>
      </c>
    </row>
    <row r="9" spans="2:42">
      <c r="B9" t="s">
        <v>74</v>
      </c>
      <c r="C9">
        <f>1995.893+9.573</f>
        <v>2005.4660000000001</v>
      </c>
      <c r="D9">
        <f>2145.359+8.51</f>
        <v>2153.8690000000001</v>
      </c>
      <c r="E9">
        <f>8.143+2478.302</f>
        <v>2486.4450000000002</v>
      </c>
      <c r="F9">
        <v>2650.134</v>
      </c>
      <c r="G9">
        <v>2893.8850000000002</v>
      </c>
      <c r="H9">
        <v>3294.6840000000002</v>
      </c>
      <c r="I9">
        <v>3397.9409999999998</v>
      </c>
      <c r="J9">
        <v>3109.3220000000001</v>
      </c>
      <c r="K9">
        <v>3593.4119999999998</v>
      </c>
      <c r="L9">
        <v>4831.3320000000003</v>
      </c>
      <c r="M9">
        <v>5358.0870000000004</v>
      </c>
      <c r="N9">
        <v>5988.1869999999999</v>
      </c>
      <c r="O9">
        <v>6304.3</v>
      </c>
      <c r="P9">
        <v>6063.7</v>
      </c>
      <c r="Q9">
        <v>6275.7</v>
      </c>
      <c r="R9">
        <v>6795</v>
      </c>
      <c r="S9">
        <v>7600.1</v>
      </c>
      <c r="T9">
        <v>8702.2000000000007</v>
      </c>
      <c r="U9">
        <v>9171.5</v>
      </c>
    </row>
    <row r="10" spans="2:42">
      <c r="B10" t="s">
        <v>75</v>
      </c>
      <c r="C10">
        <v>481.12400000000002</v>
      </c>
      <c r="D10">
        <v>622.39599999999996</v>
      </c>
      <c r="E10">
        <v>577.58299999999997</v>
      </c>
      <c r="F10">
        <v>518.10799999999995</v>
      </c>
      <c r="G10">
        <v>584.15</v>
      </c>
      <c r="H10">
        <v>656.53800000000001</v>
      </c>
      <c r="I10">
        <v>598.39</v>
      </c>
      <c r="J10">
        <v>698.97199999999998</v>
      </c>
      <c r="K10">
        <v>596.98400000000004</v>
      </c>
      <c r="L10">
        <v>619.43700000000001</v>
      </c>
      <c r="M10">
        <v>792.971</v>
      </c>
      <c r="N10">
        <v>670.71</v>
      </c>
      <c r="O10">
        <v>619.29999999999995</v>
      </c>
      <c r="P10">
        <v>644</v>
      </c>
      <c r="Q10">
        <v>685.2</v>
      </c>
      <c r="R10">
        <v>729.9</v>
      </c>
      <c r="S10">
        <v>638</v>
      </c>
      <c r="T10">
        <v>551.20000000000005</v>
      </c>
      <c r="U10">
        <v>599.20000000000005</v>
      </c>
      <c r="V10" s="29">
        <f>V47*'Income Statement'!V$8</f>
        <v>657.7106849999999</v>
      </c>
      <c r="W10" s="29">
        <f>W47*'Income Statement'!W$8</f>
        <v>687.29329723499995</v>
      </c>
      <c r="X10" s="29">
        <f>X47*'Income Statement'!X$8</f>
        <v>719.10714691246494</v>
      </c>
      <c r="Y10" s="29">
        <f>Y47*'Income Statement'!Y$8</f>
        <v>753.25785155665824</v>
      </c>
      <c r="Z10" s="29">
        <f>Z47*'Income Statement'!Z$8</f>
        <v>789.85868266233399</v>
      </c>
      <c r="AA10" s="29">
        <f>AA47*'Income Statement'!AA$8</f>
        <v>822.52379764928526</v>
      </c>
      <c r="AB10" s="29">
        <f>AB47*'Income Statement'!AB$8</f>
        <v>857.18078013451122</v>
      </c>
      <c r="AC10" s="29">
        <f>AC47*'Income Statement'!AC$8</f>
        <v>893.91008745006491</v>
      </c>
      <c r="AD10" s="29">
        <f>AD47*'Income Statement'!AD$8</f>
        <v>932.79724097862584</v>
      </c>
      <c r="AE10" s="29">
        <f>AE47*'Income Statement'!AE$8</f>
        <v>973.93302139009552</v>
      </c>
      <c r="AF10" s="29">
        <f>AF47*'Income Statement'!AF$8</f>
        <v>1017.4136769517958</v>
      </c>
      <c r="AG10" s="29">
        <f>AG47*'Income Statement'!AG$8</f>
        <v>1063.34114537141</v>
      </c>
      <c r="AH10" s="29">
        <f>AH47*'Income Statement'!AH$8</f>
        <v>1111.8232896665322</v>
      </c>
      <c r="AI10" s="29">
        <f>AI47*'Income Statement'!AI$8</f>
        <v>1162.9741485903921</v>
      </c>
      <c r="AJ10" s="29">
        <f>AJ47*'Income Statement'!AJ$8</f>
        <v>1216.9142021801565</v>
      </c>
      <c r="AK10" s="29">
        <f>AK47*'Income Statement'!AK$8</f>
        <v>1273.7706530322123</v>
      </c>
      <c r="AL10" s="29">
        <f>AL47*'Income Statement'!AL$8</f>
        <v>1333.6777239481776</v>
      </c>
      <c r="AM10" s="29">
        <f>AM47*'Income Statement'!AM$8</f>
        <v>1396.7769726360902</v>
      </c>
      <c r="AN10" s="29">
        <f>AN47*'Income Statement'!AN$8</f>
        <v>1463.217624193484</v>
      </c>
      <c r="AO10" s="29">
        <f>AO47*'Income Statement'!AO$8</f>
        <v>1533.1569221429065</v>
      </c>
      <c r="AP10" s="29">
        <f>AP47*'Income Statement'!AP$8</f>
        <v>1606.7604988360206</v>
      </c>
    </row>
    <row r="11" spans="2:42">
      <c r="B11" t="s">
        <v>76</v>
      </c>
      <c r="C11">
        <v>327.29399999999998</v>
      </c>
      <c r="D11">
        <v>393.43900000000002</v>
      </c>
      <c r="E11">
        <v>379.755</v>
      </c>
      <c r="F11">
        <v>409.68799999999999</v>
      </c>
      <c r="G11">
        <v>438.29700000000003</v>
      </c>
      <c r="H11">
        <v>464.9</v>
      </c>
      <c r="I11">
        <v>443.315</v>
      </c>
      <c r="J11">
        <v>633.51800000000003</v>
      </c>
      <c r="K11">
        <v>845.26900000000001</v>
      </c>
      <c r="L11">
        <v>791.76800000000003</v>
      </c>
      <c r="M11">
        <v>791.91700000000003</v>
      </c>
      <c r="N11">
        <v>885.35199999999998</v>
      </c>
      <c r="O11">
        <v>977.6</v>
      </c>
      <c r="P11">
        <v>929.1</v>
      </c>
      <c r="Q11">
        <v>1100.3</v>
      </c>
      <c r="R11">
        <v>1136.8</v>
      </c>
      <c r="S11">
        <v>1292.8</v>
      </c>
      <c r="T11">
        <v>1332.9</v>
      </c>
      <c r="U11">
        <v>1385.2</v>
      </c>
      <c r="V11" s="29">
        <f>Days!V8</f>
        <v>1281.5412143683916</v>
      </c>
      <c r="W11" s="29">
        <f>Days!W8</f>
        <v>1345.0374827005924</v>
      </c>
      <c r="X11" s="29">
        <f>Days!X8</f>
        <v>1417.1487493198849</v>
      </c>
      <c r="Y11" s="29">
        <f>Days!Y8</f>
        <v>1487.5560571741964</v>
      </c>
      <c r="Z11" s="29">
        <f>Days!Z8</f>
        <v>1566.8200475206297</v>
      </c>
      <c r="AA11" s="29">
        <f>Days!AA8</f>
        <v>1644.2731383043638</v>
      </c>
      <c r="AB11" s="29">
        <f>Days!AB8</f>
        <v>1730.8817711370368</v>
      </c>
      <c r="AC11" s="29">
        <f>Days!AC8</f>
        <v>1801.292978027378</v>
      </c>
      <c r="AD11" s="29">
        <f>Days!AD8</f>
        <v>1885.2320530625921</v>
      </c>
      <c r="AE11" s="29">
        <f>Days!AE8</f>
        <v>1974.9661137307405</v>
      </c>
      <c r="AF11" s="29">
        <f>Days!AF8</f>
        <v>2063.5602689405437</v>
      </c>
      <c r="AG11" s="29">
        <f>Days!AG8</f>
        <v>2151.9186653518836</v>
      </c>
      <c r="AH11" s="29">
        <f>Days!AH8</f>
        <v>2257.633611328014</v>
      </c>
      <c r="AI11" s="29">
        <f>Days!AI8</f>
        <v>2359.3122161671781</v>
      </c>
      <c r="AJ11" s="29">
        <f>Days!AJ8</f>
        <v>2468.7551845118378</v>
      </c>
      <c r="AK11" s="29">
        <f>Days!AK8</f>
        <v>2563.8708821872751</v>
      </c>
      <c r="AL11" s="29">
        <f>Days!AL8</f>
        <v>2685.6989334993209</v>
      </c>
      <c r="AM11" s="29">
        <f>Days!AM8</f>
        <v>2793.4567397485894</v>
      </c>
      <c r="AN11" s="29">
        <f>Days!AN8</f>
        <v>2933.6212438662274</v>
      </c>
      <c r="AO11" s="29">
        <f>Days!AO8</f>
        <v>3078.482709952284</v>
      </c>
      <c r="AP11" s="29">
        <f>Days!AP8</f>
        <v>3230.8017779556026</v>
      </c>
    </row>
    <row r="12" spans="2:42">
      <c r="B12" t="s">
        <v>77</v>
      </c>
      <c r="C12">
        <v>117.346</v>
      </c>
      <c r="D12">
        <v>115.02500000000001</v>
      </c>
      <c r="E12">
        <v>124.15</v>
      </c>
      <c r="F12">
        <v>124.36</v>
      </c>
      <c r="G12">
        <v>136.69800000000001</v>
      </c>
      <c r="H12">
        <v>143.017</v>
      </c>
      <c r="I12">
        <v>162.30600000000001</v>
      </c>
      <c r="J12">
        <v>167.50200000000001</v>
      </c>
      <c r="K12">
        <v>187.08699999999999</v>
      </c>
      <c r="L12">
        <v>219.21799999999999</v>
      </c>
      <c r="M12">
        <v>245.46</v>
      </c>
      <c r="N12">
        <v>280.77699999999999</v>
      </c>
      <c r="O12">
        <v>298.89999999999998</v>
      </c>
      <c r="P12">
        <v>321.60000000000002</v>
      </c>
      <c r="Q12">
        <v>333.4</v>
      </c>
      <c r="R12">
        <v>353.1</v>
      </c>
      <c r="S12">
        <v>338.9</v>
      </c>
      <c r="T12">
        <v>367.7</v>
      </c>
      <c r="U12">
        <v>388.2</v>
      </c>
      <c r="V12" s="29">
        <f>Days!V9</f>
        <v>6497.2179373628378</v>
      </c>
      <c r="W12" s="29">
        <f>Days!W9</f>
        <v>6688.7868835638574</v>
      </c>
      <c r="X12" s="29">
        <f>Days!X9</f>
        <v>6924.9677680230607</v>
      </c>
      <c r="Y12" s="29">
        <f>Days!Y9</f>
        <v>7028.0469256926654</v>
      </c>
      <c r="Z12" s="29">
        <f>Days!Z9</f>
        <v>7271.6141729664532</v>
      </c>
      <c r="AA12" s="29">
        <f>Days!AA9</f>
        <v>7456.1626797082317</v>
      </c>
      <c r="AB12" s="29">
        <f>Days!AB9</f>
        <v>7769.31029109873</v>
      </c>
      <c r="AC12" s="29">
        <f>Days!AC9</f>
        <v>8002.5339819571327</v>
      </c>
      <c r="AD12" s="29">
        <f>Days!AD9</f>
        <v>8237.8361882111112</v>
      </c>
      <c r="AE12" s="29">
        <f>Days!AE9</f>
        <v>8432.7384987396454</v>
      </c>
      <c r="AF12" s="29">
        <f>Days!AF9</f>
        <v>8610.3442599199952</v>
      </c>
      <c r="AG12" s="29">
        <f>Days!AG9</f>
        <v>8722.3182704179089</v>
      </c>
      <c r="AH12" s="29">
        <f>Days!AH9</f>
        <v>6660.1931439729669</v>
      </c>
      <c r="AI12" s="29">
        <f>Days!AI9</f>
        <v>6787.5239833593087</v>
      </c>
      <c r="AJ12" s="29">
        <f>Days!AJ9</f>
        <v>6910.3037007188914</v>
      </c>
      <c r="AK12" s="29">
        <f>Days!AK9</f>
        <v>7049.8558954489317</v>
      </c>
      <c r="AL12" s="29">
        <f>Days!AL9</f>
        <v>7209.4357740026016</v>
      </c>
      <c r="AM12" s="29">
        <f>Days!AM9</f>
        <v>7344.6691713243617</v>
      </c>
      <c r="AN12" s="29">
        <f>Days!AN9</f>
        <v>7532.4722507456354</v>
      </c>
      <c r="AO12" s="29">
        <f>Days!AO9</f>
        <v>7716.8664424413837</v>
      </c>
      <c r="AP12" s="29">
        <f>Days!AP9</f>
        <v>7904.0809206708191</v>
      </c>
    </row>
    <row r="13" spans="2:42">
      <c r="B13" t="s">
        <v>78</v>
      </c>
      <c r="C13">
        <v>109.886</v>
      </c>
      <c r="D13">
        <v>122.694</v>
      </c>
      <c r="E13">
        <v>118.678</v>
      </c>
      <c r="F13">
        <v>140.81899999999999</v>
      </c>
      <c r="G13">
        <v>130.00899999999999</v>
      </c>
      <c r="H13">
        <v>151.82900000000001</v>
      </c>
      <c r="I13">
        <v>175.142</v>
      </c>
      <c r="J13">
        <v>213.51499999999999</v>
      </c>
      <c r="K13">
        <v>223.648</v>
      </c>
      <c r="L13">
        <v>232.565</v>
      </c>
      <c r="M13">
        <v>270.02100000000002</v>
      </c>
      <c r="N13">
        <v>308.35300000000001</v>
      </c>
      <c r="O13">
        <v>338.9</v>
      </c>
      <c r="P13">
        <v>498.8</v>
      </c>
      <c r="Q13">
        <v>457.8</v>
      </c>
      <c r="R13">
        <v>545.79999999999995</v>
      </c>
      <c r="S13">
        <v>491.5</v>
      </c>
      <c r="T13">
        <v>549.5</v>
      </c>
      <c r="U13">
        <v>726.9</v>
      </c>
      <c r="V13" s="29">
        <f>V48*'Income Statement'!V$8</f>
        <v>657.7106849999999</v>
      </c>
      <c r="W13" s="29">
        <f>W48*'Income Statement'!W$8</f>
        <v>687.29329723499995</v>
      </c>
      <c r="X13" s="29">
        <f>X48*'Income Statement'!X$8</f>
        <v>719.10714691246494</v>
      </c>
      <c r="Y13" s="29">
        <f>Y48*'Income Statement'!Y$8</f>
        <v>753.25785155665824</v>
      </c>
      <c r="Z13" s="29">
        <f>Z48*'Income Statement'!Z$8</f>
        <v>789.85868266233399</v>
      </c>
      <c r="AA13" s="29">
        <f>AA48*'Income Statement'!AA$8</f>
        <v>822.52379764928526</v>
      </c>
      <c r="AB13" s="29">
        <f>AB48*'Income Statement'!AB$8</f>
        <v>857.18078013451122</v>
      </c>
      <c r="AC13" s="29">
        <f>AC48*'Income Statement'!AC$8</f>
        <v>893.91008745006491</v>
      </c>
      <c r="AD13" s="29">
        <f>AD48*'Income Statement'!AD$8</f>
        <v>932.79724097862584</v>
      </c>
      <c r="AE13" s="29">
        <f>AE48*'Income Statement'!AE$8</f>
        <v>973.93302139009552</v>
      </c>
      <c r="AF13" s="29">
        <f>AF48*'Income Statement'!AF$8</f>
        <v>1017.4136769517958</v>
      </c>
      <c r="AG13" s="29">
        <f>AG48*'Income Statement'!AG$8</f>
        <v>1063.34114537141</v>
      </c>
      <c r="AH13" s="29">
        <f>AH48*'Income Statement'!AH$8</f>
        <v>1111.8232896665322</v>
      </c>
      <c r="AI13" s="29">
        <f>AI48*'Income Statement'!AI$8</f>
        <v>1162.9741485903921</v>
      </c>
      <c r="AJ13" s="29">
        <f>AJ48*'Income Statement'!AJ$8</f>
        <v>1216.9142021801565</v>
      </c>
      <c r="AK13" s="29">
        <f>AK48*'Income Statement'!AK$8</f>
        <v>1273.7706530322123</v>
      </c>
      <c r="AL13" s="29">
        <f>AL48*'Income Statement'!AL$8</f>
        <v>1333.6777239481776</v>
      </c>
      <c r="AM13" s="29">
        <f>AM48*'Income Statement'!AM$8</f>
        <v>1396.7769726360902</v>
      </c>
      <c r="AN13" s="29">
        <f>AN48*'Income Statement'!AN$8</f>
        <v>1463.217624193484</v>
      </c>
      <c r="AO13" s="29">
        <f>AO48*'Income Statement'!AO$8</f>
        <v>1533.1569221429065</v>
      </c>
      <c r="AP13" s="29">
        <f>AP48*'Income Statement'!AP$8</f>
        <v>1606.7604988360206</v>
      </c>
    </row>
    <row r="14" spans="2:42" ht="17" thickBot="1">
      <c r="B14" s="9" t="s">
        <v>79</v>
      </c>
      <c r="C14">
        <f t="shared" ref="C14:P14" si="0">SUM(C9:C13)</f>
        <v>3041.116</v>
      </c>
      <c r="D14">
        <f t="shared" si="0"/>
        <v>3407.4230000000002</v>
      </c>
      <c r="E14">
        <f t="shared" si="0"/>
        <v>3686.6110000000003</v>
      </c>
      <c r="F14">
        <f t="shared" si="0"/>
        <v>3843.1090000000004</v>
      </c>
      <c r="G14">
        <f t="shared" si="0"/>
        <v>4183.0389999999998</v>
      </c>
      <c r="H14">
        <f t="shared" si="0"/>
        <v>4710.9679999999998</v>
      </c>
      <c r="I14">
        <f t="shared" si="0"/>
        <v>4777.0939999999991</v>
      </c>
      <c r="J14">
        <f t="shared" si="0"/>
        <v>4822.8290000000006</v>
      </c>
      <c r="K14">
        <f t="shared" si="0"/>
        <v>5446.4000000000005</v>
      </c>
      <c r="L14">
        <f t="shared" si="0"/>
        <v>6694.32</v>
      </c>
      <c r="M14">
        <f t="shared" si="0"/>
        <v>7458.456000000001</v>
      </c>
      <c r="N14">
        <f t="shared" si="0"/>
        <v>8133.3789999999999</v>
      </c>
      <c r="O14">
        <f>SUM(O9:O13)</f>
        <v>8539</v>
      </c>
      <c r="P14">
        <f t="shared" si="0"/>
        <v>8457.2000000000007</v>
      </c>
      <c r="Q14">
        <f t="shared" ref="Q14:X14" si="1">SUM(Q9:Q13)</f>
        <v>8852.4</v>
      </c>
      <c r="R14">
        <f t="shared" si="1"/>
        <v>9560.5999999999985</v>
      </c>
      <c r="S14">
        <f t="shared" si="1"/>
        <v>10361.299999999999</v>
      </c>
      <c r="T14">
        <f t="shared" si="1"/>
        <v>11503.500000000002</v>
      </c>
      <c r="U14">
        <f t="shared" si="1"/>
        <v>12271.000000000002</v>
      </c>
      <c r="V14" s="12">
        <f t="shared" si="1"/>
        <v>9094.1805217312303</v>
      </c>
      <c r="W14" s="12">
        <f t="shared" si="1"/>
        <v>9408.4109607344508</v>
      </c>
      <c r="X14" s="29">
        <f t="shared" si="1"/>
        <v>9780.3308111678762</v>
      </c>
      <c r="Y14" s="29">
        <f t="shared" ref="Y14:AP14" si="2">SUM(Y9:Y13)</f>
        <v>10022.118685980178</v>
      </c>
      <c r="Z14" s="29">
        <f t="shared" si="2"/>
        <v>10418.151585811751</v>
      </c>
      <c r="AA14" s="29">
        <f t="shared" si="2"/>
        <v>10745.483413311165</v>
      </c>
      <c r="AB14" s="29">
        <f t="shared" si="2"/>
        <v>11214.553622504789</v>
      </c>
      <c r="AC14" s="29">
        <f t="shared" si="2"/>
        <v>11591.647134884641</v>
      </c>
      <c r="AD14" s="29">
        <f t="shared" si="2"/>
        <v>11988.662723230955</v>
      </c>
      <c r="AE14" s="29">
        <f t="shared" si="2"/>
        <v>12355.570655250578</v>
      </c>
      <c r="AF14" s="29">
        <f t="shared" si="2"/>
        <v>12708.73188276413</v>
      </c>
      <c r="AG14" s="29">
        <f t="shared" si="2"/>
        <v>13000.919226512613</v>
      </c>
      <c r="AH14" s="29">
        <f t="shared" si="2"/>
        <v>11141.473334634045</v>
      </c>
      <c r="AI14" s="29">
        <f t="shared" si="2"/>
        <v>11472.784496707272</v>
      </c>
      <c r="AJ14" s="29">
        <f t="shared" si="2"/>
        <v>11812.887289591043</v>
      </c>
      <c r="AK14" s="29">
        <f t="shared" si="2"/>
        <v>12161.268083700632</v>
      </c>
      <c r="AL14" s="29">
        <f t="shared" si="2"/>
        <v>12562.490155398278</v>
      </c>
      <c r="AM14" s="29">
        <f t="shared" si="2"/>
        <v>12931.67985634513</v>
      </c>
      <c r="AN14" s="29">
        <f>SUM(AN9:AN13)</f>
        <v>13392.528742998831</v>
      </c>
      <c r="AO14" s="29">
        <f>SUM(AO9:AO13)</f>
        <v>13861.662996679481</v>
      </c>
      <c r="AP14" s="29">
        <f t="shared" si="2"/>
        <v>14348.403696298463</v>
      </c>
    </row>
    <row r="15" spans="2:42">
      <c r="B15" t="s">
        <v>80</v>
      </c>
      <c r="C15">
        <v>800.67</v>
      </c>
      <c r="D15">
        <v>815.928</v>
      </c>
      <c r="E15">
        <v>808.35199999999998</v>
      </c>
      <c r="F15">
        <v>812.005</v>
      </c>
      <c r="G15">
        <v>742.55899999999997</v>
      </c>
      <c r="H15">
        <v>731.13099999999997</v>
      </c>
      <c r="I15">
        <v>733.50900000000001</v>
      </c>
      <c r="J15">
        <v>745.08</v>
      </c>
      <c r="K15">
        <v>736.303</v>
      </c>
      <c r="L15">
        <v>728.35699999999997</v>
      </c>
      <c r="M15">
        <v>920.91300000000001</v>
      </c>
      <c r="N15">
        <v>958.53399999999999</v>
      </c>
      <c r="O15">
        <v>986.12300000000005</v>
      </c>
      <c r="P15">
        <v>1021.2</v>
      </c>
      <c r="Q15">
        <v>1042.4000000000001</v>
      </c>
      <c r="R15">
        <v>1094.0999999999999</v>
      </c>
      <c r="S15">
        <v>1107.4000000000001</v>
      </c>
      <c r="T15">
        <v>1100.0999999999999</v>
      </c>
      <c r="U15">
        <v>1118.7</v>
      </c>
      <c r="V15" s="12">
        <f>V49*'Income Statement'!V$8</f>
        <v>1217.9827499999997</v>
      </c>
      <c r="W15" s="12">
        <f>W49*'Income Statement'!W$8</f>
        <v>1272.7653652499998</v>
      </c>
      <c r="X15" s="12">
        <f>X49*'Income Statement'!X$8</f>
        <v>1331.6799016897498</v>
      </c>
      <c r="Y15" s="12">
        <f>Y49*'Income Statement'!Y$8</f>
        <v>1394.9219473271448</v>
      </c>
      <c r="Z15" s="12">
        <f>Z49*'Income Statement'!Z$8</f>
        <v>1462.7012641895074</v>
      </c>
      <c r="AA15" s="12">
        <f>AA49*'Income Statement'!AA$8</f>
        <v>1523.1922178690468</v>
      </c>
      <c r="AB15" s="12">
        <f>AB49*'Income Statement'!AB$8</f>
        <v>1587.3718150639095</v>
      </c>
      <c r="AC15" s="12">
        <f>AC49*'Income Statement'!AC$8</f>
        <v>1655.3890508334534</v>
      </c>
      <c r="AD15" s="12">
        <f>AD49*'Income Statement'!AD$8</f>
        <v>1727.4022981085664</v>
      </c>
      <c r="AE15" s="12">
        <f>AE49*'Income Statement'!AE$8</f>
        <v>1803.5796692409176</v>
      </c>
      <c r="AF15" s="12">
        <f>AF49*'Income Statement'!AF$8</f>
        <v>1884.0994017625846</v>
      </c>
      <c r="AG15" s="12">
        <f>AG49*'Income Statement'!AG$8</f>
        <v>1969.1502692063148</v>
      </c>
      <c r="AH15" s="12">
        <f>AH49*'Income Statement'!AH$8</f>
        <v>2058.9320179009856</v>
      </c>
      <c r="AI15" s="12">
        <f>AI49*'Income Statement'!AI$8</f>
        <v>2153.6558307229484</v>
      </c>
      <c r="AJ15" s="12">
        <f>AJ49*'Income Statement'!AJ$8</f>
        <v>2253.5448188521414</v>
      </c>
      <c r="AK15" s="12">
        <f>AK49*'Income Statement'!AK$8</f>
        <v>2358.8345426522446</v>
      </c>
      <c r="AL15" s="12">
        <f>AL49*'Income Statement'!AL$8</f>
        <v>2469.7735628669952</v>
      </c>
      <c r="AM15" s="12">
        <f>AM49*'Income Statement'!AM$8</f>
        <v>2586.6240234001671</v>
      </c>
      <c r="AN15" s="12">
        <f>AN49*'Income Statement'!AN$8</f>
        <v>2709.6622670249703</v>
      </c>
      <c r="AO15" s="12">
        <f>AO49*'Income Statement'!AO$8</f>
        <v>2839.1794854498266</v>
      </c>
      <c r="AP15" s="12">
        <f>AP49*'Income Statement'!AP$8</f>
        <v>2975.4824052518898</v>
      </c>
    </row>
    <row r="16" spans="2:42">
      <c r="B16" t="s">
        <v>81</v>
      </c>
      <c r="C16">
        <f>50.384</f>
        <v>50.384</v>
      </c>
      <c r="D16">
        <v>50.384</v>
      </c>
      <c r="E16">
        <v>50.384</v>
      </c>
      <c r="F16">
        <v>50.384</v>
      </c>
      <c r="G16">
        <v>50.384</v>
      </c>
      <c r="H16">
        <v>50.384</v>
      </c>
      <c r="I16">
        <v>447.52499999999998</v>
      </c>
      <c r="J16">
        <v>1002.158</v>
      </c>
      <c r="K16">
        <v>1002.158</v>
      </c>
      <c r="L16">
        <v>1002.158</v>
      </c>
      <c r="M16">
        <v>1002.158</v>
      </c>
      <c r="N16">
        <v>1002.158</v>
      </c>
      <c r="O16">
        <v>1002.2157999999999</v>
      </c>
      <c r="P16">
        <v>1002.2</v>
      </c>
      <c r="Q16">
        <v>1002.2</v>
      </c>
      <c r="R16">
        <v>1002.2</v>
      </c>
      <c r="S16">
        <v>1002.2</v>
      </c>
      <c r="T16">
        <v>1002.2</v>
      </c>
      <c r="U16">
        <v>1075.2</v>
      </c>
      <c r="V16" s="12">
        <f>V50*'Income Statement'!V$8</f>
        <v>1120.5441299999998</v>
      </c>
      <c r="W16" s="12">
        <f>W50*'Income Statement'!W$8</f>
        <v>1170.94413603</v>
      </c>
      <c r="X16" s="12">
        <f>X50*'Income Statement'!X$8</f>
        <v>1225.1455095545698</v>
      </c>
      <c r="Y16" s="12">
        <f>Y50*'Income Statement'!Y$8</f>
        <v>1283.3281915409732</v>
      </c>
      <c r="Z16" s="12">
        <f>Z50*'Income Statement'!Z$8</f>
        <v>1345.6851630543467</v>
      </c>
      <c r="AA16" s="12">
        <f>AA50*'Income Statement'!AA$8</f>
        <v>1401.336840439523</v>
      </c>
      <c r="AB16" s="12">
        <f>AB50*'Income Statement'!AB$8</f>
        <v>1460.3820698587967</v>
      </c>
      <c r="AC16" s="12">
        <f>AC50*'Income Statement'!AC$8</f>
        <v>1522.9579267667773</v>
      </c>
      <c r="AD16" s="12">
        <f>AD50*'Income Statement'!AD$8</f>
        <v>1589.210114259881</v>
      </c>
      <c r="AE16" s="12">
        <f>AE50*'Income Statement'!AE$8</f>
        <v>1659.2932957016442</v>
      </c>
      <c r="AF16" s="12">
        <f>AF50*'Income Statement'!AF$8</f>
        <v>1733.371449621578</v>
      </c>
      <c r="AG16" s="12">
        <f>AG50*'Income Statement'!AG$8</f>
        <v>1811.6182476698098</v>
      </c>
      <c r="AH16" s="12">
        <f>AH50*'Income Statement'!AH$8</f>
        <v>1894.2174564689069</v>
      </c>
      <c r="AI16" s="12">
        <f>AI50*'Income Statement'!AI$8</f>
        <v>1981.3633642651125</v>
      </c>
      <c r="AJ16" s="12">
        <f>AJ50*'Income Statement'!AJ$8</f>
        <v>2073.2612333439702</v>
      </c>
      <c r="AK16" s="12">
        <f>AK50*'Income Statement'!AK$8</f>
        <v>2170.1277792400651</v>
      </c>
      <c r="AL16" s="12">
        <f>AL50*'Income Statement'!AL$8</f>
        <v>2272.1916778376358</v>
      </c>
      <c r="AM16" s="12">
        <f>AM50*'Income Statement'!AM$8</f>
        <v>2379.6941015281536</v>
      </c>
      <c r="AN16" s="12">
        <f>AN50*'Income Statement'!AN$8</f>
        <v>2492.8892856629727</v>
      </c>
      <c r="AO16" s="12">
        <f>AO50*'Income Statement'!AO$8</f>
        <v>2612.0451266138407</v>
      </c>
      <c r="AP16" s="12">
        <f>AP50*'Income Statement'!AP$8</f>
        <v>2737.4438128317388</v>
      </c>
    </row>
    <row r="17" spans="2:42">
      <c r="B17" t="s">
        <v>82</v>
      </c>
      <c r="C17">
        <v>29</v>
      </c>
      <c r="D17">
        <v>29</v>
      </c>
      <c r="E17">
        <v>29</v>
      </c>
      <c r="F17">
        <v>0</v>
      </c>
      <c r="G17">
        <v>0</v>
      </c>
      <c r="H17">
        <v>0</v>
      </c>
      <c r="I17">
        <v>0</v>
      </c>
      <c r="J17">
        <v>400</v>
      </c>
      <c r="K17">
        <v>400</v>
      </c>
      <c r="L17">
        <v>400</v>
      </c>
      <c r="M17">
        <v>400</v>
      </c>
      <c r="N17">
        <v>400</v>
      </c>
      <c r="O17">
        <v>400</v>
      </c>
      <c r="P17">
        <v>400</v>
      </c>
      <c r="Q17">
        <v>400</v>
      </c>
      <c r="R17">
        <v>400</v>
      </c>
      <c r="S17">
        <v>400</v>
      </c>
      <c r="T17">
        <v>387</v>
      </c>
      <c r="U17">
        <v>603.6</v>
      </c>
      <c r="V17" s="12">
        <f>V53*'Income Statement'!V$8</f>
        <v>511.55275499999982</v>
      </c>
      <c r="W17" s="12">
        <f>W53*'Income Statement'!W$8</f>
        <v>534.56145340499995</v>
      </c>
      <c r="X17" s="12">
        <f>X53*'Income Statement'!X$8</f>
        <v>559.30555870969488</v>
      </c>
      <c r="Y17" s="12">
        <f>Y53*'Income Statement'!Y$8</f>
        <v>585.86721787740078</v>
      </c>
      <c r="Z17" s="12">
        <f>Z53*'Income Statement'!Z$8</f>
        <v>614.33453095959305</v>
      </c>
      <c r="AA17" s="12">
        <f>AA53*'Income Statement'!AA$8</f>
        <v>639.74073150499964</v>
      </c>
      <c r="AB17" s="12">
        <f>AB53*'Income Statement'!AB$8</f>
        <v>666.696162326842</v>
      </c>
      <c r="AC17" s="12">
        <f>AC53*'Income Statement'!AC$8</f>
        <v>695.26340135005046</v>
      </c>
      <c r="AD17" s="12">
        <f>AD53*'Income Statement'!AD$8</f>
        <v>725.50896520559786</v>
      </c>
      <c r="AE17" s="12">
        <f>AE53*'Income Statement'!AE$8</f>
        <v>757.50346108118538</v>
      </c>
      <c r="AF17" s="12">
        <f>AF53*'Income Statement'!AF$8</f>
        <v>791.32174874028556</v>
      </c>
      <c r="AG17" s="12">
        <f>AG53*'Income Statement'!AG$8</f>
        <v>827.04311306665215</v>
      </c>
      <c r="AH17" s="12">
        <f>AH53*'Income Statement'!AH$8</f>
        <v>864.7514475184139</v>
      </c>
      <c r="AI17" s="12">
        <f>AI53*'Income Statement'!AI$8</f>
        <v>904.53544890363833</v>
      </c>
      <c r="AJ17" s="12">
        <f>AJ53*'Income Statement'!AJ$8</f>
        <v>946.48882391789937</v>
      </c>
      <c r="AK17" s="12">
        <f>AK53*'Income Statement'!AK$8</f>
        <v>990.71050791394271</v>
      </c>
      <c r="AL17" s="12">
        <f>AL53*'Income Statement'!AL$8</f>
        <v>1037.3048964041379</v>
      </c>
      <c r="AM17" s="12">
        <f>AM53*'Income Statement'!AM$8</f>
        <v>1086.3820898280701</v>
      </c>
      <c r="AN17" s="12">
        <f>AN53*'Income Statement'!AN$8</f>
        <v>1138.0581521504876</v>
      </c>
      <c r="AO17" s="12">
        <f>AO53*'Income Statement'!AO$8</f>
        <v>1192.4553838889271</v>
      </c>
      <c r="AP17" s="12">
        <f>AP53*'Income Statement'!AP$8</f>
        <v>1249.7026102057937</v>
      </c>
    </row>
    <row r="18" spans="2:42">
      <c r="B18" t="s">
        <v>102</v>
      </c>
      <c r="C18">
        <v>0</v>
      </c>
      <c r="D18">
        <v>0</v>
      </c>
      <c r="E18">
        <v>0</v>
      </c>
      <c r="F18">
        <v>1499.672</v>
      </c>
      <c r="G18">
        <v>1467.518</v>
      </c>
      <c r="H18">
        <v>1425.191</v>
      </c>
      <c r="I18">
        <v>1415.511</v>
      </c>
      <c r="J18">
        <v>1190.8150000000001</v>
      </c>
      <c r="K18">
        <v>1147.7049999999999</v>
      </c>
      <c r="L18">
        <v>1214.9680000000001</v>
      </c>
      <c r="M18">
        <v>1147.816</v>
      </c>
      <c r="N18">
        <v>882.779</v>
      </c>
      <c r="O18">
        <v>815.89</v>
      </c>
      <c r="P18">
        <v>952.9</v>
      </c>
      <c r="Q18">
        <v>933.8</v>
      </c>
      <c r="R18">
        <v>934.5</v>
      </c>
      <c r="S18">
        <v>945.5</v>
      </c>
      <c r="T18">
        <v>1143.8</v>
      </c>
      <c r="U18">
        <v>1162.7</v>
      </c>
      <c r="V18" s="12">
        <f>V51*'Income Statement'!V$8</f>
        <v>1193.6230949999997</v>
      </c>
      <c r="W18" s="12">
        <f>W51*'Income Statement'!W$8</f>
        <v>1247.3100579449999</v>
      </c>
      <c r="X18" s="12">
        <f>X51*'Income Statement'!X$8</f>
        <v>1305.0463036559547</v>
      </c>
      <c r="Y18" s="12">
        <f>Y51*'Income Statement'!Y$8</f>
        <v>1367.0235083806019</v>
      </c>
      <c r="Z18" s="12">
        <f>Z51*'Income Statement'!Z$8</f>
        <v>1433.4472389057171</v>
      </c>
      <c r="AA18" s="12">
        <f>AA51*'Income Statement'!AA$8</f>
        <v>1492.7283735116657</v>
      </c>
      <c r="AB18" s="12">
        <f>AB51*'Income Statement'!AB$8</f>
        <v>1555.6243787626313</v>
      </c>
      <c r="AC18" s="12">
        <f>AC51*'Income Statement'!AC$8</f>
        <v>1622.2812698167843</v>
      </c>
      <c r="AD18" s="12">
        <f>AD51*'Income Statement'!AD$8</f>
        <v>1692.8542521463951</v>
      </c>
      <c r="AE18" s="12">
        <f>AE51*'Income Statement'!AE$8</f>
        <v>1767.5080758560991</v>
      </c>
      <c r="AF18" s="12">
        <f>AF51*'Income Statement'!AF$8</f>
        <v>1846.4174137273328</v>
      </c>
      <c r="AG18" s="12">
        <f>AG51*'Income Statement'!AG$8</f>
        <v>1929.7672638221884</v>
      </c>
      <c r="AH18" s="12">
        <f>AH51*'Income Statement'!AH$8</f>
        <v>2017.7533775429658</v>
      </c>
      <c r="AI18" s="12">
        <f>AI51*'Income Statement'!AI$8</f>
        <v>2110.5827141084892</v>
      </c>
      <c r="AJ18" s="12">
        <f>AJ51*'Income Statement'!AJ$8</f>
        <v>2208.4739224750983</v>
      </c>
      <c r="AK18" s="12">
        <f>AK51*'Income Statement'!AK$8</f>
        <v>2311.6578517991998</v>
      </c>
      <c r="AL18" s="12">
        <f>AL51*'Income Statement'!AL$8</f>
        <v>2420.3780916096553</v>
      </c>
      <c r="AM18" s="12">
        <f>AM51*'Income Statement'!AM$8</f>
        <v>2534.8915429321637</v>
      </c>
      <c r="AN18" s="12">
        <f>AN51*'Income Statement'!AN$8</f>
        <v>2655.469021684471</v>
      </c>
      <c r="AO18" s="12">
        <f>AO51*'Income Statement'!AO$8</f>
        <v>2782.3958957408299</v>
      </c>
      <c r="AP18" s="12">
        <f>AP51*'Income Statement'!AP$8</f>
        <v>2915.972757146852</v>
      </c>
    </row>
    <row r="19" spans="2:42">
      <c r="B19" t="s">
        <v>166</v>
      </c>
      <c r="C19">
        <v>0</v>
      </c>
      <c r="D19">
        <v>0</v>
      </c>
      <c r="E19">
        <v>0</v>
      </c>
      <c r="F19">
        <v>0</v>
      </c>
      <c r="G19">
        <v>60.573</v>
      </c>
      <c r="H19">
        <v>58.030999999999999</v>
      </c>
      <c r="I19">
        <v>60.929000000000002</v>
      </c>
      <c r="J19">
        <v>0</v>
      </c>
      <c r="K19">
        <v>0</v>
      </c>
      <c r="L19">
        <v>0</v>
      </c>
      <c r="M19">
        <v>0</v>
      </c>
      <c r="N19">
        <v>325.56400000000002</v>
      </c>
      <c r="O19">
        <v>322.31900000000002</v>
      </c>
      <c r="P19">
        <v>317</v>
      </c>
      <c r="Q19">
        <v>312.3</v>
      </c>
      <c r="R19">
        <v>330.3</v>
      </c>
      <c r="S19">
        <v>329</v>
      </c>
      <c r="T19">
        <v>318.3</v>
      </c>
      <c r="U19">
        <v>342.7</v>
      </c>
      <c r="V19" s="12">
        <f>V52*'Income Statement'!V$8</f>
        <v>414.11413499999992</v>
      </c>
      <c r="W19" s="12">
        <f>W52*'Income Statement'!W$8</f>
        <v>432.74022418499999</v>
      </c>
      <c r="X19" s="12">
        <f>X52*'Income Statement'!X$8</f>
        <v>452.77116657451495</v>
      </c>
      <c r="Y19" s="12">
        <f>Y52*'Income Statement'!Y$8</f>
        <v>474.27346209122931</v>
      </c>
      <c r="Z19" s="12">
        <f>Z52*'Income Statement'!Z$8</f>
        <v>497.31842982443254</v>
      </c>
      <c r="AA19" s="12">
        <f>AA52*'Income Statement'!AA$8</f>
        <v>517.8853540754759</v>
      </c>
      <c r="AB19" s="12">
        <f>AB52*'Income Statement'!AB$8</f>
        <v>539.70641712172926</v>
      </c>
      <c r="AC19" s="12">
        <f>AC52*'Income Statement'!AC$8</f>
        <v>562.8322772833742</v>
      </c>
      <c r="AD19" s="12">
        <f>AD52*'Income Statement'!AD$8</f>
        <v>587.31678135691266</v>
      </c>
      <c r="AE19" s="12">
        <f>AE52*'Income Statement'!AE$8</f>
        <v>613.21708754191206</v>
      </c>
      <c r="AF19" s="12">
        <f>AF52*'Income Statement'!AF$8</f>
        <v>640.59379659927879</v>
      </c>
      <c r="AG19" s="12">
        <f>AG52*'Income Statement'!AG$8</f>
        <v>669.51109153014704</v>
      </c>
      <c r="AH19" s="12">
        <f>AH52*'Income Statement'!AH$8</f>
        <v>700.03688608633513</v>
      </c>
      <c r="AI19" s="12">
        <f>AI52*'Income Statement'!AI$8</f>
        <v>732.24298244580245</v>
      </c>
      <c r="AJ19" s="12">
        <f>AJ52*'Income Statement'!AJ$8</f>
        <v>766.20523840972817</v>
      </c>
      <c r="AK19" s="12">
        <f>AK52*'Income Statement'!AK$8</f>
        <v>802.00374450176321</v>
      </c>
      <c r="AL19" s="12">
        <f>AL52*'Income Statement'!AL$8</f>
        <v>839.72301137477848</v>
      </c>
      <c r="AM19" s="12">
        <f>AM52*'Income Statement'!AM$8</f>
        <v>879.45216795605688</v>
      </c>
      <c r="AN19" s="12">
        <f>AN52*'Income Statement'!AN$8</f>
        <v>921.28517078848995</v>
      </c>
      <c r="AO19" s="12">
        <f>AO52*'Income Statement'!AO$8</f>
        <v>965.32102505294108</v>
      </c>
      <c r="AP19" s="12">
        <f>AP52*'Income Statement'!AP$8</f>
        <v>1011.6640177856426</v>
      </c>
    </row>
    <row r="20" spans="2:42" ht="17" thickBot="1">
      <c r="B20" s="9" t="s">
        <v>83</v>
      </c>
      <c r="C20">
        <v>31.803999999999998</v>
      </c>
      <c r="D20">
        <v>32.651000000000003</v>
      </c>
      <c r="E20">
        <v>46.493000000000002</v>
      </c>
      <c r="F20">
        <v>40.728000000000002</v>
      </c>
      <c r="G20">
        <v>39.040999999999997</v>
      </c>
      <c r="H20">
        <v>57.765999999999998</v>
      </c>
      <c r="I20">
        <v>79.984999999999999</v>
      </c>
      <c r="J20">
        <v>157.583</v>
      </c>
      <c r="K20">
        <v>160.63499999999999</v>
      </c>
      <c r="L20">
        <v>176.56399999999999</v>
      </c>
      <c r="M20">
        <v>372.29</v>
      </c>
      <c r="N20">
        <v>49.393999999999998</v>
      </c>
      <c r="O20" s="29">
        <v>49.493200000000002</v>
      </c>
      <c r="P20" s="29">
        <v>71.372</v>
      </c>
      <c r="Q20">
        <v>75.599999999999994</v>
      </c>
      <c r="R20">
        <v>110.8</v>
      </c>
      <c r="S20">
        <v>110.7</v>
      </c>
      <c r="T20">
        <v>127.3</v>
      </c>
      <c r="U20">
        <v>132.5</v>
      </c>
      <c r="V20" s="12">
        <f>V53*'Income Statement'!V$8</f>
        <v>511.55275499999982</v>
      </c>
      <c r="W20" s="12">
        <f>W53*'Income Statement'!W$8</f>
        <v>534.56145340499995</v>
      </c>
      <c r="X20" s="12">
        <f>X53*'Income Statement'!X$8</f>
        <v>559.30555870969488</v>
      </c>
      <c r="Y20" s="12">
        <f>Y53*'Income Statement'!Y$8</f>
        <v>585.86721787740078</v>
      </c>
      <c r="Z20" s="12">
        <f>Z53*'Income Statement'!Z$8</f>
        <v>614.33453095959305</v>
      </c>
      <c r="AA20" s="12">
        <f>AA53*'Income Statement'!AA$8</f>
        <v>639.74073150499964</v>
      </c>
      <c r="AB20" s="12">
        <f>AB53*'Income Statement'!AB$8</f>
        <v>666.696162326842</v>
      </c>
      <c r="AC20" s="12">
        <f>AC53*'Income Statement'!AC$8</f>
        <v>695.26340135005046</v>
      </c>
      <c r="AD20" s="12">
        <f>AD53*'Income Statement'!AD$8</f>
        <v>725.50896520559786</v>
      </c>
      <c r="AE20" s="12">
        <f>AE53*'Income Statement'!AE$8</f>
        <v>757.50346108118538</v>
      </c>
      <c r="AF20" s="12">
        <f>AF53*'Income Statement'!AF$8</f>
        <v>791.32174874028556</v>
      </c>
      <c r="AG20" s="12">
        <f>AG53*'Income Statement'!AG$8</f>
        <v>827.04311306665215</v>
      </c>
      <c r="AH20" s="12">
        <f>AH53*'Income Statement'!AH$8</f>
        <v>864.7514475184139</v>
      </c>
      <c r="AI20" s="12">
        <f>AI53*'Income Statement'!AI$8</f>
        <v>904.53544890363833</v>
      </c>
      <c r="AJ20" s="12">
        <f>AJ53*'Income Statement'!AJ$8</f>
        <v>946.48882391789937</v>
      </c>
      <c r="AK20" s="12">
        <f>AK53*'Income Statement'!AK$8</f>
        <v>990.71050791394271</v>
      </c>
      <c r="AL20" s="12">
        <f>AL53*'Income Statement'!AL$8</f>
        <v>1037.3048964041379</v>
      </c>
      <c r="AM20" s="12">
        <f>AM53*'Income Statement'!AM$8</f>
        <v>1086.3820898280701</v>
      </c>
      <c r="AN20" s="12">
        <f>AN53*'Income Statement'!AN$8</f>
        <v>1138.0581521504876</v>
      </c>
      <c r="AO20" s="12">
        <f>AO53*'Income Statement'!AO$8</f>
        <v>1192.4553838889271</v>
      </c>
      <c r="AP20" s="12">
        <f>AP53*'Income Statement'!AP$8</f>
        <v>1249.7026102057937</v>
      </c>
    </row>
    <row r="21" spans="2:42" ht="17" thickBot="1">
      <c r="B21" s="18" t="s">
        <v>84</v>
      </c>
      <c r="C21" s="90">
        <f t="shared" ref="C21:X21" si="3">SUM(C14,C15:C20)</f>
        <v>3952.9740000000002</v>
      </c>
      <c r="D21" s="90">
        <f t="shared" si="3"/>
        <v>4335.3860000000004</v>
      </c>
      <c r="E21" s="90">
        <f t="shared" si="3"/>
        <v>4620.8400000000011</v>
      </c>
      <c r="F21" s="90">
        <f t="shared" si="3"/>
        <v>6245.8980000000001</v>
      </c>
      <c r="G21" s="90">
        <f t="shared" si="3"/>
        <v>6543.1140000000005</v>
      </c>
      <c r="H21" s="90">
        <f t="shared" si="3"/>
        <v>7033.4709999999995</v>
      </c>
      <c r="I21" s="90">
        <f t="shared" si="3"/>
        <v>7514.552999999999</v>
      </c>
      <c r="J21" s="90">
        <f t="shared" si="3"/>
        <v>8318.465000000002</v>
      </c>
      <c r="K21" s="90">
        <f t="shared" si="3"/>
        <v>8893.2010000000009</v>
      </c>
      <c r="L21" s="90">
        <f t="shared" si="3"/>
        <v>10216.367</v>
      </c>
      <c r="M21" s="90">
        <f t="shared" si="3"/>
        <v>11301.633000000002</v>
      </c>
      <c r="N21" s="90">
        <f t="shared" si="3"/>
        <v>11751.808000000001</v>
      </c>
      <c r="O21" s="90">
        <f t="shared" si="3"/>
        <v>12115.040999999999</v>
      </c>
      <c r="P21" s="90">
        <f t="shared" si="3"/>
        <v>12221.872000000001</v>
      </c>
      <c r="Q21" s="90">
        <f t="shared" si="3"/>
        <v>12618.699999999999</v>
      </c>
      <c r="R21" s="90">
        <f t="shared" si="3"/>
        <v>13432.499999999998</v>
      </c>
      <c r="S21" s="90">
        <f t="shared" si="3"/>
        <v>14256.1</v>
      </c>
      <c r="T21" s="90">
        <f t="shared" si="3"/>
        <v>15582.2</v>
      </c>
      <c r="U21" s="90">
        <f t="shared" si="3"/>
        <v>16706.400000000005</v>
      </c>
      <c r="V21" s="90">
        <f t="shared" si="3"/>
        <v>14063.55014173123</v>
      </c>
      <c r="W21" s="90">
        <f t="shared" si="3"/>
        <v>14601.293650954451</v>
      </c>
      <c r="X21" s="90">
        <f t="shared" si="3"/>
        <v>15213.584810062055</v>
      </c>
      <c r="Y21" s="90">
        <f t="shared" ref="Y21:AP21" si="4">SUM(Y14,Y15:Y20)</f>
        <v>15713.400231074929</v>
      </c>
      <c r="Z21" s="90">
        <f t="shared" si="4"/>
        <v>16385.972743704941</v>
      </c>
      <c r="AA21" s="90">
        <f t="shared" si="4"/>
        <v>16960.107662216877</v>
      </c>
      <c r="AB21" s="90">
        <f t="shared" si="4"/>
        <v>17691.030627965538</v>
      </c>
      <c r="AC21" s="90">
        <f t="shared" si="4"/>
        <v>18345.634462285132</v>
      </c>
      <c r="AD21" s="90">
        <f t="shared" si="4"/>
        <v>19036.464099513902</v>
      </c>
      <c r="AE21" s="90">
        <f t="shared" si="4"/>
        <v>19714.175705753518</v>
      </c>
      <c r="AF21" s="90">
        <f t="shared" si="4"/>
        <v>20395.857441955479</v>
      </c>
      <c r="AG21" s="90">
        <f t="shared" si="4"/>
        <v>21035.052324874378</v>
      </c>
      <c r="AH21" s="90">
        <f t="shared" si="4"/>
        <v>19541.915967670069</v>
      </c>
      <c r="AI21" s="90">
        <f t="shared" si="4"/>
        <v>20259.700286056901</v>
      </c>
      <c r="AJ21" s="90">
        <f t="shared" si="4"/>
        <v>21007.35015050778</v>
      </c>
      <c r="AK21" s="90">
        <f t="shared" si="4"/>
        <v>21785.31301772179</v>
      </c>
      <c r="AL21" s="90">
        <f t="shared" si="4"/>
        <v>22639.166291895617</v>
      </c>
      <c r="AM21" s="90">
        <f t="shared" si="4"/>
        <v>23485.10587181781</v>
      </c>
      <c r="AN21" s="90">
        <f t="shared" si="4"/>
        <v>24447.95079246071</v>
      </c>
      <c r="AO21" s="90">
        <f t="shared" si="4"/>
        <v>25445.515297314771</v>
      </c>
      <c r="AP21" s="90">
        <f t="shared" si="4"/>
        <v>26488.371909726175</v>
      </c>
    </row>
    <row r="22" spans="2:42" ht="9" customHeight="1"/>
    <row r="23" spans="2:42">
      <c r="B23" t="s">
        <v>85</v>
      </c>
    </row>
    <row r="24" spans="2:42">
      <c r="B24" t="s">
        <v>86</v>
      </c>
    </row>
    <row r="25" spans="2:42">
      <c r="B25" t="s">
        <v>88</v>
      </c>
      <c r="C25">
        <v>74.061999999999998</v>
      </c>
      <c r="D25">
        <v>83.034000000000006</v>
      </c>
      <c r="E25">
        <v>92.149000000000001</v>
      </c>
      <c r="F25">
        <v>110.98699999999999</v>
      </c>
      <c r="G25">
        <v>82.262</v>
      </c>
      <c r="H25">
        <v>77.045000000000002</v>
      </c>
      <c r="I25">
        <v>92.528000000000006</v>
      </c>
      <c r="J25">
        <v>87.61</v>
      </c>
      <c r="K25">
        <v>100.703</v>
      </c>
      <c r="L25">
        <v>101.45099999999999</v>
      </c>
      <c r="M25">
        <v>107.786</v>
      </c>
      <c r="N25">
        <v>155.13900000000001</v>
      </c>
      <c r="O25" s="12">
        <v>127.839</v>
      </c>
      <c r="P25">
        <v>127.5</v>
      </c>
      <c r="Q25">
        <v>127.9</v>
      </c>
      <c r="R25">
        <v>195</v>
      </c>
      <c r="S25">
        <v>173.6</v>
      </c>
      <c r="T25">
        <v>198</v>
      </c>
      <c r="U25">
        <v>126.9</v>
      </c>
      <c r="V25" s="12">
        <f>V56*'Income Statement'!V$8</f>
        <v>146.15792999999996</v>
      </c>
      <c r="W25" s="12">
        <f>W56*'Income Statement'!W$8</f>
        <v>152.73184382999997</v>
      </c>
      <c r="X25" s="12">
        <f>X56*'Income Statement'!X$8</f>
        <v>159.80158820276998</v>
      </c>
      <c r="Y25" s="12">
        <f>Y56*'Income Statement'!Y$8</f>
        <v>167.39063367925738</v>
      </c>
      <c r="Z25" s="12">
        <f>Z56*'Income Statement'!Z$8</f>
        <v>175.52415170274088</v>
      </c>
      <c r="AA25" s="12">
        <f>AA56*'Income Statement'!AA$8</f>
        <v>182.78306614428561</v>
      </c>
      <c r="AB25" s="12">
        <f>AB56*'Income Statement'!AB$8</f>
        <v>190.48461780766914</v>
      </c>
      <c r="AC25" s="12">
        <f>AC56*'Income Statement'!AC$8</f>
        <v>198.64668610001439</v>
      </c>
      <c r="AD25" s="12">
        <f>AD56*'Income Statement'!AD$8</f>
        <v>207.28827577302795</v>
      </c>
      <c r="AE25" s="12">
        <f>AE56*'Income Statement'!AE$8</f>
        <v>216.42956030891011</v>
      </c>
      <c r="AF25" s="12">
        <f>AF56*'Income Statement'!AF$8</f>
        <v>226.09192821151015</v>
      </c>
      <c r="AG25" s="12">
        <f>AG56*'Income Statement'!AG$8</f>
        <v>236.29803230475775</v>
      </c>
      <c r="AH25" s="12">
        <f>AH56*'Income Statement'!AH$8</f>
        <v>247.07184214811826</v>
      </c>
      <c r="AI25" s="12">
        <f>AI56*'Income Statement'!AI$8</f>
        <v>258.43869968675381</v>
      </c>
      <c r="AJ25" s="12">
        <f>AJ56*'Income Statement'!AJ$8</f>
        <v>270.42537826225697</v>
      </c>
      <c r="AK25" s="12">
        <f>AK56*'Income Statement'!AK$8</f>
        <v>283.06014511826936</v>
      </c>
      <c r="AL25" s="12">
        <f>AL56*'Income Statement'!AL$8</f>
        <v>296.37282754403941</v>
      </c>
      <c r="AM25" s="12">
        <f>AM56*'Income Statement'!AM$8</f>
        <v>310.39488280802004</v>
      </c>
      <c r="AN25" s="12">
        <f>AN56*'Income Statement'!AN$8</f>
        <v>325.15947204299641</v>
      </c>
      <c r="AO25" s="12">
        <f>AO56*'Income Statement'!AO$8</f>
        <v>340.70153825397921</v>
      </c>
      <c r="AP25" s="12">
        <f>AP56*'Income Statement'!AP$8</f>
        <v>357.05788863022678</v>
      </c>
    </row>
    <row r="26" spans="2:42">
      <c r="B26" t="s">
        <v>168</v>
      </c>
      <c r="C26">
        <v>411.23099999999999</v>
      </c>
      <c r="D26">
        <v>479.12</v>
      </c>
      <c r="E26">
        <v>504.24</v>
      </c>
      <c r="F26">
        <v>604.495</v>
      </c>
      <c r="G26">
        <v>532.745</v>
      </c>
      <c r="H26">
        <v>1069.0719999999999</v>
      </c>
      <c r="I26">
        <v>1173.7829999999999</v>
      </c>
      <c r="J26">
        <v>1116.912</v>
      </c>
      <c r="K26">
        <v>1258.271</v>
      </c>
      <c r="L26">
        <v>1545.4069999999999</v>
      </c>
      <c r="M26">
        <v>1703.6990000000001</v>
      </c>
      <c r="N26">
        <v>1404.971</v>
      </c>
      <c r="O26" s="12">
        <v>1532.037</v>
      </c>
      <c r="P26">
        <v>1482.6</v>
      </c>
      <c r="Q26">
        <v>1585</v>
      </c>
      <c r="R26">
        <v>1678.6</v>
      </c>
      <c r="S26">
        <v>1720.5</v>
      </c>
      <c r="T26">
        <v>2119.5</v>
      </c>
      <c r="U26">
        <v>2264.4</v>
      </c>
      <c r="V26" s="12"/>
    </row>
    <row r="27" spans="2:42">
      <c r="B27" t="s">
        <v>89</v>
      </c>
      <c r="C27">
        <f>16.919+268.446+56.654</f>
        <v>342.01900000000001</v>
      </c>
      <c r="D27">
        <f>15.06+290.457+59.629</f>
        <v>365.14600000000002</v>
      </c>
      <c r="E27">
        <f>11.511+324.251+60.357</f>
        <v>396.11900000000003</v>
      </c>
      <c r="F27">
        <f>9.817+354.404+40.589</f>
        <v>404.81</v>
      </c>
      <c r="G27">
        <f>382.703+108.758</f>
        <v>491.46099999999996</v>
      </c>
      <c r="H27">
        <v>113.10299999999999</v>
      </c>
      <c r="I27">
        <v>122.583</v>
      </c>
      <c r="J27">
        <v>130.30500000000001</v>
      </c>
      <c r="K27">
        <v>179.77600000000001</v>
      </c>
      <c r="L27">
        <v>151.78200000000001</v>
      </c>
      <c r="M27">
        <v>192.541</v>
      </c>
      <c r="N27">
        <v>317.423</v>
      </c>
      <c r="O27" s="12">
        <v>284.17399999999998</v>
      </c>
      <c r="P27">
        <v>226.4</v>
      </c>
      <c r="Q27">
        <v>201.3</v>
      </c>
      <c r="R27">
        <v>268.39999999999998</v>
      </c>
      <c r="S27">
        <v>286.10000000000002</v>
      </c>
      <c r="T27">
        <v>238.7</v>
      </c>
      <c r="U27">
        <v>218</v>
      </c>
    </row>
    <row r="28" spans="2:42" ht="17" thickBot="1">
      <c r="B28" s="9" t="s">
        <v>91</v>
      </c>
      <c r="C28">
        <f t="shared" ref="C28:U28" si="5">SUM(C25:C27)</f>
        <v>827.31200000000001</v>
      </c>
      <c r="D28">
        <f t="shared" si="5"/>
        <v>927.3</v>
      </c>
      <c r="E28">
        <f t="shared" si="5"/>
        <v>992.50800000000004</v>
      </c>
      <c r="F28">
        <f t="shared" si="5"/>
        <v>1120.2919999999999</v>
      </c>
      <c r="G28">
        <f t="shared" si="5"/>
        <v>1106.4680000000001</v>
      </c>
      <c r="H28">
        <f t="shared" si="5"/>
        <v>1259.22</v>
      </c>
      <c r="I28">
        <f t="shared" si="5"/>
        <v>1388.894</v>
      </c>
      <c r="J28">
        <f t="shared" si="5"/>
        <v>1334.827</v>
      </c>
      <c r="K28">
        <f t="shared" si="5"/>
        <v>1538.75</v>
      </c>
      <c r="L28">
        <f t="shared" si="5"/>
        <v>1798.6399999999999</v>
      </c>
      <c r="M28">
        <f t="shared" si="5"/>
        <v>2004.0260000000001</v>
      </c>
      <c r="N28">
        <f t="shared" si="5"/>
        <v>1877.5330000000001</v>
      </c>
      <c r="O28" s="12">
        <f t="shared" si="5"/>
        <v>1944.05</v>
      </c>
      <c r="P28">
        <f t="shared" si="5"/>
        <v>1836.5</v>
      </c>
      <c r="Q28">
        <f t="shared" si="5"/>
        <v>1914.2</v>
      </c>
      <c r="R28">
        <f t="shared" si="5"/>
        <v>2142</v>
      </c>
      <c r="S28">
        <f t="shared" si="5"/>
        <v>2180.1999999999998</v>
      </c>
      <c r="T28">
        <f t="shared" si="5"/>
        <v>2556.1999999999998</v>
      </c>
      <c r="U28">
        <f t="shared" si="5"/>
        <v>2609.3000000000002</v>
      </c>
      <c r="V28" s="12">
        <f>V57*'Income Statement'!V$8</f>
        <v>267.95620499999995</v>
      </c>
    </row>
    <row r="29" spans="2:42">
      <c r="B29" t="s">
        <v>169</v>
      </c>
      <c r="C29">
        <v>16.911000000000001</v>
      </c>
      <c r="D29">
        <v>15.03</v>
      </c>
      <c r="E29">
        <v>561.38900000000001</v>
      </c>
      <c r="F29">
        <v>19.658000000000001</v>
      </c>
      <c r="G29">
        <v>560.38099999999997</v>
      </c>
      <c r="H29">
        <v>551.53</v>
      </c>
      <c r="I29">
        <v>541.56100000000004</v>
      </c>
      <c r="J29">
        <v>538.57600000000002</v>
      </c>
      <c r="K29">
        <v>532.952</v>
      </c>
      <c r="L29">
        <v>522.06700000000001</v>
      </c>
      <c r="M29">
        <v>546.51400000000001</v>
      </c>
      <c r="N29">
        <v>539.04200000000003</v>
      </c>
      <c r="O29">
        <v>530.29999999999995</v>
      </c>
      <c r="P29">
        <v>525</v>
      </c>
      <c r="Q29">
        <v>513.20000000000005</v>
      </c>
      <c r="R29">
        <v>509.8</v>
      </c>
      <c r="S29">
        <v>495.5</v>
      </c>
      <c r="T29">
        <v>482.3</v>
      </c>
      <c r="U29">
        <v>442.3</v>
      </c>
    </row>
    <row r="30" spans="2:42">
      <c r="B30" t="s">
        <v>170</v>
      </c>
      <c r="C30">
        <v>9.6359999999999992</v>
      </c>
      <c r="D30">
        <v>562.64499999999998</v>
      </c>
      <c r="E30">
        <v>0</v>
      </c>
      <c r="F30">
        <v>0</v>
      </c>
      <c r="G30">
        <v>63.484000000000002</v>
      </c>
      <c r="H30">
        <v>60.433</v>
      </c>
      <c r="I30">
        <v>62.978000000000002</v>
      </c>
      <c r="J30">
        <v>0</v>
      </c>
      <c r="K30">
        <v>0</v>
      </c>
      <c r="L30">
        <v>0</v>
      </c>
      <c r="M30">
        <v>0</v>
      </c>
      <c r="N30">
        <v>350.46300000000002</v>
      </c>
      <c r="O30" s="12">
        <v>368.46699999999998</v>
      </c>
      <c r="P30">
        <v>369</v>
      </c>
      <c r="Q30">
        <v>363.5</v>
      </c>
      <c r="R30">
        <v>377.4</v>
      </c>
      <c r="S30">
        <v>377</v>
      </c>
      <c r="T30">
        <v>365</v>
      </c>
      <c r="U30">
        <v>382.3</v>
      </c>
    </row>
    <row r="31" spans="2:42">
      <c r="B31" t="s">
        <v>171</v>
      </c>
      <c r="C31">
        <v>0</v>
      </c>
      <c r="D31">
        <v>0</v>
      </c>
      <c r="E31">
        <v>0</v>
      </c>
      <c r="F31">
        <v>0</v>
      </c>
      <c r="G31">
        <v>0</v>
      </c>
      <c r="H31">
        <v>0</v>
      </c>
      <c r="I31">
        <v>175</v>
      </c>
      <c r="J31">
        <v>176.5</v>
      </c>
      <c r="K31">
        <v>178.1</v>
      </c>
      <c r="L31">
        <v>187.3</v>
      </c>
      <c r="M31">
        <v>189.1</v>
      </c>
      <c r="N31">
        <v>189.6</v>
      </c>
      <c r="O31" s="12">
        <v>185.7</v>
      </c>
      <c r="P31">
        <v>187</v>
      </c>
      <c r="Q31">
        <v>188.5</v>
      </c>
      <c r="R31">
        <v>186.5</v>
      </c>
      <c r="S31">
        <v>179</v>
      </c>
      <c r="T31">
        <v>129.80000000000001</v>
      </c>
      <c r="U31">
        <v>127.2</v>
      </c>
    </row>
    <row r="32" spans="2:42" ht="17" thickBot="1">
      <c r="B32" s="9" t="s">
        <v>93</v>
      </c>
      <c r="C32">
        <f>561.295+79.537+27.462</f>
        <v>668.29399999999998</v>
      </c>
      <c r="D32">
        <f>9.335+80.602+25.591</f>
        <v>115.52800000000002</v>
      </c>
      <c r="E32">
        <f>15.141+9.414+81.61+26.297</f>
        <v>132.46199999999999</v>
      </c>
      <c r="F32">
        <f>561.892+82.573+26.28</f>
        <v>670.745</v>
      </c>
      <c r="G32">
        <f>5.997+83.471</f>
        <v>89.468000000000004</v>
      </c>
      <c r="H32">
        <f>84.309+8.014</f>
        <v>92.322999999999993</v>
      </c>
      <c r="I32">
        <f>7.642+85.084</f>
        <v>92.725999999999999</v>
      </c>
      <c r="J32">
        <v>183.31800000000001</v>
      </c>
      <c r="K32">
        <v>181.745</v>
      </c>
      <c r="L32">
        <v>189.11799999999999</v>
      </c>
      <c r="M32">
        <v>428.52</v>
      </c>
      <c r="N32">
        <v>108.355</v>
      </c>
      <c r="O32" s="12">
        <v>106.258</v>
      </c>
      <c r="P32">
        <v>108</v>
      </c>
      <c r="Q32">
        <v>108.5</v>
      </c>
      <c r="R32">
        <v>116.8</v>
      </c>
      <c r="S32">
        <v>117.4</v>
      </c>
      <c r="T32">
        <v>115.4</v>
      </c>
      <c r="U32">
        <v>115.7</v>
      </c>
    </row>
    <row r="33" spans="2:42" ht="17" thickBot="1">
      <c r="B33" s="19" t="s">
        <v>94</v>
      </c>
      <c r="C33" s="19">
        <f t="shared" ref="C33:U33" si="6">SUM(C28:C32)</f>
        <v>1522.1529999999998</v>
      </c>
      <c r="D33" s="19">
        <f>SUM(D28:D32)</f>
        <v>1620.5029999999999</v>
      </c>
      <c r="E33" s="19">
        <f>SUM(E28:E32)</f>
        <v>1686.3589999999999</v>
      </c>
      <c r="F33" s="19">
        <f>SUM(F28:F32)</f>
        <v>1810.6949999999997</v>
      </c>
      <c r="G33" s="19">
        <f t="shared" si="6"/>
        <v>1819.8010000000002</v>
      </c>
      <c r="H33" s="19">
        <f t="shared" si="6"/>
        <v>1963.5060000000001</v>
      </c>
      <c r="I33" s="19">
        <f t="shared" si="6"/>
        <v>2261.1590000000001</v>
      </c>
      <c r="J33" s="19">
        <f t="shared" si="6"/>
        <v>2233.2210000000005</v>
      </c>
      <c r="K33" s="19">
        <f t="shared" si="6"/>
        <v>2431.547</v>
      </c>
      <c r="L33" s="19">
        <f t="shared" si="6"/>
        <v>2697.125</v>
      </c>
      <c r="M33" s="19">
        <f t="shared" si="6"/>
        <v>3168.16</v>
      </c>
      <c r="N33" s="19">
        <f t="shared" si="6"/>
        <v>3064.9930000000004</v>
      </c>
      <c r="O33" s="57">
        <f t="shared" si="6"/>
        <v>3134.7749999999996</v>
      </c>
      <c r="P33" s="19">
        <f t="shared" si="6"/>
        <v>3025.5</v>
      </c>
      <c r="Q33" s="19">
        <f t="shared" si="6"/>
        <v>3087.9</v>
      </c>
      <c r="R33" s="19">
        <f t="shared" si="6"/>
        <v>3332.5000000000005</v>
      </c>
      <c r="S33" s="19">
        <f t="shared" si="6"/>
        <v>3349.1</v>
      </c>
      <c r="T33" s="19">
        <f t="shared" si="6"/>
        <v>3648.7000000000003</v>
      </c>
      <c r="U33" s="19">
        <f t="shared" si="6"/>
        <v>3676.8</v>
      </c>
    </row>
    <row r="34" spans="2:42" ht="7" customHeight="1"/>
    <row r="35" spans="2:42">
      <c r="B35" t="s">
        <v>95</v>
      </c>
    </row>
    <row r="36" spans="2:42">
      <c r="B36" t="s">
        <v>172</v>
      </c>
      <c r="C36">
        <v>2.5409999999999999</v>
      </c>
      <c r="D36">
        <v>2.5419999999999998</v>
      </c>
      <c r="E36">
        <v>2.5510000000000002</v>
      </c>
      <c r="F36">
        <v>2.5459999999999998</v>
      </c>
      <c r="G36">
        <v>2.5609999999999999</v>
      </c>
      <c r="H36">
        <v>2.5649999999999999</v>
      </c>
      <c r="I36">
        <v>2.5710000000000002</v>
      </c>
      <c r="J36">
        <v>2.589</v>
      </c>
      <c r="K36">
        <v>2.5910000000000002</v>
      </c>
      <c r="L36">
        <v>2.601</v>
      </c>
      <c r="M36" s="29">
        <v>2.601</v>
      </c>
      <c r="N36" s="29">
        <v>2.5990000000000002</v>
      </c>
      <c r="O36">
        <v>2.6</v>
      </c>
      <c r="P36">
        <v>2.6</v>
      </c>
      <c r="Q36">
        <v>2.6</v>
      </c>
      <c r="R36">
        <v>2.5</v>
      </c>
      <c r="S36">
        <v>2.6</v>
      </c>
      <c r="T36">
        <v>2.6</v>
      </c>
      <c r="U36">
        <v>2.6</v>
      </c>
      <c r="V36">
        <v>2.6</v>
      </c>
      <c r="W36">
        <v>2.6</v>
      </c>
      <c r="X36">
        <v>2.6</v>
      </c>
      <c r="Y36">
        <v>2.6</v>
      </c>
      <c r="Z36">
        <v>2.6</v>
      </c>
      <c r="AA36">
        <v>2.6</v>
      </c>
      <c r="AB36">
        <v>2.6</v>
      </c>
      <c r="AC36">
        <v>2.6</v>
      </c>
      <c r="AD36">
        <v>2.6</v>
      </c>
      <c r="AE36">
        <v>2.6</v>
      </c>
      <c r="AF36">
        <v>2.6</v>
      </c>
      <c r="AG36">
        <v>2.6</v>
      </c>
      <c r="AH36">
        <v>2.6</v>
      </c>
      <c r="AI36">
        <v>2.6</v>
      </c>
      <c r="AJ36">
        <v>2.6</v>
      </c>
      <c r="AK36">
        <v>2.6</v>
      </c>
      <c r="AL36">
        <v>2.6</v>
      </c>
      <c r="AM36">
        <v>2.6</v>
      </c>
      <c r="AN36">
        <v>2.6</v>
      </c>
      <c r="AO36">
        <v>2.6</v>
      </c>
      <c r="AP36">
        <v>2.6</v>
      </c>
    </row>
    <row r="37" spans="2:42">
      <c r="B37" t="s">
        <v>96</v>
      </c>
      <c r="C37">
        <v>7314.3689999999997</v>
      </c>
      <c r="D37">
        <v>7357.0420000000004</v>
      </c>
      <c r="E37">
        <v>7443.2629999999999</v>
      </c>
      <c r="F37">
        <v>7421.4759999999997</v>
      </c>
      <c r="G37">
        <v>7475.9089999999997</v>
      </c>
      <c r="H37">
        <v>7564.3310000000001</v>
      </c>
      <c r="I37">
        <v>7668.1880000000001</v>
      </c>
      <c r="J37">
        <v>7937.6059999999998</v>
      </c>
      <c r="K37">
        <v>7695.9049999999997</v>
      </c>
      <c r="L37">
        <v>7943.7169999999996</v>
      </c>
      <c r="M37">
        <v>7917.375</v>
      </c>
      <c r="N37">
        <v>7894.027</v>
      </c>
      <c r="O37" s="12">
        <v>7499.1610000000001</v>
      </c>
      <c r="P37">
        <v>7640.2</v>
      </c>
      <c r="Q37">
        <v>7086</v>
      </c>
      <c r="R37">
        <v>6880.8</v>
      </c>
      <c r="S37">
        <v>6930.2</v>
      </c>
      <c r="T37">
        <v>7100</v>
      </c>
      <c r="U37">
        <v>7225.5</v>
      </c>
    </row>
    <row r="38" spans="2:42">
      <c r="B38" t="s">
        <v>97</v>
      </c>
      <c r="C38">
        <v>-4876.1109999999999</v>
      </c>
      <c r="D38">
        <v>-4.6050000000000004</v>
      </c>
      <c r="E38">
        <v>-4540.0050000000001</v>
      </c>
      <c r="F38">
        <v>0.65900000000000003</v>
      </c>
      <c r="G38">
        <v>6</v>
      </c>
      <c r="H38">
        <v>-3.2010000000000001</v>
      </c>
      <c r="I38">
        <v>18.847000000000001</v>
      </c>
      <c r="J38">
        <v>-1.9730000000000001</v>
      </c>
      <c r="K38">
        <v>13.382999999999999</v>
      </c>
      <c r="L38">
        <v>-14.121</v>
      </c>
      <c r="M38">
        <v>254.47900000000001</v>
      </c>
      <c r="N38">
        <v>-68.48</v>
      </c>
      <c r="O38" s="12">
        <v>1511.807</v>
      </c>
      <c r="P38" s="29">
        <v>1578.731</v>
      </c>
      <c r="Q38">
        <v>2430.6999999999998</v>
      </c>
      <c r="R38">
        <v>3200.8</v>
      </c>
      <c r="S38">
        <v>3962.9</v>
      </c>
      <c r="T38">
        <v>4773.3999999999996</v>
      </c>
      <c r="U38">
        <v>5703.9</v>
      </c>
    </row>
    <row r="39" spans="2:42">
      <c r="B39" t="s">
        <v>98</v>
      </c>
      <c r="C39">
        <v>-39.743000000000002</v>
      </c>
      <c r="D39">
        <v>-4668.7510000000002</v>
      </c>
      <c r="E39">
        <v>0.307</v>
      </c>
      <c r="F39">
        <v>-2989.4780000000001</v>
      </c>
      <c r="G39">
        <v>-2761.1570000000002</v>
      </c>
      <c r="H39">
        <v>-2493.73</v>
      </c>
      <c r="I39">
        <v>-2436.212</v>
      </c>
      <c r="J39">
        <v>-1852.9780000000001</v>
      </c>
      <c r="K39">
        <v>-1250.2249999999999</v>
      </c>
      <c r="L39">
        <v>-412.95499999999998</v>
      </c>
      <c r="M39">
        <v>-40.981999999999999</v>
      </c>
      <c r="N39" s="12">
        <v>858.66899999999998</v>
      </c>
      <c r="O39" s="12">
        <v>-33.302</v>
      </c>
      <c r="P39" s="12">
        <v>-25.158999999999999</v>
      </c>
      <c r="Q39">
        <v>11.5</v>
      </c>
      <c r="R39">
        <v>15.9</v>
      </c>
      <c r="S39">
        <v>11.3</v>
      </c>
      <c r="T39">
        <v>57.5</v>
      </c>
      <c r="U39">
        <v>97.6</v>
      </c>
    </row>
    <row r="40" spans="2:42" ht="17" thickBot="1">
      <c r="B40" s="9"/>
    </row>
    <row r="41" spans="2:42">
      <c r="B41" t="s">
        <v>99</v>
      </c>
      <c r="C41">
        <v>0</v>
      </c>
      <c r="D41">
        <v>0</v>
      </c>
      <c r="E41">
        <v>0</v>
      </c>
      <c r="F41">
        <v>0</v>
      </c>
      <c r="G41">
        <v>0</v>
      </c>
      <c r="H41">
        <v>0</v>
      </c>
      <c r="I41">
        <v>0</v>
      </c>
      <c r="J41">
        <v>0</v>
      </c>
      <c r="K41">
        <v>0</v>
      </c>
      <c r="L41">
        <v>0</v>
      </c>
      <c r="M41" s="12">
        <v>0</v>
      </c>
      <c r="N41" s="12">
        <v>0</v>
      </c>
      <c r="O41" s="12">
        <v>0</v>
      </c>
      <c r="P41">
        <v>0</v>
      </c>
      <c r="Q41">
        <v>0</v>
      </c>
      <c r="R41">
        <v>0</v>
      </c>
      <c r="S41">
        <v>0</v>
      </c>
      <c r="T41">
        <v>0</v>
      </c>
      <c r="U41">
        <v>0</v>
      </c>
    </row>
    <row r="42" spans="2:42" ht="17" thickBot="1">
      <c r="B42" s="9" t="s">
        <v>100</v>
      </c>
      <c r="C42">
        <f>SUM(C35:C39,C41)+29.765</f>
        <v>2430.8209999999999</v>
      </c>
      <c r="D42">
        <f>SUM(D35:D39,D41)+28.655</f>
        <v>2714.8830000000012</v>
      </c>
      <c r="E42">
        <f>SUM(E35:E39,E41)+28.365</f>
        <v>2934.4809999999998</v>
      </c>
      <c r="F42">
        <f t="shared" ref="F42:N42" si="7">SUM(F35:F39,F41)</f>
        <v>4435.2029999999995</v>
      </c>
      <c r="G42">
        <f t="shared" si="7"/>
        <v>4723.3129999999992</v>
      </c>
      <c r="H42">
        <f t="shared" si="7"/>
        <v>5069.9650000000001</v>
      </c>
      <c r="I42">
        <f t="shared" si="7"/>
        <v>5253.3940000000002</v>
      </c>
      <c r="J42">
        <f t="shared" si="7"/>
        <v>6085.2439999999997</v>
      </c>
      <c r="K42">
        <f t="shared" si="7"/>
        <v>6461.6540000000005</v>
      </c>
      <c r="L42">
        <f t="shared" si="7"/>
        <v>7519.2419999999993</v>
      </c>
      <c r="M42" s="29">
        <f>SUM(M36:M39,M41)</f>
        <v>8133.473</v>
      </c>
      <c r="N42">
        <f t="shared" si="7"/>
        <v>8686.8150000000005</v>
      </c>
      <c r="O42" s="12">
        <f t="shared" ref="O42:U42" si="8">SUM(O35:O39,O41)</f>
        <v>8980.2660000000014</v>
      </c>
      <c r="P42" s="12">
        <f t="shared" si="8"/>
        <v>9196.3720000000012</v>
      </c>
      <c r="Q42" s="12">
        <f t="shared" si="8"/>
        <v>9530.7999999999993</v>
      </c>
      <c r="R42" s="12">
        <f t="shared" si="8"/>
        <v>10100</v>
      </c>
      <c r="S42" s="12">
        <f t="shared" si="8"/>
        <v>10907</v>
      </c>
      <c r="T42" s="12">
        <f t="shared" si="8"/>
        <v>11933.5</v>
      </c>
      <c r="U42" s="12">
        <f t="shared" si="8"/>
        <v>13029.6</v>
      </c>
    </row>
    <row r="43" spans="2:42" ht="17" thickBot="1">
      <c r="B43" s="18" t="s">
        <v>101</v>
      </c>
      <c r="C43" s="18">
        <f t="shared" ref="C43:Q43" si="9">SUM(C42,C33)</f>
        <v>3952.9739999999997</v>
      </c>
      <c r="D43" s="18">
        <f t="shared" si="9"/>
        <v>4335.3860000000013</v>
      </c>
      <c r="E43" s="18">
        <f t="shared" si="9"/>
        <v>4620.84</v>
      </c>
      <c r="F43" s="18">
        <f>SUM(F42,F33)</f>
        <v>6245.8979999999992</v>
      </c>
      <c r="G43" s="18">
        <f>SUM(G42,G33)</f>
        <v>6543.1139999999996</v>
      </c>
      <c r="H43" s="18">
        <f t="shared" si="9"/>
        <v>7033.4710000000005</v>
      </c>
      <c r="I43" s="18">
        <f t="shared" si="9"/>
        <v>7514.5529999999999</v>
      </c>
      <c r="J43" s="18">
        <f t="shared" si="9"/>
        <v>8318.4650000000001</v>
      </c>
      <c r="K43" s="18">
        <f t="shared" si="9"/>
        <v>8893.2010000000009</v>
      </c>
      <c r="L43" s="18">
        <f t="shared" si="9"/>
        <v>10216.366999999998</v>
      </c>
      <c r="M43" s="18">
        <f t="shared" si="9"/>
        <v>11301.633</v>
      </c>
      <c r="N43" s="18">
        <f t="shared" si="9"/>
        <v>11751.808000000001</v>
      </c>
      <c r="O43" s="56">
        <f t="shared" si="9"/>
        <v>12115.041000000001</v>
      </c>
      <c r="P43" s="56">
        <f t="shared" si="9"/>
        <v>12221.872000000001</v>
      </c>
      <c r="Q43" s="56">
        <f t="shared" si="9"/>
        <v>12618.699999999999</v>
      </c>
      <c r="R43" s="56">
        <f>SUM(R42,R33)</f>
        <v>13432.5</v>
      </c>
      <c r="S43" s="56">
        <f>SUM(S42,S33)</f>
        <v>14256.1</v>
      </c>
      <c r="T43" s="56">
        <f>SUM(T42,T33)</f>
        <v>15582.2</v>
      </c>
      <c r="U43" s="56">
        <f>SUM(U42,U33)</f>
        <v>16706.400000000001</v>
      </c>
    </row>
    <row r="44" spans="2:42">
      <c r="B44" t="s">
        <v>173</v>
      </c>
      <c r="C44">
        <f t="shared" ref="C44:U44" si="10">C43-C21</f>
        <v>0</v>
      </c>
      <c r="D44">
        <f t="shared" si="10"/>
        <v>0</v>
      </c>
      <c r="E44">
        <f t="shared" si="10"/>
        <v>0</v>
      </c>
      <c r="F44">
        <f t="shared" si="10"/>
        <v>0</v>
      </c>
      <c r="G44">
        <f t="shared" si="10"/>
        <v>0</v>
      </c>
      <c r="H44">
        <f t="shared" si="10"/>
        <v>0</v>
      </c>
      <c r="I44">
        <f t="shared" si="10"/>
        <v>0</v>
      </c>
      <c r="J44">
        <f t="shared" si="10"/>
        <v>0</v>
      </c>
      <c r="K44">
        <f t="shared" si="10"/>
        <v>0</v>
      </c>
      <c r="L44">
        <f t="shared" si="10"/>
        <v>0</v>
      </c>
      <c r="M44">
        <f t="shared" si="10"/>
        <v>0</v>
      </c>
      <c r="N44">
        <f t="shared" si="10"/>
        <v>0</v>
      </c>
      <c r="O44">
        <f t="shared" si="10"/>
        <v>0</v>
      </c>
      <c r="P44">
        <f t="shared" si="10"/>
        <v>0</v>
      </c>
      <c r="Q44">
        <f t="shared" si="10"/>
        <v>0</v>
      </c>
      <c r="R44">
        <f t="shared" si="10"/>
        <v>0</v>
      </c>
      <c r="S44">
        <f t="shared" si="10"/>
        <v>0</v>
      </c>
      <c r="T44">
        <f t="shared" si="10"/>
        <v>0</v>
      </c>
      <c r="U44">
        <f t="shared" si="10"/>
        <v>0</v>
      </c>
    </row>
    <row r="46" spans="2:42">
      <c r="B46" t="s">
        <v>74</v>
      </c>
    </row>
    <row r="47" spans="2:42">
      <c r="B47" s="64" t="s">
        <v>75</v>
      </c>
      <c r="C47" s="64">
        <f>C10/'Income Statement'!C8</f>
        <v>0.75081889953011782</v>
      </c>
      <c r="D47" s="64">
        <f>D10/'Income Statement'!D8</f>
        <v>0.82748149654925762</v>
      </c>
      <c r="E47" s="64">
        <f>E10/'Income Statement'!E8</f>
        <v>0.73621062157838724</v>
      </c>
      <c r="F47" s="64">
        <f>F10/'Income Statement'!F8</f>
        <v>0.59047347697006636</v>
      </c>
      <c r="G47" s="64">
        <f>G10/'Income Statement'!G8</f>
        <v>0.68048250595560522</v>
      </c>
      <c r="H47" s="64">
        <f>H10/'Income Statement'!H8</f>
        <v>0.69748526760530472</v>
      </c>
      <c r="I47" s="64">
        <f>I10/'Income Statement'!I8</f>
        <v>0.62999827337159986</v>
      </c>
      <c r="J47" s="64">
        <f>J10/'Income Statement'!J8</f>
        <v>0.49457957283312048</v>
      </c>
      <c r="K47" s="64">
        <f>K10/'Income Statement'!K8</f>
        <v>0.39402101633746006</v>
      </c>
      <c r="L47" s="64">
        <f>L10/'Income Statement'!L8</f>
        <v>0.40632541481221529</v>
      </c>
      <c r="M47" s="64">
        <f>M10/'Income Statement'!M8</f>
        <v>0.51549499405501376</v>
      </c>
      <c r="N47" s="64">
        <f>N10/'Income Statement'!N8</f>
        <v>0.41202958558071534</v>
      </c>
      <c r="O47" s="64">
        <f>O10/'Income Statement'!O8</f>
        <v>0.35918106948149864</v>
      </c>
      <c r="P47" s="64">
        <f>P10/'Income Statement'!P8</f>
        <v>0.35911448168181564</v>
      </c>
      <c r="Q47" s="64">
        <f>Q10/'Income Statement'!Q8</f>
        <v>0.34532809192621711</v>
      </c>
      <c r="R47" s="64">
        <f>R10/'Income Statement'!R8</f>
        <v>0.35197955345517673</v>
      </c>
      <c r="S47" s="64">
        <f>S10/'Income Statement'!S8</f>
        <v>0.30417163289630511</v>
      </c>
      <c r="T47" s="64">
        <f>T10/'Income Statement'!T8</f>
        <v>0.25097896366451145</v>
      </c>
      <c r="U47" s="64">
        <f>U10/'Income Statement'!U8</f>
        <v>0.25669365548558459</v>
      </c>
      <c r="V47" s="25">
        <v>0.27</v>
      </c>
      <c r="W47" s="25">
        <v>0.27</v>
      </c>
      <c r="X47" s="25">
        <v>0.27</v>
      </c>
      <c r="Y47" s="25">
        <v>0.27</v>
      </c>
      <c r="Z47" s="25">
        <v>0.27</v>
      </c>
      <c r="AA47" s="25">
        <v>0.27</v>
      </c>
      <c r="AB47" s="25">
        <v>0.27</v>
      </c>
      <c r="AC47" s="25">
        <v>0.27</v>
      </c>
      <c r="AD47" s="25">
        <v>0.27</v>
      </c>
      <c r="AE47" s="25">
        <v>0.27</v>
      </c>
      <c r="AF47" s="25">
        <v>0.27</v>
      </c>
      <c r="AG47" s="25">
        <v>0.27</v>
      </c>
      <c r="AH47" s="25">
        <v>0.27</v>
      </c>
      <c r="AI47" s="25">
        <v>0.27</v>
      </c>
      <c r="AJ47" s="25">
        <v>0.27</v>
      </c>
      <c r="AK47" s="25">
        <v>0.27</v>
      </c>
      <c r="AL47" s="25">
        <v>0.27</v>
      </c>
      <c r="AM47" s="25">
        <v>0.27</v>
      </c>
      <c r="AN47" s="25">
        <v>0.27</v>
      </c>
      <c r="AO47" s="25">
        <v>0.27</v>
      </c>
      <c r="AP47" s="25">
        <v>0.27</v>
      </c>
    </row>
    <row r="48" spans="2:42">
      <c r="B48" s="64" t="s">
        <v>78</v>
      </c>
      <c r="C48" s="64">
        <f>C13/'Income Statement'!C8</f>
        <v>0.1714827894550397</v>
      </c>
      <c r="D48" s="64">
        <f>D13/'Income Statement'!D8</f>
        <v>0.16312285865849815</v>
      </c>
      <c r="E48" s="64">
        <f>E13/'Income Statement'!E8</f>
        <v>0.15127177245119722</v>
      </c>
      <c r="F48" s="64">
        <f>F13/'Income Statement'!F8</f>
        <v>0.16048755192633152</v>
      </c>
      <c r="G48" s="64">
        <f>G13/'Income Statement'!G8</f>
        <v>0.15144885751396436</v>
      </c>
      <c r="H48" s="64">
        <f>H13/'Income Statement'!H8</f>
        <v>0.16129834174906221</v>
      </c>
      <c r="I48" s="64">
        <f>I13/'Income Statement'!I8</f>
        <v>0.18439338490758328</v>
      </c>
      <c r="J48" s="64">
        <f>J13/'Income Statement'!J8</f>
        <v>0.15107923850091809</v>
      </c>
      <c r="K48" s="64">
        <f>K13/'Income Statement'!K8</f>
        <v>0.14761201684105482</v>
      </c>
      <c r="L48" s="64">
        <f>L13/'Income Statement'!L8</f>
        <v>0.15255315729574251</v>
      </c>
      <c r="M48" s="64">
        <f>M13/'Income Statement'!M8</f>
        <v>0.17553539005805871</v>
      </c>
      <c r="N48" s="64">
        <f>N13/'Income Statement'!N8</f>
        <v>0.18942696366920178</v>
      </c>
      <c r="O48" s="64">
        <f>O13/'Income Statement'!O8</f>
        <v>0.19655492402273517</v>
      </c>
      <c r="P48" s="64">
        <f>P13/'Income Statement'!P8</f>
        <v>0.2781464339485864</v>
      </c>
      <c r="Q48" s="64">
        <f>Q13/'Income Statement'!Q8</f>
        <v>0.23072270940429393</v>
      </c>
      <c r="R48" s="64">
        <f>R13/'Income Statement'!R8</f>
        <v>0.26320104161643437</v>
      </c>
      <c r="S48" s="64">
        <f>S13/'Income Statement'!S8</f>
        <v>0.23432657926102504</v>
      </c>
      <c r="T48" s="25">
        <v>0.27</v>
      </c>
      <c r="U48" s="64">
        <f>U13/'Income Statement'!U8</f>
        <v>0.3113995630381699</v>
      </c>
      <c r="V48" s="25">
        <v>0.27</v>
      </c>
      <c r="W48" s="25">
        <v>0.27</v>
      </c>
      <c r="X48" s="25">
        <v>0.27</v>
      </c>
      <c r="Y48" s="25">
        <v>0.27</v>
      </c>
      <c r="Z48" s="25">
        <v>0.27</v>
      </c>
      <c r="AA48" s="25">
        <v>0.27</v>
      </c>
      <c r="AB48" s="25">
        <v>0.27</v>
      </c>
      <c r="AC48" s="25">
        <v>0.27</v>
      </c>
      <c r="AD48" s="25">
        <v>0.27</v>
      </c>
      <c r="AE48" s="25">
        <v>0.27</v>
      </c>
      <c r="AF48" s="25">
        <v>0.27</v>
      </c>
      <c r="AG48" s="25">
        <v>0.27</v>
      </c>
      <c r="AH48" s="25">
        <v>0.27</v>
      </c>
      <c r="AI48" s="25">
        <v>0.27</v>
      </c>
      <c r="AJ48" s="25">
        <v>0.27</v>
      </c>
      <c r="AK48" s="25">
        <v>0.27</v>
      </c>
      <c r="AL48" s="25">
        <v>0.27</v>
      </c>
      <c r="AM48" s="25">
        <v>0.27</v>
      </c>
      <c r="AN48" s="25">
        <v>0.27</v>
      </c>
      <c r="AO48" s="25">
        <v>0.27</v>
      </c>
      <c r="AP48" s="25">
        <v>0.27</v>
      </c>
    </row>
    <row r="49" spans="1:62 16384:16384">
      <c r="B49" t="s">
        <v>80</v>
      </c>
      <c r="C49" s="64">
        <f>C15/'Income Statement'!C$8</f>
        <v>1.2494869686126224</v>
      </c>
      <c r="D49" s="64">
        <f>D15/'Income Statement'!D$8</f>
        <v>1.0847841607536723</v>
      </c>
      <c r="E49" s="64">
        <f>E15/'Income Statement'!E$8</f>
        <v>1.0303581102181547</v>
      </c>
      <c r="F49" s="64">
        <f>F15/'Income Statement'!F$8</f>
        <v>0.92541982688373614</v>
      </c>
      <c r="G49" s="64">
        <f>G15/'Income Statement'!G$8</f>
        <v>0.86501482348692682</v>
      </c>
      <c r="H49" s="64">
        <f>H15/'Income Statement'!H$8</f>
        <v>0.77673051855267172</v>
      </c>
      <c r="I49" s="64">
        <f>I15/'Income Statement'!I$8</f>
        <v>0.77225455556163858</v>
      </c>
      <c r="J49" s="64">
        <f>J15/'Income Statement'!J$8</f>
        <v>0.52720473513459976</v>
      </c>
      <c r="K49" s="64">
        <f>K15/'Income Statement'!K$8</f>
        <v>0.48597425792369786</v>
      </c>
      <c r="L49" s="64">
        <f>L15/'Income Statement'!L$8</f>
        <v>0.47777249366179397</v>
      </c>
      <c r="M49" s="64">
        <f>M15/'Income Statement'!M$8</f>
        <v>0.59866759498163846</v>
      </c>
      <c r="N49" s="64">
        <f>N15/'Income Statement'!N$8</f>
        <v>0.58884520401518592</v>
      </c>
      <c r="O49" s="64">
        <f>O15/'Income Statement'!O$8</f>
        <v>0.57193075049298225</v>
      </c>
      <c r="P49" s="64">
        <f>P15/'Income Statement'!P$8</f>
        <v>0.56945296380973631</v>
      </c>
      <c r="Q49" s="64">
        <f>Q15/'Income Statement'!Q$8</f>
        <v>0.52535026711017041</v>
      </c>
      <c r="R49" s="64">
        <f>R15/'Income Statement'!R$8</f>
        <v>0.52760765780971208</v>
      </c>
      <c r="S49" s="64">
        <f>S15/'Income Statement'!S$8</f>
        <v>0.52796185935637663</v>
      </c>
      <c r="T49" s="64">
        <f>T15/'Income Statement'!T$8</f>
        <v>0.5009106638739641</v>
      </c>
      <c r="U49" s="64">
        <f>U15/'Income Statement'!U$8</f>
        <v>0.47924431307029952</v>
      </c>
      <c r="V49" s="25">
        <v>0.5</v>
      </c>
      <c r="W49" s="25">
        <v>0.5</v>
      </c>
      <c r="X49" s="25">
        <v>0.5</v>
      </c>
      <c r="Y49" s="25">
        <v>0.5</v>
      </c>
      <c r="Z49" s="25">
        <v>0.5</v>
      </c>
      <c r="AA49" s="25">
        <v>0.5</v>
      </c>
      <c r="AB49" s="25">
        <v>0.5</v>
      </c>
      <c r="AC49" s="25">
        <v>0.5</v>
      </c>
      <c r="AD49" s="25">
        <v>0.5</v>
      </c>
      <c r="AE49" s="25">
        <v>0.5</v>
      </c>
      <c r="AF49" s="25">
        <v>0.5</v>
      </c>
      <c r="AG49" s="25">
        <v>0.5</v>
      </c>
      <c r="AH49" s="25">
        <v>0.5</v>
      </c>
      <c r="AI49" s="25">
        <v>0.5</v>
      </c>
      <c r="AJ49" s="25">
        <v>0.5</v>
      </c>
      <c r="AK49" s="25">
        <v>0.5</v>
      </c>
      <c r="AL49" s="25">
        <v>0.5</v>
      </c>
      <c r="AM49" s="25">
        <v>0.5</v>
      </c>
      <c r="AN49" s="25">
        <v>0.5</v>
      </c>
      <c r="AO49" s="25">
        <v>0.5</v>
      </c>
      <c r="AP49" s="25">
        <v>0.5</v>
      </c>
      <c r="XFD49" s="25"/>
    </row>
    <row r="50" spans="1:62 16384:16384" s="64" customFormat="1">
      <c r="A50"/>
      <c r="B50" t="s">
        <v>81</v>
      </c>
      <c r="C50" s="64">
        <f>C16/'Income Statement'!C$8</f>
        <v>7.8626839305304771E-2</v>
      </c>
      <c r="D50" s="64">
        <f>D16/'Income Statement'!D$8</f>
        <v>6.6986014887849207E-2</v>
      </c>
      <c r="E50" s="64">
        <f>E16/'Income Statement'!E$8</f>
        <v>6.4221481514527723E-2</v>
      </c>
      <c r="F50" s="64">
        <f>F16/'Income Statement'!F$8</f>
        <v>5.7421262871177103E-2</v>
      </c>
      <c r="G50" s="64">
        <f>G16/'Income Statement'!G$8</f>
        <v>5.86928538561452E-2</v>
      </c>
      <c r="H50" s="64">
        <f>H16/'Income Statement'!H$8</f>
        <v>5.352637276597192E-2</v>
      </c>
      <c r="I50" s="64">
        <f>I16/'Income Statement'!I$8</f>
        <v>0.47116425289631386</v>
      </c>
      <c r="J50" s="64">
        <f>J16/'Income Statement'!J$8</f>
        <v>0.70910834132310652</v>
      </c>
      <c r="K50" s="64">
        <f>K16/'Income Statement'!K$8</f>
        <v>0.66144371321629447</v>
      </c>
      <c r="L50" s="64">
        <f>L16/'Income Statement'!L$8</f>
        <v>0.65737478558332818</v>
      </c>
      <c r="M50" s="64">
        <f>M16/'Income Statement'!M$8</f>
        <v>0.651483386217383</v>
      </c>
      <c r="N50" s="64">
        <f>N16/'Income Statement'!N$8</f>
        <v>0.61564423584917249</v>
      </c>
      <c r="O50" s="64">
        <f>O16/'Income Statement'!O$8</f>
        <v>0.58126423848741438</v>
      </c>
      <c r="P50" s="64">
        <f>P16/'Income Statement'!P$8</f>
        <v>0.55885797133775728</v>
      </c>
      <c r="Q50" s="64">
        <f>Q16/'Income Statement'!Q$8</f>
        <v>0.5050902126801734</v>
      </c>
      <c r="R50" s="64">
        <f>R16/'Income Statement'!R$8</f>
        <v>0.48329073636495162</v>
      </c>
      <c r="S50" s="64">
        <f>S16/'Income Statement'!S$8</f>
        <v>0.47780691299165673</v>
      </c>
      <c r="T50" s="64">
        <f>T16/'Income Statement'!T$8</f>
        <v>0.4563336672434205</v>
      </c>
      <c r="U50" s="64">
        <v>0.46</v>
      </c>
      <c r="V50" s="64">
        <v>0.46</v>
      </c>
      <c r="W50" s="64">
        <v>0.46</v>
      </c>
      <c r="X50" s="64">
        <v>0.46</v>
      </c>
      <c r="Y50" s="64">
        <v>0.46</v>
      </c>
      <c r="Z50" s="64">
        <v>0.46</v>
      </c>
      <c r="AA50" s="64">
        <v>0.46</v>
      </c>
      <c r="AB50" s="64">
        <v>0.46</v>
      </c>
      <c r="AC50" s="64">
        <v>0.46</v>
      </c>
      <c r="AD50" s="64">
        <v>0.46</v>
      </c>
      <c r="AE50" s="64">
        <v>0.46</v>
      </c>
      <c r="AF50" s="64">
        <v>0.46</v>
      </c>
      <c r="AG50" s="64">
        <v>0.46</v>
      </c>
      <c r="AH50" s="64">
        <v>0.46</v>
      </c>
      <c r="AI50" s="64">
        <v>0.46</v>
      </c>
      <c r="AJ50" s="64">
        <v>0.46</v>
      </c>
      <c r="AK50" s="64">
        <v>0.46</v>
      </c>
      <c r="AL50" s="64">
        <v>0.46</v>
      </c>
      <c r="AM50" s="64">
        <v>0.46</v>
      </c>
      <c r="AN50" s="64">
        <v>0.46</v>
      </c>
      <c r="AO50" s="64">
        <v>0.46</v>
      </c>
      <c r="AP50" s="64">
        <v>0.46</v>
      </c>
    </row>
    <row r="51" spans="1:62 16384:16384">
      <c r="A51" t="s">
        <v>174</v>
      </c>
      <c r="B51" t="s">
        <v>92</v>
      </c>
      <c r="C51" s="64">
        <f>C11/'Income Statement'!C$8</f>
        <v>0.5107592240312484</v>
      </c>
      <c r="D51" s="64">
        <f>D11/'Income Statement'!D$8</f>
        <v>0.5230809525139033</v>
      </c>
      <c r="E51" s="64">
        <f>E11/'Income Statement'!E$8</f>
        <v>0.4840510620941067</v>
      </c>
      <c r="F51" s="64">
        <f>F11/'Income Statement'!F$8</f>
        <v>0.46691017670623219</v>
      </c>
      <c r="G51" s="64">
        <f>G11/'Income Statement'!G$8</f>
        <v>0.51057680546576045</v>
      </c>
      <c r="H51" s="64">
        <f>H11/'Income Statement'!H$8</f>
        <v>0.49389509961297923</v>
      </c>
      <c r="I51" s="64">
        <f>I11/'Income Statement'!I$8</f>
        <v>0.46673187145462125</v>
      </c>
      <c r="J51" s="64">
        <f>J11/'Income Statement'!J$8</f>
        <v>0.44826554114055051</v>
      </c>
      <c r="K51" s="64">
        <f>K11/'Income Statement'!K$8</f>
        <v>0.55789393092369066</v>
      </c>
      <c r="L51" s="64">
        <f>L11/'Income Statement'!L$8</f>
        <v>0.51936752411470111</v>
      </c>
      <c r="M51" s="64">
        <f>M11/'Income Statement'!M$8</f>
        <v>0.51480980919486885</v>
      </c>
      <c r="N51" s="64">
        <f>N11/'Income Statement'!N$8</f>
        <v>0.54388814488088366</v>
      </c>
      <c r="O51" s="64">
        <f>O11/'Income Statement'!O$8</f>
        <v>0.56698758844681596</v>
      </c>
      <c r="P51" s="64">
        <f>P11/'Income Statement'!P$8</f>
        <v>0.51809513187977474</v>
      </c>
      <c r="Q51" s="64">
        <f>Q11/'Income Statement'!Q$8</f>
        <v>0.55453079326680776</v>
      </c>
      <c r="R51" s="64">
        <f>R11/'Income Statement'!R$8</f>
        <v>0.54819887158219605</v>
      </c>
      <c r="S51" s="64">
        <f>S11/'Income Statement'!S$8</f>
        <v>0.61635280095351608</v>
      </c>
      <c r="T51" s="64">
        <f>T11/'Income Statement'!T$8</f>
        <v>0.60691193880338778</v>
      </c>
      <c r="U51" s="64">
        <f>U11/'Income Statement'!U$8</f>
        <v>0.59341130103242956</v>
      </c>
      <c r="V51" s="25">
        <v>0.49</v>
      </c>
      <c r="W51" s="25">
        <v>0.49</v>
      </c>
      <c r="X51" s="25">
        <v>0.49</v>
      </c>
      <c r="Y51" s="25">
        <v>0.49</v>
      </c>
      <c r="Z51" s="25">
        <v>0.49</v>
      </c>
      <c r="AA51" s="25">
        <v>0.49</v>
      </c>
      <c r="AB51" s="25">
        <v>0.49</v>
      </c>
      <c r="AC51" s="25">
        <v>0.49</v>
      </c>
      <c r="AD51" s="25">
        <v>0.49</v>
      </c>
      <c r="AE51" s="25">
        <v>0.49</v>
      </c>
      <c r="AF51" s="25">
        <v>0.49</v>
      </c>
      <c r="AG51" s="25">
        <v>0.49</v>
      </c>
      <c r="AH51" s="25">
        <v>0.49</v>
      </c>
      <c r="AI51" s="25">
        <v>0.49</v>
      </c>
      <c r="AJ51" s="25">
        <v>0.49</v>
      </c>
      <c r="AK51" s="25">
        <v>0.49</v>
      </c>
      <c r="AL51" s="25">
        <v>0.49</v>
      </c>
      <c r="AM51" s="25">
        <v>0.49</v>
      </c>
      <c r="AN51" s="25">
        <v>0.49</v>
      </c>
      <c r="AO51" s="25">
        <v>0.49</v>
      </c>
      <c r="AP51" s="25">
        <v>0.49</v>
      </c>
      <c r="BJ51" s="25">
        <v>0.49</v>
      </c>
    </row>
    <row r="52" spans="1:62 16384:16384">
      <c r="B52" t="s">
        <v>166</v>
      </c>
      <c r="C52" s="64">
        <f>C12/'Income Statement'!C$8</f>
        <v>0.18312450550016462</v>
      </c>
      <c r="D52" s="64">
        <f>D12/'Income Statement'!D$8</f>
        <v>0.1529268490488023</v>
      </c>
      <c r="E52" s="64">
        <f>E12/'Income Statement'!E$8</f>
        <v>0.15824660467665561</v>
      </c>
      <c r="F52" s="64">
        <f>F12/'Income Statement'!F$8</f>
        <v>0.14172968106263067</v>
      </c>
      <c r="G52" s="64">
        <f>G12/'Income Statement'!G$8</f>
        <v>0.15924094427650318</v>
      </c>
      <c r="H52" s="64">
        <f>H12/'Income Statement'!H$8</f>
        <v>0.15193675083103775</v>
      </c>
      <c r="I52" s="64">
        <f>I12/'Income Statement'!I$8</f>
        <v>0.17087935921029915</v>
      </c>
      <c r="J52" s="64">
        <f>J12/'Income Statement'!J$8</f>
        <v>0.11852129643060574</v>
      </c>
      <c r="K52" s="64">
        <f>K12/'Income Statement'!K$8</f>
        <v>0.12348104787318653</v>
      </c>
      <c r="L52" s="64">
        <f>L12/'Income Statement'!L$8</f>
        <v>0.14379806951199914</v>
      </c>
      <c r="M52" s="64">
        <f>M12/'Income Statement'!M$8</f>
        <v>0.15956876259124694</v>
      </c>
      <c r="N52" s="64">
        <f>N12/'Income Statement'!N$8</f>
        <v>0.17248651570812498</v>
      </c>
      <c r="O52" s="64">
        <f>O12/'Income Statement'!O$8</f>
        <v>0.17335575919266905</v>
      </c>
      <c r="P52" s="64">
        <f>P12/'Income Statement'!P$8</f>
        <v>0.17933418836781354</v>
      </c>
      <c r="Q52" s="64">
        <f>Q12/'Income Statement'!Q$8</f>
        <v>0.16802741659106943</v>
      </c>
      <c r="R52" s="64">
        <f>R12/'Income Statement'!R$8</f>
        <v>0.17027535323335105</v>
      </c>
      <c r="S52" s="64">
        <f>S12/'Income Statement'!S$8</f>
        <v>0.16157330154946364</v>
      </c>
      <c r="T52" s="64">
        <f>T12/'Income Statement'!T$8</f>
        <v>0.16742555322830344</v>
      </c>
      <c r="U52" s="64">
        <f>U12/'Income Statement'!U$8</f>
        <v>0.16630253180825089</v>
      </c>
      <c r="V52" s="64">
        <v>0.17</v>
      </c>
      <c r="W52" s="64">
        <v>0.17</v>
      </c>
      <c r="X52" s="64">
        <v>0.17</v>
      </c>
      <c r="Y52" s="64">
        <v>0.17</v>
      </c>
      <c r="Z52" s="64">
        <v>0.17</v>
      </c>
      <c r="AA52" s="64">
        <v>0.17</v>
      </c>
      <c r="AB52" s="64">
        <v>0.17</v>
      </c>
      <c r="AC52" s="64">
        <v>0.17</v>
      </c>
      <c r="AD52" s="64">
        <v>0.17</v>
      </c>
      <c r="AE52" s="64">
        <v>0.17</v>
      </c>
      <c r="AF52" s="64">
        <v>0.17</v>
      </c>
      <c r="AG52" s="64">
        <v>0.17</v>
      </c>
      <c r="AH52" s="64">
        <v>0.17</v>
      </c>
      <c r="AI52" s="64">
        <v>0.17</v>
      </c>
      <c r="AJ52" s="64">
        <v>0.17</v>
      </c>
      <c r="AK52" s="64">
        <v>0.17</v>
      </c>
      <c r="AL52" s="64">
        <v>0.17</v>
      </c>
      <c r="AM52" s="64">
        <v>0.17</v>
      </c>
      <c r="AN52" s="64">
        <v>0.17</v>
      </c>
      <c r="AO52" s="64">
        <v>0.17</v>
      </c>
      <c r="AP52" s="64">
        <v>0.17</v>
      </c>
      <c r="BJ52" s="25"/>
    </row>
    <row r="53" spans="1:62 16384:16384">
      <c r="B53" t="s">
        <v>82</v>
      </c>
      <c r="C53" s="64">
        <f>C17/'Income Statement'!C$8</f>
        <v>4.5256000711611594E-2</v>
      </c>
      <c r="D53" s="64">
        <f>D17/'Income Statement'!D$8</f>
        <v>3.8555780242688693E-2</v>
      </c>
      <c r="E53" s="64">
        <f>E17/'Income Statement'!E$8</f>
        <v>3.6964571370302152E-2</v>
      </c>
      <c r="F53" s="64">
        <f>F17/'Income Statement'!F$8</f>
        <v>0</v>
      </c>
      <c r="G53" s="64">
        <f>G17/'Income Statement'!G$8</f>
        <v>0</v>
      </c>
      <c r="H53" s="64">
        <f>H17/'Income Statement'!H$8</f>
        <v>0</v>
      </c>
      <c r="I53" s="64">
        <f>I17/'Income Statement'!I$8</f>
        <v>0</v>
      </c>
      <c r="J53" s="64">
        <f>J17/'Income Statement'!J$8</f>
        <v>0.28303255228141927</v>
      </c>
      <c r="K53" s="64">
        <f>K17/'Income Statement'!K$8</f>
        <v>0.26400775654788744</v>
      </c>
      <c r="L53" s="64">
        <f>L17/'Income Statement'!L$8</f>
        <v>0.26238369022981534</v>
      </c>
      <c r="M53" s="64">
        <f>M17/'Income Statement'!M$8</f>
        <v>0.26003220498858787</v>
      </c>
      <c r="N53" s="64">
        <f>N17/'Income Statement'!N$8</f>
        <v>0.24572741457900751</v>
      </c>
      <c r="O53" s="64">
        <f>O17/'Income Statement'!O$8</f>
        <v>0.23199164830066116</v>
      </c>
      <c r="P53" s="64">
        <f>P17/'Income Statement'!P$8</f>
        <v>0.22305247309429543</v>
      </c>
      <c r="Q53" s="64">
        <f>Q17/'Income Statement'!Q$8</f>
        <v>0.20159258139300473</v>
      </c>
      <c r="R53" s="64">
        <f>R17/'Income Statement'!R$8</f>
        <v>0.19289193229493179</v>
      </c>
      <c r="S53" s="64">
        <f>S17/'Income Statement'!S$8</f>
        <v>0.19070321811680571</v>
      </c>
      <c r="T53" s="64">
        <f>T17/'Income Statement'!T$8</f>
        <v>0.1762134596120572</v>
      </c>
      <c r="U53" s="64">
        <f>U17/'Income Statement'!U$8</f>
        <v>0.2585785888703252</v>
      </c>
      <c r="V53" s="25">
        <v>0.21</v>
      </c>
      <c r="W53" s="25">
        <v>0.21</v>
      </c>
      <c r="X53" s="25">
        <v>0.21</v>
      </c>
      <c r="Y53" s="25">
        <v>0.21</v>
      </c>
      <c r="Z53" s="25">
        <v>0.21</v>
      </c>
      <c r="AA53" s="25">
        <v>0.21</v>
      </c>
      <c r="AB53" s="25">
        <v>0.21</v>
      </c>
      <c r="AC53" s="25">
        <v>0.21</v>
      </c>
      <c r="AD53" s="25">
        <v>0.21</v>
      </c>
      <c r="AE53" s="25">
        <v>0.21</v>
      </c>
      <c r="AF53" s="25">
        <v>0.21</v>
      </c>
      <c r="AG53" s="25">
        <v>0.21</v>
      </c>
      <c r="AH53" s="25">
        <v>0.21</v>
      </c>
      <c r="AI53" s="25">
        <v>0.21</v>
      </c>
      <c r="AJ53" s="25">
        <v>0.21</v>
      </c>
      <c r="AK53" s="25">
        <v>0.21</v>
      </c>
      <c r="AL53" s="25">
        <v>0.21</v>
      </c>
      <c r="AM53" s="25">
        <v>0.21</v>
      </c>
      <c r="AN53" s="25">
        <v>0.21</v>
      </c>
      <c r="AO53" s="25">
        <v>0.21</v>
      </c>
      <c r="AP53" s="25">
        <v>0.21</v>
      </c>
    </row>
    <row r="54" spans="1:62 16384:16384" ht="17" thickBot="1">
      <c r="B54" s="9" t="s">
        <v>83</v>
      </c>
      <c r="C54" s="64">
        <f>C20/'Income Statement'!C$8</f>
        <v>4.9631787814899825E-2</v>
      </c>
      <c r="D54" s="64">
        <f>D20/'Income Statement'!D$8</f>
        <v>4.3409820024276846E-2</v>
      </c>
      <c r="E54" s="64">
        <f>E20/'Income Statement'!E$8</f>
        <v>5.926185574894683E-2</v>
      </c>
      <c r="F54" s="64">
        <f>F20/'Income Statement'!F$8</f>
        <v>4.6416584515268755E-2</v>
      </c>
      <c r="G54" s="64">
        <f>G20/'Income Statement'!G$8</f>
        <v>4.5479273328790183E-2</v>
      </c>
      <c r="H54" s="64">
        <f>H20/'Income Statement'!H$8</f>
        <v>6.136877677832514E-2</v>
      </c>
      <c r="I54" s="64">
        <f>I20/'Income Statement'!I$8</f>
        <v>8.4209983281183537E-2</v>
      </c>
      <c r="J54" s="64">
        <f>J20/'Income Statement'!J$8</f>
        <v>0.11150279671540723</v>
      </c>
      <c r="K54" s="64">
        <f>K20/'Income Statement'!K$8</f>
        <v>0.10602221493267473</v>
      </c>
      <c r="L54" s="64">
        <f>L20/'Income Statement'!L$8</f>
        <v>0.11581878470434279</v>
      </c>
      <c r="M54" s="64" t="e">
        <f>#REF!/'Income Statement'!M$8</f>
        <v>#REF!</v>
      </c>
      <c r="N54" s="64" t="e">
        <f>#REF!/'Income Statement'!N$8</f>
        <v>#REF!</v>
      </c>
      <c r="O54" s="64">
        <f>O20/'Income Statement'!O$8</f>
        <v>2.870502261918571E-2</v>
      </c>
      <c r="P54" s="64">
        <f>P20/'Income Statement'!P$8</f>
        <v>3.9799252774215137E-2</v>
      </c>
      <c r="Q54" s="64">
        <f>Q20/'Income Statement'!Q$8</f>
        <v>3.8100997883277893E-2</v>
      </c>
      <c r="R54" s="64">
        <f>R20/'Income Statement'!R$8</f>
        <v>5.3431065245696102E-2</v>
      </c>
      <c r="S54" s="64">
        <f>S20/'Income Statement'!S$8</f>
        <v>5.2777115613825983E-2</v>
      </c>
      <c r="T54" s="64">
        <f>T20/'Income Statement'!T$8</f>
        <v>5.7963755577816231E-2</v>
      </c>
      <c r="U54" s="64">
        <f>U20/'Income Statement'!U$8</f>
        <v>5.6762198517756934E-2</v>
      </c>
      <c r="V54" s="25">
        <v>0.05</v>
      </c>
      <c r="W54" s="25">
        <v>0.05</v>
      </c>
      <c r="X54" s="25">
        <v>0.05</v>
      </c>
      <c r="Y54" s="25">
        <v>0.05</v>
      </c>
      <c r="Z54" s="25">
        <v>0.05</v>
      </c>
      <c r="AA54" s="25">
        <v>0.05</v>
      </c>
      <c r="AB54" s="25">
        <v>0.05</v>
      </c>
      <c r="AC54" s="25">
        <v>0.05</v>
      </c>
      <c r="AD54" s="25">
        <v>0.05</v>
      </c>
      <c r="AE54" s="25">
        <v>0.05</v>
      </c>
      <c r="AF54" s="25">
        <v>0.05</v>
      </c>
      <c r="AG54" s="25">
        <v>0.05</v>
      </c>
      <c r="AH54" s="25">
        <v>0.05</v>
      </c>
      <c r="AI54" s="25">
        <v>0.05</v>
      </c>
      <c r="AJ54" s="25">
        <v>0.05</v>
      </c>
      <c r="AK54" s="25">
        <v>0.05</v>
      </c>
      <c r="AL54" s="25">
        <v>0.05</v>
      </c>
      <c r="AM54" s="25">
        <v>0.05</v>
      </c>
      <c r="AN54" s="25">
        <v>0.05</v>
      </c>
      <c r="AO54" s="25">
        <v>0.05</v>
      </c>
      <c r="AP54" s="25">
        <v>0.05</v>
      </c>
    </row>
    <row r="55" spans="1:62 16384:16384">
      <c r="AP55" s="25"/>
    </row>
    <row r="56" spans="1:62 16384:16384">
      <c r="B56" t="s">
        <v>87</v>
      </c>
      <c r="C56" s="64">
        <f>C25/'Income Statement'!C$8</f>
        <v>0.11557758361046129</v>
      </c>
      <c r="D56" s="64">
        <f>D25/'Income Statement'!D$8</f>
        <v>0.11039450540246253</v>
      </c>
      <c r="E56" s="64">
        <f>E25/'Income Statement'!E$8</f>
        <v>0.11745683748972321</v>
      </c>
      <c r="F56" s="64">
        <f>F25/'Income Statement'!F$8</f>
        <v>0.12648883975633798</v>
      </c>
      <c r="G56" s="64">
        <f>G25/'Income Statement'!G$8</f>
        <v>9.5827872815064635E-2</v>
      </c>
      <c r="H56" s="64">
        <f>H25/'Income Statement'!H$8</f>
        <v>8.1850178424783787E-2</v>
      </c>
      <c r="I56" s="64">
        <f>I25/'Income Statement'!I$8</f>
        <v>9.7415532075281003E-2</v>
      </c>
      <c r="J56" s="64">
        <f>J25/'Income Statement'!J$8</f>
        <v>6.1991204763437863E-2</v>
      </c>
      <c r="K56" s="64">
        <f>K25/'Income Statement'!K$8</f>
        <v>6.6465932769104771E-2</v>
      </c>
      <c r="L56" s="64">
        <f>L25/'Income Statement'!L$8</f>
        <v>6.6547719393762486E-2</v>
      </c>
      <c r="M56" s="64">
        <f>M25/'Income Statement'!M$8</f>
        <v>7.0069578117249828E-2</v>
      </c>
      <c r="N56" s="64">
        <f>N25/'Income Statement'!N$8</f>
        <v>9.5304763425931624E-2</v>
      </c>
      <c r="O56" s="64">
        <f>O25/'Income Statement'!O$8</f>
        <v>7.414395081777056E-2</v>
      </c>
      <c r="P56" s="64">
        <f>P25/'Income Statement'!P$8</f>
        <v>7.1097975798806667E-2</v>
      </c>
      <c r="Q56" s="64">
        <f>Q25/'Income Statement'!Q$8</f>
        <v>6.4459227900413266E-2</v>
      </c>
      <c r="R56" s="64">
        <f>R25/'Income Statement'!R$8</f>
        <v>9.4034816993779247E-2</v>
      </c>
      <c r="S56" s="64">
        <f>S25/'Income Statement'!S$8</f>
        <v>8.2765196662693677E-2</v>
      </c>
      <c r="T56" s="64">
        <f>T25/'Income Statement'!T$8</f>
        <v>9.015572352244787E-2</v>
      </c>
      <c r="U56" s="64">
        <f>U25/'Income Statement'!U$8</f>
        <v>5.4363192391723436E-2</v>
      </c>
      <c r="V56" s="25">
        <v>0.06</v>
      </c>
      <c r="W56" s="25">
        <v>0.06</v>
      </c>
      <c r="X56" s="25">
        <v>0.06</v>
      </c>
      <c r="Y56" s="25">
        <v>0.06</v>
      </c>
      <c r="Z56" s="25">
        <v>0.06</v>
      </c>
      <c r="AA56" s="25">
        <v>0.06</v>
      </c>
      <c r="AB56" s="25">
        <v>0.06</v>
      </c>
      <c r="AC56" s="25">
        <v>0.06</v>
      </c>
      <c r="AD56" s="25">
        <v>0.06</v>
      </c>
      <c r="AE56" s="25">
        <v>0.06</v>
      </c>
      <c r="AF56" s="25">
        <v>0.06</v>
      </c>
      <c r="AG56" s="25">
        <v>0.06</v>
      </c>
      <c r="AH56" s="25">
        <v>0.06</v>
      </c>
      <c r="AI56" s="25">
        <v>0.06</v>
      </c>
      <c r="AJ56" s="25">
        <v>0.06</v>
      </c>
      <c r="AK56" s="25">
        <v>0.06</v>
      </c>
      <c r="AL56" s="25">
        <v>0.06</v>
      </c>
      <c r="AM56" s="25">
        <v>0.06</v>
      </c>
      <c r="AN56" s="25">
        <v>0.06</v>
      </c>
      <c r="AO56" s="25">
        <v>0.06</v>
      </c>
      <c r="AP56" s="25">
        <v>0.06</v>
      </c>
    </row>
    <row r="57" spans="1:62 16384:16384">
      <c r="B57" t="s">
        <v>89</v>
      </c>
      <c r="C57" s="64">
        <f>C27/'Income Statement'!C$8</f>
        <v>0.53373834853050639</v>
      </c>
      <c r="D57" s="64">
        <f>D27/'Income Statement'!D$8</f>
        <v>0.48546513560333815</v>
      </c>
      <c r="E57" s="64">
        <f>E27/'Income Statement'!E$8</f>
        <v>0.50490927747009384</v>
      </c>
      <c r="F57" s="64">
        <f>F27/'Income Statement'!F$8</f>
        <v>0.46135085389967456</v>
      </c>
      <c r="G57" s="64">
        <f>G27/'Income Statement'!G$8</f>
        <v>0.57250811068980179</v>
      </c>
      <c r="H57" s="64">
        <f>H27/'Income Statement'!H$8</f>
        <v>0.12015706055394017</v>
      </c>
      <c r="I57" s="64">
        <f>I27/'Income Statement'!I$8</f>
        <v>0.12905810315130739</v>
      </c>
      <c r="J57" s="64">
        <f>J27/'Income Statement'!J$8</f>
        <v>9.2201391812575861E-2</v>
      </c>
      <c r="K57" s="64">
        <f>K27/'Income Statement'!K$8</f>
        <v>0.11865564610288253</v>
      </c>
      <c r="L57" s="64">
        <f>L27/'Income Statement'!L$8</f>
        <v>9.9562803176154582E-2</v>
      </c>
      <c r="M57" s="64">
        <f>M27/'Income Statement'!M$8</f>
        <v>0.12516715195176922</v>
      </c>
      <c r="N57" s="64">
        <f>N27/'Income Statement'!N$8</f>
        <v>0.19499883279478075</v>
      </c>
      <c r="O57" s="64">
        <f>O27/'Income Statement'!O$8</f>
        <v>0.16481498666048019</v>
      </c>
      <c r="P57" s="64">
        <f>P27/'Income Statement'!P$8</f>
        <v>0.12624769977137121</v>
      </c>
      <c r="Q57" s="64">
        <f>Q27/'Income Statement'!Q$8</f>
        <v>0.10145146658602963</v>
      </c>
      <c r="R57" s="64">
        <f>R27/'Income Statement'!R$8</f>
        <v>0.12943048656989922</v>
      </c>
      <c r="S57" s="64">
        <f>S27/'Income Statement'!S$8</f>
        <v>0.13640047675804531</v>
      </c>
      <c r="T57" s="64">
        <f>T27/'Income Statement'!T$8</f>
        <v>0.10868773335761771</v>
      </c>
      <c r="U57" s="64">
        <f>U27/'Income Statement'!U$8</f>
        <v>9.3389881334875566E-2</v>
      </c>
      <c r="V57" s="25">
        <v>0.11</v>
      </c>
      <c r="W57" s="25">
        <v>0.11</v>
      </c>
      <c r="X57" s="25">
        <v>0.11</v>
      </c>
      <c r="Y57" s="25">
        <v>0.11</v>
      </c>
      <c r="Z57" s="25">
        <v>0.11</v>
      </c>
      <c r="AA57" s="25">
        <v>0.11</v>
      </c>
      <c r="AB57" s="25">
        <v>0.11</v>
      </c>
      <c r="AC57" s="25">
        <v>0.11</v>
      </c>
      <c r="AD57" s="25">
        <v>0.11</v>
      </c>
      <c r="AE57" s="25">
        <v>0.11</v>
      </c>
      <c r="AF57" s="25">
        <v>0.11</v>
      </c>
      <c r="AG57" s="25">
        <v>0.11</v>
      </c>
      <c r="AH57" s="25">
        <v>0.11</v>
      </c>
      <c r="AI57" s="25">
        <v>0.11</v>
      </c>
      <c r="AJ57" s="25">
        <v>0.11</v>
      </c>
      <c r="AK57" s="25">
        <v>0.11</v>
      </c>
      <c r="AL57" s="25">
        <v>0.11</v>
      </c>
      <c r="AM57" s="25">
        <v>0.11</v>
      </c>
      <c r="AN57" s="25">
        <v>0.11</v>
      </c>
      <c r="AO57" s="25">
        <v>0.11</v>
      </c>
      <c r="AP57" s="25">
        <v>0.11</v>
      </c>
    </row>
    <row r="58" spans="1:62 16384:16384">
      <c r="B58" t="s">
        <v>90</v>
      </c>
      <c r="C58" s="64">
        <f>C26/'Income Statement'!C$8</f>
        <v>0.64174725615988781</v>
      </c>
      <c r="D58" s="64">
        <f>D26/'Income Statement'!D$8</f>
        <v>0.63699466999575882</v>
      </c>
      <c r="E58" s="64">
        <f>E26/'Income Statement'!E$8</f>
        <v>0.64272467130210897</v>
      </c>
      <c r="F58" s="64">
        <f>F26/'Income Statement'!F$8</f>
        <v>0.68892637145348135</v>
      </c>
      <c r="G58" s="64">
        <f>G26/'Income Statement'!G$8</f>
        <v>0.62060027841362486</v>
      </c>
      <c r="H58" s="64">
        <f>H26/'Income Statement'!H$8</f>
        <v>1.1357483801536823</v>
      </c>
      <c r="I58" s="64">
        <f>I26/'Income Statement'!I$8</f>
        <v>1.2357847947207283</v>
      </c>
      <c r="J58" s="64">
        <f>J26/'Income Statement'!J$8</f>
        <v>0.79030613508436154</v>
      </c>
      <c r="K58" s="64">
        <f>K26/'Income Statement'!K$8</f>
        <v>0.83048325959816716</v>
      </c>
      <c r="L58" s="64">
        <f>L26/'Income Statement'!L$8</f>
        <v>1.0137239789174706</v>
      </c>
      <c r="M58" s="64">
        <f>M26/'Income Statement'!M$8</f>
        <v>1.1075415190171303</v>
      </c>
      <c r="N58" s="64">
        <f>N26/'Income Statement'!N$8</f>
        <v>0.86309972847120697</v>
      </c>
      <c r="O58" s="64">
        <f>O26/'Income Statement'!O$8</f>
        <v>0.88854947221900016</v>
      </c>
      <c r="P58" s="64">
        <f>P26/'Income Statement'!P$8</f>
        <v>0.82674399152400602</v>
      </c>
      <c r="Q58" s="64">
        <f>Q26/'Income Statement'!Q$8</f>
        <v>0.7988106037697813</v>
      </c>
      <c r="R58" s="64">
        <f>R26/'Income Statement'!R$8</f>
        <v>0.80947099387568122</v>
      </c>
      <c r="S58" s="64">
        <f>S26/'Income Statement'!S$8</f>
        <v>0.82026221692491064</v>
      </c>
      <c r="T58" s="64">
        <f>T26/'Income Statement'!T$8</f>
        <v>0.96507604043347606</v>
      </c>
      <c r="U58" s="64">
        <f>U26/'Income Statement'!U$8</f>
        <v>0.97005526281968912</v>
      </c>
      <c r="V58" s="25">
        <v>0.87</v>
      </c>
      <c r="W58" s="25">
        <v>0.87</v>
      </c>
      <c r="X58" s="25">
        <v>0.87</v>
      </c>
      <c r="Y58" s="25">
        <v>0.87</v>
      </c>
      <c r="Z58" s="25">
        <v>0.87</v>
      </c>
      <c r="AA58" s="25">
        <v>0.87</v>
      </c>
      <c r="AB58" s="25">
        <v>0.87</v>
      </c>
      <c r="AC58" s="25">
        <v>0.87</v>
      </c>
      <c r="AD58" s="25">
        <v>0.87</v>
      </c>
      <c r="AE58" s="25">
        <v>0.87</v>
      </c>
      <c r="AF58" s="25">
        <v>0.87</v>
      </c>
      <c r="AG58" s="25">
        <v>0.87</v>
      </c>
      <c r="AH58" s="25">
        <v>0.87</v>
      </c>
      <c r="AI58" s="25">
        <v>0.87</v>
      </c>
      <c r="AJ58" s="25">
        <v>0.87</v>
      </c>
      <c r="AK58" s="25">
        <v>0.87</v>
      </c>
      <c r="AL58" s="25">
        <v>0.87</v>
      </c>
      <c r="AM58" s="25">
        <v>0.87</v>
      </c>
      <c r="AN58" s="25">
        <v>0.87</v>
      </c>
      <c r="AO58" s="25">
        <v>0.87</v>
      </c>
      <c r="AP58" s="25">
        <v>0.87</v>
      </c>
    </row>
    <row r="59" spans="1:62 16384:16384" ht="17" thickBot="1">
      <c r="B59" s="9" t="s">
        <v>93</v>
      </c>
      <c r="C59" s="64">
        <f>C32/'Income Statement'!C$8</f>
        <v>1.0429073703298537</v>
      </c>
      <c r="D59" s="64">
        <f>D32/'Income Statement'!D$8</f>
        <v>0.15359559240956344</v>
      </c>
      <c r="E59" s="64">
        <f>E32/'Income Statement'!E$8</f>
        <v>0.16884141561561944</v>
      </c>
      <c r="F59" s="64">
        <f>F32/'Income Statement'!F$8</f>
        <v>0.76442967935312167</v>
      </c>
      <c r="G59" s="64">
        <f>G32/'Income Statement'!G$8</f>
        <v>0.10422221833918702</v>
      </c>
      <c r="H59" s="64">
        <f>H32/'Income Statement'!H$8</f>
        <v>9.8081043840759469E-2</v>
      </c>
      <c r="I59" s="64">
        <f>I32/'Income Statement'!I$8</f>
        <v>9.7623990869925931E-2</v>
      </c>
      <c r="J59" s="64">
        <f>J32/'Income Statement'!J$8</f>
        <v>0.12971240354781308</v>
      </c>
      <c r="K59" s="64">
        <f>K32/'Income Statement'!K$8</f>
        <v>0.1199552242844895</v>
      </c>
      <c r="L59" s="64">
        <f>L32/'Income Statement'!L$8</f>
        <v>0.12405369682220553</v>
      </c>
      <c r="M59" s="64">
        <f>M32/'Income Statement'!M$8</f>
        <v>0.27857250120427413</v>
      </c>
      <c r="N59" s="64">
        <f>N32/'Income Statement'!N$8</f>
        <v>6.6564485016770897E-2</v>
      </c>
      <c r="O59" s="64">
        <f>O32/'Income Statement'!O$8</f>
        <v>6.1627421412829134E-2</v>
      </c>
      <c r="P59" s="64">
        <f>P32/'Income Statement'!P$8</f>
        <v>6.0224167735459772E-2</v>
      </c>
      <c r="Q59" s="64">
        <f>Q32/'Income Statement'!Q$8</f>
        <v>5.4681987702852534E-2</v>
      </c>
      <c r="R59" s="64">
        <f>R32/'Income Statement'!R$8</f>
        <v>5.6324444230120077E-2</v>
      </c>
      <c r="S59" s="64">
        <f>S32/'Income Statement'!S$8</f>
        <v>5.5971394517282481E-2</v>
      </c>
      <c r="T59" s="64">
        <f>T32/'Income Statement'!T$8</f>
        <v>5.2545305527729722E-2</v>
      </c>
      <c r="U59" s="64">
        <f>U32/'Income Statement'!U$8</f>
        <v>4.9565180139656433E-2</v>
      </c>
    </row>
    <row r="65" customFormat="1"/>
    <row r="66" customFormat="1"/>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12B6E-D855-6E45-8EC5-E05CFDFE7EDC}">
  <dimension ref="A1:XFD63"/>
  <sheetViews>
    <sheetView zoomScale="58" workbookViewId="0">
      <pane xSplit="2" ySplit="7" topLeftCell="H8" activePane="bottomRight" state="frozen"/>
      <selection pane="topRight" activeCell="C1" sqref="C1"/>
      <selection pane="bottomLeft" activeCell="A8" sqref="A8"/>
      <selection pane="bottomRight" activeCell="U50" sqref="U50"/>
    </sheetView>
  </sheetViews>
  <sheetFormatPr baseColWidth="10" defaultRowHeight="16"/>
  <cols>
    <col min="1" max="1" width="2" customWidth="1"/>
    <col min="2" max="2" width="58" bestFit="1" customWidth="1"/>
    <col min="14" max="14" width="11.6640625" bestFit="1" customWidth="1"/>
    <col min="18" max="18" width="12.1640625" style="4" bestFit="1" customWidth="1"/>
    <col min="19" max="19" width="11.5" style="4" bestFit="1" customWidth="1"/>
  </cols>
  <sheetData>
    <row r="1" spans="1:42">
      <c r="B1" t="e" vm="1">
        <v>#VALUE!</v>
      </c>
    </row>
    <row r="7" spans="1:42">
      <c r="C7" t="s">
        <v>0</v>
      </c>
      <c r="D7" t="s">
        <v>1</v>
      </c>
      <c r="E7" t="s">
        <v>2</v>
      </c>
      <c r="F7" t="s">
        <v>3</v>
      </c>
      <c r="G7" t="s">
        <v>4</v>
      </c>
      <c r="H7" t="s">
        <v>5</v>
      </c>
      <c r="I7" t="s">
        <v>6</v>
      </c>
      <c r="J7" t="s">
        <v>7</v>
      </c>
      <c r="K7" t="s">
        <v>8</v>
      </c>
      <c r="L7" t="s">
        <v>9</v>
      </c>
      <c r="M7" s="1" t="s">
        <v>10</v>
      </c>
      <c r="N7" s="1" t="s">
        <v>11</v>
      </c>
      <c r="O7" t="s">
        <v>12</v>
      </c>
      <c r="P7" t="s">
        <v>13</v>
      </c>
      <c r="Q7" t="s">
        <v>14</v>
      </c>
      <c r="R7" s="4" t="s">
        <v>15</v>
      </c>
      <c r="S7" s="4"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1:42">
      <c r="B8" s="20" t="s">
        <v>103</v>
      </c>
    </row>
    <row r="9" spans="1:42">
      <c r="B9" t="s">
        <v>104</v>
      </c>
      <c r="C9">
        <v>227.30099999999999</v>
      </c>
      <c r="D9">
        <f>433.551</f>
        <v>433.55099999999999</v>
      </c>
      <c r="E9">
        <v>562.00699999999995</v>
      </c>
      <c r="F9">
        <v>2087.1030000000001</v>
      </c>
      <c r="G9">
        <v>268.63099999999997</v>
      </c>
      <c r="H9">
        <v>536.05799999999999</v>
      </c>
      <c r="I9">
        <v>593.57600000000002</v>
      </c>
      <c r="J9">
        <v>1176.81</v>
      </c>
      <c r="K9">
        <v>602.75300000000004</v>
      </c>
      <c r="L9">
        <v>1440.0229999999999</v>
      </c>
      <c r="M9">
        <v>2107.4569999999999</v>
      </c>
      <c r="N9">
        <v>2711.6469999999999</v>
      </c>
      <c r="O9">
        <v>653.13800000000003</v>
      </c>
      <c r="P9">
        <v>720</v>
      </c>
      <c r="Q9">
        <v>1572</v>
      </c>
      <c r="R9" s="53">
        <v>2342.1</v>
      </c>
      <c r="S9" s="53">
        <v>762.1</v>
      </c>
      <c r="T9">
        <v>1572.6</v>
      </c>
      <c r="U9">
        <v>2503.1</v>
      </c>
    </row>
    <row r="10" spans="1:42" ht="35" customHeight="1">
      <c r="B10" s="21" t="s">
        <v>105</v>
      </c>
    </row>
    <row r="11" spans="1:42">
      <c r="B11" t="s">
        <v>121</v>
      </c>
      <c r="C11">
        <v>78.135999999999996</v>
      </c>
      <c r="D11">
        <f>160.572</f>
        <v>160.572</v>
      </c>
      <c r="E11">
        <v>246.10400000000001</v>
      </c>
      <c r="F11">
        <v>325.04700000000003</v>
      </c>
      <c r="G11">
        <v>93.790999999999997</v>
      </c>
      <c r="H11">
        <v>183.47800000000001</v>
      </c>
      <c r="I11">
        <v>268.9898</v>
      </c>
      <c r="J11">
        <v>360.48899999999998</v>
      </c>
      <c r="K11">
        <v>115.706</v>
      </c>
      <c r="L11">
        <v>232.89500000000001</v>
      </c>
      <c r="M11">
        <v>332.43400000000003</v>
      </c>
      <c r="N11">
        <v>429.46100000000001</v>
      </c>
      <c r="O11" s="12">
        <v>115.17400000000001</v>
      </c>
      <c r="P11">
        <v>220</v>
      </c>
      <c r="Q11">
        <v>322.8</v>
      </c>
      <c r="R11" s="53">
        <v>441.4</v>
      </c>
      <c r="S11" s="4">
        <v>130.30000000000001</v>
      </c>
      <c r="T11">
        <v>244.2</v>
      </c>
      <c r="U11">
        <v>379.8</v>
      </c>
    </row>
    <row r="12" spans="1:42">
      <c r="B12" t="s">
        <v>47</v>
      </c>
      <c r="C12">
        <v>16.343</v>
      </c>
      <c r="D12">
        <f>34.402</f>
        <v>34.402000000000001</v>
      </c>
      <c r="E12">
        <v>53.594000000000001</v>
      </c>
      <c r="F12">
        <v>72.42</v>
      </c>
      <c r="G12">
        <v>27.14</v>
      </c>
      <c r="H12">
        <v>54.838000000000001</v>
      </c>
      <c r="I12">
        <v>80.685000000000002</v>
      </c>
      <c r="J12">
        <v>106.941</v>
      </c>
      <c r="K12">
        <v>26.821000000000002</v>
      </c>
      <c r="L12">
        <v>53.518000000000001</v>
      </c>
      <c r="M12">
        <v>80.16</v>
      </c>
      <c r="N12">
        <v>109.515</v>
      </c>
      <c r="O12" s="12">
        <v>28.834</v>
      </c>
      <c r="P12">
        <v>60</v>
      </c>
      <c r="Q12">
        <v>91.8</v>
      </c>
      <c r="R12" s="53">
        <v>125.6</v>
      </c>
      <c r="S12" s="53">
        <v>35.9</v>
      </c>
      <c r="T12">
        <v>73.2</v>
      </c>
      <c r="U12">
        <v>109.9</v>
      </c>
    </row>
    <row r="13" spans="1:42">
      <c r="B13" t="s">
        <v>192</v>
      </c>
      <c r="C13">
        <v>0</v>
      </c>
      <c r="D13">
        <v>0</v>
      </c>
      <c r="E13">
        <v>0</v>
      </c>
      <c r="F13">
        <v>0</v>
      </c>
      <c r="G13">
        <v>1.27</v>
      </c>
      <c r="H13">
        <v>7.0419999999999998</v>
      </c>
      <c r="I13">
        <v>2.9590000000000001</v>
      </c>
      <c r="J13">
        <v>4.4589999999999996</v>
      </c>
      <c r="K13">
        <v>1.6</v>
      </c>
      <c r="L13">
        <v>10.8</v>
      </c>
      <c r="M13">
        <v>12.6</v>
      </c>
      <c r="N13">
        <v>13.1</v>
      </c>
      <c r="O13">
        <v>-3.9</v>
      </c>
      <c r="P13">
        <v>-2.2999999999999998</v>
      </c>
      <c r="Q13">
        <v>-1.1000000000000001</v>
      </c>
      <c r="R13" s="53">
        <v>-3.1</v>
      </c>
      <c r="S13" s="53">
        <v>-7.5</v>
      </c>
      <c r="T13">
        <v>-56.7</v>
      </c>
      <c r="U13">
        <v>-59.3</v>
      </c>
    </row>
    <row r="14" spans="1:42">
      <c r="A14" t="s">
        <v>174</v>
      </c>
      <c r="B14" t="s">
        <v>106</v>
      </c>
      <c r="C14">
        <v>3.6190000000000002</v>
      </c>
      <c r="D14">
        <v>3.516</v>
      </c>
      <c r="E14">
        <v>3.5950000000000002</v>
      </c>
      <c r="F14">
        <v>-1512.325</v>
      </c>
      <c r="G14">
        <v>42.424999999999997</v>
      </c>
      <c r="H14">
        <v>87.358000000000004</v>
      </c>
      <c r="I14">
        <v>94.174999999999997</v>
      </c>
      <c r="J14">
        <v>167.387</v>
      </c>
      <c r="K14">
        <v>36.704999999999998</v>
      </c>
      <c r="L14">
        <v>8.9629999999999992</v>
      </c>
      <c r="M14">
        <v>65.11</v>
      </c>
      <c r="N14">
        <v>277.34100000000001</v>
      </c>
      <c r="O14" s="12">
        <v>57.042999999999999</v>
      </c>
      <c r="P14">
        <v>-180.9</v>
      </c>
      <c r="Q14">
        <v>-112.7</v>
      </c>
      <c r="R14" s="53">
        <v>-154.6</v>
      </c>
      <c r="S14" s="53">
        <v>-12.3</v>
      </c>
      <c r="T14">
        <v>-241.7</v>
      </c>
      <c r="U14">
        <v>-424</v>
      </c>
    </row>
    <row r="15" spans="1:42">
      <c r="B15" t="s">
        <v>199</v>
      </c>
      <c r="C15">
        <v>-95.457999999999998</v>
      </c>
      <c r="D15">
        <v>-149.376</v>
      </c>
      <c r="E15">
        <v>-88.216999999999999</v>
      </c>
      <c r="F15">
        <v>-2.5579999999999998</v>
      </c>
      <c r="G15">
        <v>-43.551000000000002</v>
      </c>
      <c r="H15">
        <v>-100.078</v>
      </c>
      <c r="I15">
        <v>-68.861999999999995</v>
      </c>
      <c r="J15">
        <v>-197.59700000000001</v>
      </c>
      <c r="K15">
        <v>44.87</v>
      </c>
      <c r="L15">
        <v>-65.116</v>
      </c>
      <c r="M15">
        <v>-140.86600000000001</v>
      </c>
      <c r="N15">
        <v>-311.93700000000001</v>
      </c>
      <c r="O15" s="12">
        <v>52.295000000000002</v>
      </c>
      <c r="P15">
        <v>41.7</v>
      </c>
      <c r="Q15">
        <v>-5</v>
      </c>
      <c r="R15" s="53">
        <v>-17.100000000000001</v>
      </c>
      <c r="S15" s="53">
        <v>75.599999999999994</v>
      </c>
      <c r="T15">
        <v>159.80000000000001</v>
      </c>
      <c r="U15">
        <v>143.1</v>
      </c>
    </row>
    <row r="16" spans="1:42">
      <c r="B16" t="s">
        <v>175</v>
      </c>
      <c r="C16">
        <f>5.827+3.619</f>
        <v>9.4459999999999997</v>
      </c>
      <c r="D16">
        <f>10.014+6.928</f>
        <v>16.942</v>
      </c>
      <c r="E16">
        <f>10.701+13.089</f>
        <v>23.79</v>
      </c>
      <c r="F16">
        <f>29+20.413+1.077+12.089</f>
        <v>62.578999999999994</v>
      </c>
      <c r="G16">
        <v>-3.7010000000000001</v>
      </c>
      <c r="H16">
        <v>-1.036</v>
      </c>
      <c r="I16">
        <f>-12.674+8.65</f>
        <v>-4.0239999999999991</v>
      </c>
      <c r="J16">
        <v>16.942</v>
      </c>
      <c r="K16">
        <v>9.6679999999999993</v>
      </c>
      <c r="L16">
        <v>16.306999999999999</v>
      </c>
      <c r="M16">
        <v>52.371000000000002</v>
      </c>
      <c r="N16">
        <v>78.831999999999994</v>
      </c>
      <c r="O16" s="12">
        <v>2.3319999999999999</v>
      </c>
      <c r="P16">
        <v>11.2</v>
      </c>
      <c r="Q16">
        <v>20.6</v>
      </c>
      <c r="R16" s="53">
        <v>14.4</v>
      </c>
      <c r="S16" s="53">
        <v>4.9000000000000004</v>
      </c>
      <c r="T16">
        <v>-6.3</v>
      </c>
      <c r="U16">
        <v>-32.799999999999997</v>
      </c>
    </row>
    <row r="17" spans="2:21" ht="7" customHeight="1"/>
    <row r="18" spans="2:21" ht="34">
      <c r="B18" s="21" t="s">
        <v>122</v>
      </c>
    </row>
    <row r="19" spans="2:21">
      <c r="B19" t="s">
        <v>76</v>
      </c>
      <c r="C19">
        <v>-13.473000000000001</v>
      </c>
      <c r="D19">
        <v>-88.165999999999997</v>
      </c>
      <c r="E19">
        <v>-75.167000000000002</v>
      </c>
      <c r="F19">
        <v>-108.152</v>
      </c>
      <c r="G19">
        <v>-30.135999999999999</v>
      </c>
      <c r="H19">
        <v>-55.87</v>
      </c>
      <c r="I19">
        <v>-41.444000000000003</v>
      </c>
      <c r="J19">
        <v>-225.58699999999999</v>
      </c>
      <c r="K19">
        <v>-223.672</v>
      </c>
      <c r="L19">
        <v>-164.13900000000001</v>
      </c>
      <c r="M19">
        <v>-151.191</v>
      </c>
      <c r="N19">
        <v>-223.4</v>
      </c>
      <c r="O19" s="12">
        <v>-98.373000000000005</v>
      </c>
      <c r="P19">
        <v>-45.8</v>
      </c>
      <c r="Q19">
        <v>-231.2</v>
      </c>
      <c r="R19" s="53">
        <v>-274.7</v>
      </c>
      <c r="S19" s="53">
        <v>-165.2</v>
      </c>
      <c r="T19">
        <v>-249.3</v>
      </c>
      <c r="U19">
        <v>-368.8</v>
      </c>
    </row>
    <row r="20" spans="2:21">
      <c r="B20" t="s">
        <v>176</v>
      </c>
      <c r="C20">
        <v>-8.2080000000000002</v>
      </c>
      <c r="D20">
        <v>-9.3659999999999997</v>
      </c>
      <c r="E20">
        <v>-24.460999999999999</v>
      </c>
      <c r="F20">
        <v>-31.965</v>
      </c>
      <c r="G20">
        <v>-13.138999999999999</v>
      </c>
      <c r="H20">
        <v>-25.173999999999999</v>
      </c>
      <c r="I20">
        <v>-45.28</v>
      </c>
      <c r="J20">
        <v>-64.046999999999997</v>
      </c>
      <c r="K20">
        <v>-27.45</v>
      </c>
      <c r="L20">
        <v>-64.385999999999996</v>
      </c>
      <c r="M20">
        <v>-94.906999999999996</v>
      </c>
      <c r="N20">
        <v>-132.01400000000001</v>
      </c>
      <c r="O20" s="12">
        <v>-22.785</v>
      </c>
      <c r="P20">
        <v>-47.5</v>
      </c>
      <c r="Q20">
        <v>-65.8</v>
      </c>
      <c r="R20" s="53">
        <v>-92.8</v>
      </c>
      <c r="S20" s="53">
        <v>2</v>
      </c>
      <c r="T20">
        <v>-31.3</v>
      </c>
      <c r="U20">
        <v>-58.1</v>
      </c>
    </row>
    <row r="21" spans="2:21">
      <c r="B21" t="s">
        <v>180</v>
      </c>
      <c r="C21">
        <v>25.481999999999999</v>
      </c>
      <c r="D21">
        <v>33.408000000000001</v>
      </c>
      <c r="E21">
        <v>31.797000000000001</v>
      </c>
      <c r="F21">
        <v>16.684000000000001</v>
      </c>
      <c r="G21">
        <v>7.9409999999999998</v>
      </c>
      <c r="H21">
        <v>-17.579999999999998</v>
      </c>
      <c r="I21">
        <v>-23.709</v>
      </c>
      <c r="J21">
        <v>35.44</v>
      </c>
      <c r="K21">
        <v>2.79</v>
      </c>
      <c r="L21">
        <v>-28.922999999999998</v>
      </c>
      <c r="M21">
        <v>-264.90899999999999</v>
      </c>
      <c r="N21">
        <v>-297.56200000000001</v>
      </c>
      <c r="O21" s="12">
        <v>-13.319000000000001</v>
      </c>
      <c r="P21">
        <v>-92.2</v>
      </c>
      <c r="Q21">
        <v>-107.7</v>
      </c>
      <c r="R21" s="53">
        <v>-91.8</v>
      </c>
      <c r="S21" s="53">
        <v>67.599999999999994</v>
      </c>
      <c r="T21">
        <v>85.3</v>
      </c>
      <c r="U21">
        <v>-41.9</v>
      </c>
    </row>
    <row r="22" spans="2:21">
      <c r="B22" t="s">
        <v>179</v>
      </c>
      <c r="C22">
        <v>2.1539999999999999</v>
      </c>
      <c r="D22">
        <v>12.228999999999999</v>
      </c>
      <c r="E22">
        <v>23.023</v>
      </c>
      <c r="F22">
        <v>36.554000000000002</v>
      </c>
      <c r="G22">
        <v>-24.145</v>
      </c>
      <c r="H22">
        <v>-28.074000000000002</v>
      </c>
      <c r="I22">
        <v>-12.21</v>
      </c>
      <c r="J22">
        <v>-22.785</v>
      </c>
      <c r="K22">
        <v>14.285</v>
      </c>
      <c r="L22">
        <v>14.696999999999999</v>
      </c>
      <c r="M22">
        <v>16.152999999999999</v>
      </c>
      <c r="N22">
        <v>51.276000000000003</v>
      </c>
      <c r="O22" s="12">
        <v>-10.644</v>
      </c>
      <c r="P22">
        <v>-24.3</v>
      </c>
      <c r="Q22" s="4">
        <v>-22</v>
      </c>
      <c r="R22" s="53">
        <v>31.9</v>
      </c>
      <c r="S22" s="53">
        <v>-14.5</v>
      </c>
      <c r="T22">
        <v>30.8</v>
      </c>
      <c r="U22">
        <v>-39.1</v>
      </c>
    </row>
    <row r="23" spans="2:21">
      <c r="B23" t="s">
        <v>178</v>
      </c>
      <c r="C23">
        <v>7.3470000000000004</v>
      </c>
      <c r="D23">
        <v>126.648</v>
      </c>
      <c r="E23">
        <v>199.643</v>
      </c>
      <c r="F23">
        <v>195.62299999999999</v>
      </c>
      <c r="G23">
        <v>-38.424999999999997</v>
      </c>
      <c r="H23">
        <v>113.968</v>
      </c>
      <c r="I23">
        <v>255.69900000000001</v>
      </c>
      <c r="J23">
        <v>172.881</v>
      </c>
      <c r="K23">
        <v>153.81399999999999</v>
      </c>
      <c r="L23">
        <v>369.851</v>
      </c>
      <c r="M23">
        <v>451.084</v>
      </c>
      <c r="N23">
        <v>122.19799999999999</v>
      </c>
      <c r="O23" s="12">
        <v>152.983</v>
      </c>
      <c r="P23">
        <v>107.5</v>
      </c>
      <c r="Q23">
        <v>254.2</v>
      </c>
      <c r="R23" s="53">
        <v>305.39999999999998</v>
      </c>
      <c r="S23" s="53">
        <v>61.6</v>
      </c>
      <c r="T23">
        <v>547.1</v>
      </c>
      <c r="U23">
        <v>980.3</v>
      </c>
    </row>
    <row r="24" spans="2:21">
      <c r="B24" t="s">
        <v>177</v>
      </c>
      <c r="C24">
        <v>0</v>
      </c>
      <c r="D24">
        <v>0</v>
      </c>
      <c r="E24">
        <v>0</v>
      </c>
      <c r="F24">
        <v>129.27600000000001</v>
      </c>
      <c r="G24">
        <v>35.683</v>
      </c>
      <c r="H24">
        <v>33.603000000000002</v>
      </c>
      <c r="I24">
        <v>22.859000000000002</v>
      </c>
      <c r="J24">
        <v>37.997</v>
      </c>
      <c r="K24">
        <v>57.808</v>
      </c>
      <c r="L24">
        <v>29.734999999999999</v>
      </c>
      <c r="M24">
        <v>296.47699999999998</v>
      </c>
      <c r="N24">
        <v>425.09199999999998</v>
      </c>
      <c r="O24" s="12">
        <v>8.2769999999999992</v>
      </c>
      <c r="P24">
        <v>-46</v>
      </c>
      <c r="Q24">
        <v>-67.3</v>
      </c>
      <c r="R24" s="53">
        <v>16.8</v>
      </c>
      <c r="S24" s="53">
        <v>15.7</v>
      </c>
      <c r="T24">
        <v>-31.7</v>
      </c>
      <c r="U24">
        <v>-40.700000000000003</v>
      </c>
    </row>
    <row r="26" spans="2:21">
      <c r="B26" s="20" t="s">
        <v>107</v>
      </c>
      <c r="C26" s="4">
        <f t="shared" ref="C26:N26" si="0">SUM(C9,C11:C16,C19:C24)</f>
        <v>252.68900000000005</v>
      </c>
      <c r="D26" s="4">
        <f t="shared" si="0"/>
        <v>574.36000000000013</v>
      </c>
      <c r="E26" s="4">
        <f t="shared" si="0"/>
        <v>955.70800000000008</v>
      </c>
      <c r="F26" s="4">
        <f t="shared" si="0"/>
        <v>1270.2860000000001</v>
      </c>
      <c r="G26" s="4">
        <f t="shared" si="0"/>
        <v>323.78399999999988</v>
      </c>
      <c r="H26" s="4">
        <f t="shared" si="0"/>
        <v>788.53300000000013</v>
      </c>
      <c r="I26" s="4">
        <f t="shared" si="0"/>
        <v>1123.4138</v>
      </c>
      <c r="J26" s="4">
        <f t="shared" si="0"/>
        <v>1569.3300000000002</v>
      </c>
      <c r="K26" s="4">
        <f t="shared" si="0"/>
        <v>815.69799999999998</v>
      </c>
      <c r="L26" s="4">
        <f t="shared" si="0"/>
        <v>1854.2249999999997</v>
      </c>
      <c r="M26" s="4">
        <f t="shared" si="0"/>
        <v>2761.973</v>
      </c>
      <c r="N26" s="4">
        <f t="shared" si="0"/>
        <v>3253.5489999999995</v>
      </c>
      <c r="O26" s="4">
        <f t="shared" ref="O26:U26" si="1">SUM(O9,O11:O16,O19:O24)</f>
        <v>921.05500000000006</v>
      </c>
      <c r="P26" s="4">
        <f t="shared" si="1"/>
        <v>721.4000000000002</v>
      </c>
      <c r="Q26" s="4">
        <f t="shared" si="1"/>
        <v>1648.6</v>
      </c>
      <c r="R26" s="4">
        <f t="shared" si="1"/>
        <v>2643.5000000000005</v>
      </c>
      <c r="S26" s="53">
        <f t="shared" si="1"/>
        <v>956.20000000000027</v>
      </c>
      <c r="T26" s="53">
        <f t="shared" si="1"/>
        <v>2096</v>
      </c>
      <c r="U26" s="53">
        <f t="shared" si="1"/>
        <v>3051.5</v>
      </c>
    </row>
    <row r="28" spans="2:21">
      <c r="B28" s="20" t="s">
        <v>108</v>
      </c>
    </row>
    <row r="29" spans="2:21">
      <c r="B29" t="s">
        <v>123</v>
      </c>
      <c r="C29">
        <v>-29.279</v>
      </c>
      <c r="D29">
        <v>-58.890999999999998</v>
      </c>
      <c r="E29">
        <v>-79.802999999999997</v>
      </c>
      <c r="F29">
        <v>-95.524000000000001</v>
      </c>
      <c r="G29">
        <v>-18.041</v>
      </c>
      <c r="H29">
        <v>-34.399000000000001</v>
      </c>
      <c r="I29">
        <v>-58.69</v>
      </c>
      <c r="J29">
        <v>-75.450999999999993</v>
      </c>
      <c r="K29">
        <v>-19.45</v>
      </c>
      <c r="L29">
        <v>-37.314</v>
      </c>
      <c r="M29">
        <v>-212.10900000000001</v>
      </c>
      <c r="N29">
        <v>-259.798</v>
      </c>
      <c r="O29">
        <v>-70.926000000000002</v>
      </c>
      <c r="P29">
        <v>-120.8</v>
      </c>
      <c r="Q29">
        <v>-447</v>
      </c>
      <c r="R29" s="4">
        <v>-235</v>
      </c>
      <c r="S29" s="53">
        <v>-63.6</v>
      </c>
      <c r="T29">
        <v>-116.9</v>
      </c>
      <c r="U29">
        <v>-171.1</v>
      </c>
    </row>
    <row r="30" spans="2:21">
      <c r="B30" t="s">
        <v>181</v>
      </c>
      <c r="C30">
        <v>-38.652999999999999</v>
      </c>
      <c r="D30">
        <v>-202.00200000000001</v>
      </c>
      <c r="E30">
        <v>-329.36700000000002</v>
      </c>
      <c r="F30">
        <v>-431.91800000000001</v>
      </c>
      <c r="G30">
        <v>-128.215</v>
      </c>
      <c r="H30">
        <v>-263.63600000000002</v>
      </c>
      <c r="I30">
        <v>-381.73899999999998</v>
      </c>
      <c r="J30">
        <v>-537.19860000000006</v>
      </c>
      <c r="K30">
        <v>-75.265000000000001</v>
      </c>
      <c r="L30">
        <v>-126.577</v>
      </c>
      <c r="M30">
        <v>-246.93700000000001</v>
      </c>
      <c r="N30">
        <v>-431.39600000000002</v>
      </c>
      <c r="O30">
        <v>-121.455</v>
      </c>
      <c r="P30">
        <v>-239.4</v>
      </c>
      <c r="Q30">
        <v>452</v>
      </c>
      <c r="R30" s="4">
        <v>-528.20000000000005</v>
      </c>
      <c r="S30" s="4">
        <v>-117.1</v>
      </c>
      <c r="T30">
        <v>-227.9</v>
      </c>
      <c r="U30">
        <v>-417.8</v>
      </c>
    </row>
    <row r="31" spans="2:21">
      <c r="B31" t="s">
        <v>182</v>
      </c>
      <c r="C31">
        <v>94.364999999999995</v>
      </c>
      <c r="D31">
        <v>171.02799999999999</v>
      </c>
      <c r="E31">
        <v>308.40600000000001</v>
      </c>
      <c r="F31">
        <v>431.57600000000002</v>
      </c>
      <c r="G31">
        <v>107.11799999999999</v>
      </c>
      <c r="H31">
        <v>228.70699999999999</v>
      </c>
      <c r="I31">
        <v>375.14499999999998</v>
      </c>
      <c r="J31">
        <v>475.92399999999998</v>
      </c>
      <c r="K31">
        <v>60.145000000000003</v>
      </c>
      <c r="L31">
        <v>145.39500000000001</v>
      </c>
      <c r="M31">
        <v>184.41900000000001</v>
      </c>
      <c r="N31">
        <v>372.34199999999998</v>
      </c>
      <c r="O31">
        <v>118.072</v>
      </c>
      <c r="P31">
        <v>221.3</v>
      </c>
      <c r="Q31">
        <v>-173.3</v>
      </c>
      <c r="R31" s="4">
        <v>499.3</v>
      </c>
      <c r="S31" s="4">
        <v>129.69999999999999</v>
      </c>
      <c r="T31">
        <v>242.3</v>
      </c>
      <c r="U31">
        <v>435.9</v>
      </c>
    </row>
    <row r="32" spans="2:21">
      <c r="B32" t="s">
        <v>197</v>
      </c>
      <c r="C32">
        <f>-21.5</f>
        <v>-21.5</v>
      </c>
      <c r="D32">
        <v>-21.5</v>
      </c>
      <c r="E32">
        <v>-60.49</v>
      </c>
      <c r="F32">
        <f>-15-83.471-7.896+0.075</f>
        <v>-106.292</v>
      </c>
      <c r="G32">
        <v>0</v>
      </c>
      <c r="H32">
        <f>-20</f>
        <v>-20</v>
      </c>
      <c r="I32">
        <f>-27.219-245.848</f>
        <v>-273.06700000000001</v>
      </c>
      <c r="J32">
        <f>-1154.212-39.319+94.936</f>
        <v>-1098.595</v>
      </c>
      <c r="K32">
        <f>-5.8+72.036</f>
        <v>66.236000000000004</v>
      </c>
      <c r="L32">
        <f>127.874-5.8</f>
        <v>122.074</v>
      </c>
      <c r="M32">
        <f>149.595-19.327</f>
        <v>130.268</v>
      </c>
      <c r="N32">
        <f>-19.327+437.567</f>
        <v>418.24</v>
      </c>
      <c r="O32">
        <v>0</v>
      </c>
      <c r="P32">
        <v>-15</v>
      </c>
      <c r="Q32">
        <v>-38</v>
      </c>
      <c r="R32" s="4">
        <v>-77</v>
      </c>
      <c r="S32" s="4">
        <v>0</v>
      </c>
      <c r="T32">
        <v>-10</v>
      </c>
      <c r="U32">
        <f>-295.9-47.8</f>
        <v>-343.7</v>
      </c>
    </row>
    <row r="33" spans="2:21 16384:16384">
      <c r="B33" s="20" t="s">
        <v>109</v>
      </c>
      <c r="C33" s="4">
        <f t="shared" ref="C33:U33" si="2">SUM(C29:C32)</f>
        <v>4.9329999999999927</v>
      </c>
      <c r="D33" s="4">
        <f t="shared" si="2"/>
        <v>-111.36500000000004</v>
      </c>
      <c r="E33" s="4">
        <f t="shared" si="2"/>
        <v>-161.25400000000002</v>
      </c>
      <c r="F33" s="4">
        <f t="shared" si="2"/>
        <v>-202.15799999999999</v>
      </c>
      <c r="G33" s="4">
        <f t="shared" si="2"/>
        <v>-39.138000000000005</v>
      </c>
      <c r="H33" s="4">
        <f>SUM(H29:H32)</f>
        <v>-89.328000000000031</v>
      </c>
      <c r="I33" s="4">
        <f t="shared" si="2"/>
        <v>-338.351</v>
      </c>
      <c r="J33" s="4">
        <f t="shared" si="2"/>
        <v>-1235.3206</v>
      </c>
      <c r="K33" s="4">
        <f t="shared" si="2"/>
        <v>31.666000000000004</v>
      </c>
      <c r="L33" s="4">
        <f>SUM(L29:L32)</f>
        <v>103.57800000000002</v>
      </c>
      <c r="M33" s="4">
        <f t="shared" si="2"/>
        <v>-144.35900000000007</v>
      </c>
      <c r="N33" s="58">
        <f>SUM(N29:N32)</f>
        <v>99.388000000000034</v>
      </c>
      <c r="O33" s="4">
        <f t="shared" si="2"/>
        <v>-74.308999999999997</v>
      </c>
      <c r="P33" s="53">
        <f t="shared" si="2"/>
        <v>-153.89999999999998</v>
      </c>
      <c r="Q33" s="4">
        <f t="shared" si="2"/>
        <v>-206.3</v>
      </c>
      <c r="R33" s="4">
        <f t="shared" si="2"/>
        <v>-340.90000000000003</v>
      </c>
      <c r="S33" s="53">
        <f t="shared" si="2"/>
        <v>-51</v>
      </c>
      <c r="T33" s="53">
        <f t="shared" si="2"/>
        <v>-112.5</v>
      </c>
      <c r="U33" s="53">
        <f t="shared" si="2"/>
        <v>-496.7</v>
      </c>
      <c r="XFD33" s="53"/>
    </row>
    <row r="35" spans="2:21 16384:16384">
      <c r="B35" s="20" t="s">
        <v>110</v>
      </c>
    </row>
    <row r="36" spans="2:21 16384:16384">
      <c r="B36" t="s">
        <v>194</v>
      </c>
      <c r="C36">
        <v>88.403000000000006</v>
      </c>
      <c r="D36">
        <v>144.83699999999999</v>
      </c>
      <c r="E36">
        <v>245.75399999999999</v>
      </c>
      <c r="F36">
        <v>289.29300000000001</v>
      </c>
      <c r="G36">
        <v>63.62</v>
      </c>
      <c r="H36">
        <v>114.092</v>
      </c>
      <c r="I36">
        <v>144.63</v>
      </c>
      <c r="J36">
        <v>343.24400000000003</v>
      </c>
      <c r="K36">
        <v>79.596999999999994</v>
      </c>
      <c r="L36">
        <v>213.05799999999999</v>
      </c>
      <c r="M36">
        <v>234.85400000000001</v>
      </c>
      <c r="N36">
        <v>264.94600000000003</v>
      </c>
      <c r="O36">
        <v>15.558999999999999</v>
      </c>
      <c r="P36">
        <v>53.5</v>
      </c>
      <c r="Q36" s="29">
        <v>67.289000000000001</v>
      </c>
      <c r="R36" s="53">
        <v>102</v>
      </c>
      <c r="S36" s="53">
        <v>33.700000000000003</v>
      </c>
      <c r="T36">
        <v>98.1</v>
      </c>
      <c r="U36">
        <v>134.69999999999999</v>
      </c>
    </row>
    <row r="37" spans="2:21 16384:16384">
      <c r="B37" t="s">
        <v>183</v>
      </c>
      <c r="C37">
        <v>-10</v>
      </c>
      <c r="D37">
        <v>-115.033</v>
      </c>
      <c r="E37">
        <v>-207.03800000000001</v>
      </c>
      <c r="F37">
        <v>-350.04300000000001</v>
      </c>
      <c r="G37">
        <v>-99.838999999999999</v>
      </c>
      <c r="H37">
        <v>-155.84899999999999</v>
      </c>
      <c r="I37">
        <v>-155.953</v>
      </c>
      <c r="J37">
        <v>-192.01499999999999</v>
      </c>
      <c r="K37">
        <v>-300.02600000000001</v>
      </c>
      <c r="L37">
        <v>-300.02600000000001</v>
      </c>
      <c r="M37">
        <v>-408.03300000000002</v>
      </c>
      <c r="N37">
        <v>-539.13599999999997</v>
      </c>
      <c r="O37">
        <v>-424.952</v>
      </c>
      <c r="P37">
        <v>-425</v>
      </c>
      <c r="Q37">
        <v>-1057.2</v>
      </c>
      <c r="R37" s="53">
        <v>-1425.4</v>
      </c>
      <c r="S37" s="53">
        <v>0</v>
      </c>
      <c r="T37">
        <v>0</v>
      </c>
      <c r="U37">
        <v>0</v>
      </c>
    </row>
    <row r="38" spans="2:21 16384:16384">
      <c r="B38" t="s">
        <v>184</v>
      </c>
      <c r="C38">
        <v>0</v>
      </c>
      <c r="D38">
        <v>0</v>
      </c>
      <c r="E38">
        <v>0</v>
      </c>
      <c r="F38">
        <v>0</v>
      </c>
      <c r="G38">
        <v>0</v>
      </c>
      <c r="H38">
        <v>0</v>
      </c>
      <c r="I38">
        <v>0</v>
      </c>
      <c r="J38">
        <v>0</v>
      </c>
      <c r="K38">
        <v>-136.167</v>
      </c>
      <c r="L38">
        <v>-139.24700000000001</v>
      </c>
      <c r="M38">
        <v>-179.77500000000001</v>
      </c>
      <c r="N38" s="59">
        <v>-200.27099999999999</v>
      </c>
      <c r="O38">
        <v>-102.14</v>
      </c>
      <c r="P38">
        <v>-106</v>
      </c>
      <c r="Q38" s="29">
        <v>-134.22300000000001</v>
      </c>
      <c r="R38" s="53">
        <v>-135.9</v>
      </c>
      <c r="S38" s="53">
        <v>-117.5</v>
      </c>
      <c r="T38">
        <v>-121.9</v>
      </c>
      <c r="U38">
        <v>-169.9</v>
      </c>
    </row>
    <row r="39" spans="2:21 16384:16384">
      <c r="B39" t="s">
        <v>185</v>
      </c>
      <c r="C39">
        <f>-9.197-1.182</f>
        <v>-10.379</v>
      </c>
      <c r="D39">
        <f>-14.061-2.412</f>
        <v>-16.472999999999999</v>
      </c>
      <c r="E39">
        <f>-19.792-4.866</f>
        <v>-24.658000000000001</v>
      </c>
      <c r="F39">
        <f>-5.462-27.926-5.027</f>
        <v>-38.414999999999999</v>
      </c>
      <c r="G39">
        <v>-9.3849999999999998</v>
      </c>
      <c r="H39">
        <v>-18.925999999999998</v>
      </c>
      <c r="I39">
        <v>-28.879000000000001</v>
      </c>
      <c r="J39">
        <v>-39.185000000000002</v>
      </c>
      <c r="K39">
        <v>-10.287000000000001</v>
      </c>
      <c r="L39">
        <v>-20.73</v>
      </c>
      <c r="M39">
        <v>-31.378</v>
      </c>
      <c r="N39">
        <v>-42.274999999999999</v>
      </c>
      <c r="O39">
        <v>-12.233000000000001</v>
      </c>
      <c r="P39">
        <v>-22.5</v>
      </c>
      <c r="Q39" s="29">
        <v>-34.591999999999999</v>
      </c>
      <c r="R39" s="53">
        <v>-47</v>
      </c>
      <c r="S39" s="53">
        <v>-12.9</v>
      </c>
      <c r="T39">
        <v>-25.6</v>
      </c>
      <c r="U39">
        <v>-75.099999999999994</v>
      </c>
    </row>
    <row r="40" spans="2:21 16384:16384">
      <c r="B40" t="s">
        <v>186</v>
      </c>
      <c r="C40">
        <f>9.566</f>
        <v>9.5660000000000007</v>
      </c>
      <c r="D40">
        <v>9.5660000000000007</v>
      </c>
      <c r="E40">
        <f>3.417+9.566</f>
        <v>12.983000000000001</v>
      </c>
      <c r="F40">
        <f>9.566+11.274</f>
        <v>20.84</v>
      </c>
      <c r="G40">
        <v>0</v>
      </c>
      <c r="H40">
        <v>0</v>
      </c>
      <c r="I40">
        <v>0</v>
      </c>
      <c r="J40">
        <v>0</v>
      </c>
      <c r="K40">
        <v>5.8330000000000002</v>
      </c>
      <c r="L40">
        <v>5.8330000000000002</v>
      </c>
      <c r="M40">
        <v>8.6419999999999995</v>
      </c>
      <c r="N40">
        <v>13.250999999999999</v>
      </c>
      <c r="O40">
        <v>3.6320000000000001</v>
      </c>
      <c r="P40">
        <v>11.9</v>
      </c>
      <c r="Q40">
        <v>12.647</v>
      </c>
      <c r="R40" s="53">
        <v>22.6</v>
      </c>
      <c r="S40" s="4">
        <v>0</v>
      </c>
      <c r="T40" t="s">
        <v>167</v>
      </c>
      <c r="U40">
        <v>0</v>
      </c>
    </row>
    <row r="41" spans="2:21 16384:16384">
      <c r="B41" t="s">
        <v>187</v>
      </c>
      <c r="C41">
        <f>2.5-1.134</f>
        <v>1.3660000000000001</v>
      </c>
      <c r="D41">
        <f>5-0.149</f>
        <v>4.851</v>
      </c>
      <c r="E41">
        <f>7.5-1-3.714</f>
        <v>2.786</v>
      </c>
      <c r="F41">
        <f>7.5-0.394</f>
        <v>7.1059999999999999</v>
      </c>
      <c r="G41">
        <f>5-1.385</f>
        <v>3.6150000000000002</v>
      </c>
      <c r="H41">
        <f>7.5-2.823+1.002</f>
        <v>5.6789999999999994</v>
      </c>
      <c r="I41">
        <f>-4.316+1.002-1.132+10</f>
        <v>5.5540000000000003</v>
      </c>
      <c r="J41">
        <f>12.4+10.046-5.866-1.951</f>
        <v>14.628999999999998</v>
      </c>
      <c r="K41">
        <f>2.5-0.88</f>
        <v>1.62</v>
      </c>
      <c r="L41">
        <f>3.5-1.793</f>
        <v>1.7070000000000001</v>
      </c>
      <c r="M41">
        <f>5+-2.741-6.658</f>
        <v>-4.3990000000000009</v>
      </c>
      <c r="N41">
        <v>-1.796</v>
      </c>
      <c r="O41">
        <v>1.48</v>
      </c>
      <c r="P41">
        <v>2.96</v>
      </c>
      <c r="Q41">
        <v>4.3390000000000004</v>
      </c>
      <c r="R41" s="53">
        <v>5.7</v>
      </c>
      <c r="S41" s="53">
        <v>1.3</v>
      </c>
      <c r="T41">
        <v>1.7</v>
      </c>
      <c r="U41">
        <v>2.4</v>
      </c>
    </row>
    <row r="42" spans="2:21 16384:16384" s="20" customFormat="1">
      <c r="B42" s="20" t="s">
        <v>111</v>
      </c>
      <c r="C42" s="23">
        <f t="shared" ref="C42:T42" si="3">SUM(C36:C41)</f>
        <v>78.956000000000003</v>
      </c>
      <c r="D42" s="23">
        <f t="shared" si="3"/>
        <v>27.74799999999999</v>
      </c>
      <c r="E42" s="23">
        <f t="shared" si="3"/>
        <v>29.82699999999998</v>
      </c>
      <c r="F42" s="60">
        <f>SUM(F36:F41)</f>
        <v>-71.218999999999994</v>
      </c>
      <c r="G42" s="23">
        <f>SUM(G36:G41)</f>
        <v>-41.988999999999997</v>
      </c>
      <c r="H42" s="23">
        <f t="shared" si="3"/>
        <v>-55.003999999999991</v>
      </c>
      <c r="I42" s="23">
        <f>SUM(I36:I41)</f>
        <v>-34.64800000000001</v>
      </c>
      <c r="J42" s="23">
        <f t="shared" si="3"/>
        <v>126.67300000000003</v>
      </c>
      <c r="K42" s="23">
        <f t="shared" si="3"/>
        <v>-359.42999999999995</v>
      </c>
      <c r="L42" s="23">
        <f t="shared" si="3"/>
        <v>-239.40500000000003</v>
      </c>
      <c r="M42" s="23">
        <f t="shared" si="3"/>
        <v>-380.089</v>
      </c>
      <c r="N42" s="60">
        <f t="shared" si="3"/>
        <v>-505.28099999999989</v>
      </c>
      <c r="O42" s="23">
        <f t="shared" si="3"/>
        <v>-518.654</v>
      </c>
      <c r="P42" s="54">
        <f t="shared" si="3"/>
        <v>-485.14000000000004</v>
      </c>
      <c r="Q42" s="23">
        <f t="shared" si="3"/>
        <v>-1141.7400000000002</v>
      </c>
      <c r="R42" s="54">
        <f t="shared" si="3"/>
        <v>-1478.0000000000002</v>
      </c>
      <c r="S42" s="54">
        <f t="shared" si="3"/>
        <v>-95.4</v>
      </c>
      <c r="T42" s="54">
        <f t="shared" si="3"/>
        <v>-47.70000000000001</v>
      </c>
      <c r="U42" s="23">
        <v>-107.9</v>
      </c>
    </row>
    <row r="44" spans="2:21 16384:16384">
      <c r="B44" s="20" t="s">
        <v>112</v>
      </c>
    </row>
    <row r="45" spans="2:21 16384:16384">
      <c r="B45" t="s">
        <v>113</v>
      </c>
      <c r="C45" s="4">
        <f t="shared" ref="C45:U45" si="4">C26</f>
        <v>252.68900000000005</v>
      </c>
      <c r="D45" s="4">
        <f t="shared" si="4"/>
        <v>574.36000000000013</v>
      </c>
      <c r="E45" s="4">
        <f>E26</f>
        <v>955.70800000000008</v>
      </c>
      <c r="F45" s="4">
        <f t="shared" si="4"/>
        <v>1270.2860000000001</v>
      </c>
      <c r="G45" s="4">
        <f t="shared" si="4"/>
        <v>323.78399999999988</v>
      </c>
      <c r="H45" s="4">
        <f t="shared" si="4"/>
        <v>788.53300000000013</v>
      </c>
      <c r="I45" s="4">
        <f t="shared" si="4"/>
        <v>1123.4138</v>
      </c>
      <c r="J45" s="4">
        <f t="shared" si="4"/>
        <v>1569.3300000000002</v>
      </c>
      <c r="K45" s="53">
        <f t="shared" si="4"/>
        <v>815.69799999999998</v>
      </c>
      <c r="L45" s="4">
        <f t="shared" si="4"/>
        <v>1854.2249999999997</v>
      </c>
      <c r="M45" s="4">
        <f t="shared" si="4"/>
        <v>2761.973</v>
      </c>
      <c r="N45" s="4">
        <f t="shared" si="4"/>
        <v>3253.5489999999995</v>
      </c>
      <c r="O45" s="4">
        <f t="shared" si="4"/>
        <v>921.05500000000006</v>
      </c>
      <c r="P45" s="53">
        <f t="shared" si="4"/>
        <v>721.4000000000002</v>
      </c>
      <c r="Q45" s="4">
        <f t="shared" si="4"/>
        <v>1648.6</v>
      </c>
      <c r="R45" s="4">
        <f t="shared" si="4"/>
        <v>2643.5000000000005</v>
      </c>
      <c r="S45" s="53">
        <f t="shared" si="4"/>
        <v>956.20000000000027</v>
      </c>
      <c r="T45" s="53">
        <f t="shared" si="4"/>
        <v>2096</v>
      </c>
      <c r="U45" s="53">
        <f t="shared" si="4"/>
        <v>3051.5</v>
      </c>
    </row>
    <row r="46" spans="2:21 16384:16384">
      <c r="B46" t="s">
        <v>114</v>
      </c>
      <c r="C46" s="4">
        <f t="shared" ref="C46:U46" si="5">C33</f>
        <v>4.9329999999999927</v>
      </c>
      <c r="D46" s="4">
        <f t="shared" si="5"/>
        <v>-111.36500000000004</v>
      </c>
      <c r="E46" s="4">
        <f t="shared" si="5"/>
        <v>-161.25400000000002</v>
      </c>
      <c r="F46" s="4">
        <f t="shared" si="5"/>
        <v>-202.15799999999999</v>
      </c>
      <c r="G46" s="4">
        <f t="shared" si="5"/>
        <v>-39.138000000000005</v>
      </c>
      <c r="H46" s="4">
        <f t="shared" si="5"/>
        <v>-89.328000000000031</v>
      </c>
      <c r="I46" s="4">
        <f t="shared" si="5"/>
        <v>-338.351</v>
      </c>
      <c r="J46" s="4">
        <f t="shared" si="5"/>
        <v>-1235.3206</v>
      </c>
      <c r="K46" s="58">
        <f t="shared" si="5"/>
        <v>31.666000000000004</v>
      </c>
      <c r="L46" s="4">
        <f t="shared" si="5"/>
        <v>103.57800000000002</v>
      </c>
      <c r="M46" s="4">
        <f t="shared" si="5"/>
        <v>-144.35900000000007</v>
      </c>
      <c r="N46" s="4">
        <f t="shared" si="5"/>
        <v>99.388000000000034</v>
      </c>
      <c r="O46" s="4">
        <f t="shared" si="5"/>
        <v>-74.308999999999997</v>
      </c>
      <c r="P46" s="53">
        <f t="shared" si="5"/>
        <v>-153.89999999999998</v>
      </c>
      <c r="Q46" s="4">
        <f t="shared" si="5"/>
        <v>-206.3</v>
      </c>
      <c r="R46" s="53">
        <f t="shared" si="5"/>
        <v>-340.90000000000003</v>
      </c>
      <c r="S46" s="4">
        <f t="shared" si="5"/>
        <v>-51</v>
      </c>
      <c r="T46" s="4">
        <f t="shared" si="5"/>
        <v>-112.5</v>
      </c>
      <c r="U46" s="4">
        <f t="shared" si="5"/>
        <v>-496.7</v>
      </c>
    </row>
    <row r="47" spans="2:21 16384:16384">
      <c r="B47" t="s">
        <v>111</v>
      </c>
      <c r="C47" s="4">
        <f t="shared" ref="C47:Q47" si="6">C42</f>
        <v>78.956000000000003</v>
      </c>
      <c r="D47" s="4">
        <f t="shared" si="6"/>
        <v>27.74799999999999</v>
      </c>
      <c r="E47" s="4">
        <f t="shared" si="6"/>
        <v>29.82699999999998</v>
      </c>
      <c r="F47" s="4">
        <f t="shared" si="6"/>
        <v>-71.218999999999994</v>
      </c>
      <c r="G47" s="4">
        <f t="shared" si="6"/>
        <v>-41.988999999999997</v>
      </c>
      <c r="H47" s="4">
        <f t="shared" si="6"/>
        <v>-55.003999999999991</v>
      </c>
      <c r="I47" s="4">
        <f t="shared" si="6"/>
        <v>-34.64800000000001</v>
      </c>
      <c r="J47" s="4">
        <f t="shared" si="6"/>
        <v>126.67300000000003</v>
      </c>
      <c r="K47" s="4">
        <f t="shared" si="6"/>
        <v>-359.42999999999995</v>
      </c>
      <c r="L47" s="4">
        <f>L42</f>
        <v>-239.40500000000003</v>
      </c>
      <c r="M47" s="4">
        <f t="shared" si="6"/>
        <v>-380.089</v>
      </c>
      <c r="N47" s="58">
        <f t="shared" si="6"/>
        <v>-505.28099999999989</v>
      </c>
      <c r="O47" s="4">
        <f t="shared" si="6"/>
        <v>-518.654</v>
      </c>
      <c r="P47" s="53">
        <f t="shared" si="6"/>
        <v>-485.14000000000004</v>
      </c>
      <c r="Q47" s="4">
        <f t="shared" si="6"/>
        <v>-1141.7400000000002</v>
      </c>
      <c r="R47" s="4">
        <f>R42</f>
        <v>-1478.0000000000002</v>
      </c>
      <c r="S47" s="4">
        <f>S42</f>
        <v>-95.4</v>
      </c>
      <c r="T47" s="4">
        <f>T42</f>
        <v>-47.70000000000001</v>
      </c>
      <c r="U47" s="4">
        <f>U42</f>
        <v>-107.9</v>
      </c>
    </row>
    <row r="48" spans="2:21 16384:16384" hidden="1">
      <c r="B48" s="11" t="s">
        <v>115</v>
      </c>
    </row>
    <row r="49" spans="2:21" ht="34" customHeight="1">
      <c r="B49" s="21" t="s">
        <v>116</v>
      </c>
      <c r="C49">
        <v>1.6559999999999999</v>
      </c>
      <c r="D49">
        <v>-4.2009999999999996</v>
      </c>
      <c r="E49">
        <v>-4.7560000000000002</v>
      </c>
      <c r="F49">
        <v>-6.1820000000000004</v>
      </c>
      <c r="G49">
        <v>-0.378</v>
      </c>
      <c r="H49">
        <v>-0.80800000000000005</v>
      </c>
      <c r="I49">
        <v>-4.0090000000000003</v>
      </c>
      <c r="J49">
        <v>1.643</v>
      </c>
      <c r="K49">
        <v>-6.6509999999999998</v>
      </c>
      <c r="L49">
        <v>-3.379</v>
      </c>
      <c r="M49">
        <v>2.7789999999999999</v>
      </c>
      <c r="N49">
        <v>20.552</v>
      </c>
      <c r="O49">
        <v>-4.03</v>
      </c>
      <c r="P49">
        <v>-1.0999999999999999E-2</v>
      </c>
      <c r="Q49">
        <v>-8.5</v>
      </c>
      <c r="R49" s="53">
        <v>-13.4</v>
      </c>
      <c r="S49" s="53">
        <v>-5.9</v>
      </c>
      <c r="T49">
        <v>-31.8</v>
      </c>
      <c r="U49">
        <v>-70</v>
      </c>
    </row>
    <row r="50" spans="2:21" ht="34" customHeight="1">
      <c r="B50" s="22" t="s">
        <v>117</v>
      </c>
      <c r="C50" s="4">
        <f t="shared" ref="C50:O50" si="7">SUM(C45:C47,C49)</f>
        <v>338.23400000000009</v>
      </c>
      <c r="D50" s="4">
        <f t="shared" si="7"/>
        <v>486.54200000000009</v>
      </c>
      <c r="E50" s="4">
        <f t="shared" si="7"/>
        <v>819.52500000000009</v>
      </c>
      <c r="F50" s="4">
        <f t="shared" si="7"/>
        <v>990.72700000000009</v>
      </c>
      <c r="G50" s="4">
        <f t="shared" si="7"/>
        <v>242.27899999999985</v>
      </c>
      <c r="H50" s="4">
        <f t="shared" si="7"/>
        <v>643.39300000000014</v>
      </c>
      <c r="I50" s="4">
        <f t="shared" si="7"/>
        <v>746.4058</v>
      </c>
      <c r="J50" s="4">
        <f t="shared" si="7"/>
        <v>462.32540000000012</v>
      </c>
      <c r="K50" s="4">
        <f>SUM(K45:K47,K49)</f>
        <v>481.28300000000007</v>
      </c>
      <c r="L50" s="4">
        <f t="shared" si="7"/>
        <v>1715.0189999999998</v>
      </c>
      <c r="M50" s="4">
        <f t="shared" si="7"/>
        <v>2240.3040000000001</v>
      </c>
      <c r="N50" s="4">
        <f>SUM(N45:N47,N49)</f>
        <v>2868.2079999999996</v>
      </c>
      <c r="O50" s="4">
        <f t="shared" si="7"/>
        <v>324.06200000000013</v>
      </c>
      <c r="P50" s="53">
        <f t="shared" ref="P50:U50" si="8">SUM(P45:P47,P49)</f>
        <v>82.349000000000188</v>
      </c>
      <c r="Q50" s="4">
        <f t="shared" si="8"/>
        <v>292.05999999999972</v>
      </c>
      <c r="R50" s="4">
        <f t="shared" si="8"/>
        <v>811.20000000000016</v>
      </c>
      <c r="S50" s="4">
        <f t="shared" si="8"/>
        <v>803.90000000000032</v>
      </c>
      <c r="T50" s="53">
        <f t="shared" si="8"/>
        <v>1904</v>
      </c>
      <c r="U50" s="53">
        <f t="shared" si="8"/>
        <v>2376.9</v>
      </c>
    </row>
    <row r="51" spans="2:21">
      <c r="B51" t="s">
        <v>118</v>
      </c>
      <c r="C51">
        <v>1667.5260000000001</v>
      </c>
      <c r="D51">
        <v>1667.5260000000001</v>
      </c>
      <c r="E51" s="12">
        <v>1667.5260000000001</v>
      </c>
      <c r="F51">
        <v>2658.2530000000002</v>
      </c>
      <c r="G51">
        <v>2658.2530000000002</v>
      </c>
      <c r="H51">
        <v>2658.2530000000002</v>
      </c>
      <c r="I51">
        <v>2658.2530000000002</v>
      </c>
      <c r="J51">
        <v>2658.2530000000002</v>
      </c>
      <c r="K51">
        <v>3120.681</v>
      </c>
      <c r="L51">
        <v>3120.681</v>
      </c>
      <c r="M51">
        <v>3120.681</v>
      </c>
      <c r="N51" s="12">
        <v>3120.681</v>
      </c>
      <c r="O51">
        <v>5988.8450000000003</v>
      </c>
      <c r="P51">
        <v>5988.9</v>
      </c>
      <c r="Q51">
        <v>5988.9</v>
      </c>
      <c r="R51" s="53">
        <v>5988.9</v>
      </c>
      <c r="S51" s="4">
        <v>6800.1</v>
      </c>
      <c r="T51" s="4">
        <v>6800.1</v>
      </c>
      <c r="U51" s="4">
        <v>6800.1</v>
      </c>
    </row>
    <row r="52" spans="2:21" hidden="1">
      <c r="B52" s="11" t="s">
        <v>119</v>
      </c>
    </row>
    <row r="53" spans="2:21">
      <c r="B53" s="20" t="s">
        <v>120</v>
      </c>
      <c r="C53" s="4">
        <f t="shared" ref="C53:Q53" si="9">SUM(C50:C51)</f>
        <v>2005.7600000000002</v>
      </c>
      <c r="D53" s="4">
        <f t="shared" si="9"/>
        <v>2154.0680000000002</v>
      </c>
      <c r="E53" s="4">
        <f t="shared" si="9"/>
        <v>2487.0510000000004</v>
      </c>
      <c r="F53" s="4">
        <f t="shared" si="9"/>
        <v>3648.9800000000005</v>
      </c>
      <c r="G53" s="4">
        <f t="shared" si="9"/>
        <v>2900.5320000000002</v>
      </c>
      <c r="H53" s="4">
        <f t="shared" si="9"/>
        <v>3301.6460000000002</v>
      </c>
      <c r="I53" s="4">
        <f t="shared" si="9"/>
        <v>3404.6588000000002</v>
      </c>
      <c r="J53" s="4">
        <f t="shared" si="9"/>
        <v>3120.5784000000003</v>
      </c>
      <c r="K53" s="4">
        <f t="shared" si="9"/>
        <v>3601.9639999999999</v>
      </c>
      <c r="L53" s="4">
        <f t="shared" si="9"/>
        <v>4835.7</v>
      </c>
      <c r="M53" s="4">
        <f t="shared" si="9"/>
        <v>5360.9850000000006</v>
      </c>
      <c r="N53" s="4">
        <f t="shared" si="9"/>
        <v>5988.8889999999992</v>
      </c>
      <c r="O53" s="4">
        <f t="shared" si="9"/>
        <v>6312.9070000000002</v>
      </c>
      <c r="P53" s="4">
        <f t="shared" si="9"/>
        <v>6071.2489999999998</v>
      </c>
      <c r="Q53" s="4">
        <f t="shared" si="9"/>
        <v>6280.9599999999991</v>
      </c>
      <c r="R53" s="4">
        <f>SUM(R50:R51)</f>
        <v>6800.0999999999995</v>
      </c>
      <c r="S53" s="4">
        <f>SUM(S50:S51)</f>
        <v>7604.0000000000009</v>
      </c>
      <c r="T53" s="53">
        <f>SUM(T50:T51)</f>
        <v>8704.1</v>
      </c>
      <c r="U53" s="53">
        <f>SUM(U50:U51)</f>
        <v>9177</v>
      </c>
    </row>
    <row r="55" spans="2:21">
      <c r="B55" t="s">
        <v>188</v>
      </c>
    </row>
    <row r="56" spans="2:21">
      <c r="B56" t="s">
        <v>189</v>
      </c>
      <c r="C56">
        <v>16.824999999999999</v>
      </c>
      <c r="D56">
        <v>33.444000000000003</v>
      </c>
      <c r="E56">
        <v>50.017000000000003</v>
      </c>
      <c r="F56">
        <v>66.457999999999998</v>
      </c>
      <c r="G56">
        <v>13.148</v>
      </c>
      <c r="H56">
        <v>27.109000000000002</v>
      </c>
      <c r="I56">
        <v>41.704000000000001</v>
      </c>
      <c r="J56">
        <v>55.554000000000002</v>
      </c>
      <c r="K56">
        <v>13.771000000000001</v>
      </c>
      <c r="L56">
        <v>27.347000000000001</v>
      </c>
      <c r="M56">
        <v>40.768999999999998</v>
      </c>
      <c r="N56">
        <v>54.52</v>
      </c>
      <c r="R56" s="4">
        <v>56.3</v>
      </c>
      <c r="S56" s="4">
        <v>13.7</v>
      </c>
      <c r="T56">
        <v>27.1</v>
      </c>
      <c r="U56">
        <v>41.1</v>
      </c>
    </row>
    <row r="57" spans="2:21">
      <c r="B57" t="s">
        <v>190</v>
      </c>
      <c r="C57">
        <v>1.897</v>
      </c>
      <c r="D57">
        <v>7.069</v>
      </c>
      <c r="E57">
        <v>10.316000000000001</v>
      </c>
      <c r="F57">
        <v>12.401999999999999</v>
      </c>
      <c r="G57">
        <v>1.835</v>
      </c>
      <c r="H57">
        <v>10.901999999999999</v>
      </c>
      <c r="I57">
        <v>22.838000000000001</v>
      </c>
      <c r="J57">
        <v>24.73</v>
      </c>
      <c r="K57">
        <v>5.8449999999999998</v>
      </c>
      <c r="L57">
        <v>36.813000000000002</v>
      </c>
      <c r="M57">
        <v>81.683999999999997</v>
      </c>
      <c r="N57">
        <v>191.77600000000001</v>
      </c>
      <c r="R57" s="4">
        <v>476.3</v>
      </c>
      <c r="S57" s="4">
        <v>85</v>
      </c>
      <c r="T57">
        <v>478.3</v>
      </c>
      <c r="U57">
        <v>840.1</v>
      </c>
    </row>
    <row r="58" spans="2:21">
      <c r="B58" t="s">
        <v>196</v>
      </c>
      <c r="C58">
        <v>2.1240000000000001</v>
      </c>
      <c r="D58">
        <v>13.634</v>
      </c>
      <c r="E58">
        <v>5.5090000000000003</v>
      </c>
      <c r="F58">
        <v>8.5999999999999993E-2</v>
      </c>
      <c r="G58">
        <v>0.51</v>
      </c>
      <c r="H58">
        <v>0.53900000000000003</v>
      </c>
      <c r="I58">
        <v>1.2999999999999999E-2</v>
      </c>
      <c r="J58">
        <v>2.82</v>
      </c>
      <c r="K58">
        <v>0.81699999999999995</v>
      </c>
    </row>
    <row r="60" spans="2:21">
      <c r="B60" t="s">
        <v>124</v>
      </c>
    </row>
    <row r="61" spans="2:21">
      <c r="B61" t="s">
        <v>125</v>
      </c>
    </row>
    <row r="62" spans="2:21">
      <c r="B62" t="s">
        <v>126</v>
      </c>
    </row>
    <row r="63" spans="2:21">
      <c r="B63" t="s">
        <v>127</v>
      </c>
      <c r="C63" s="4">
        <f t="shared" ref="C63:R63" si="10">SUM(C61:C62)</f>
        <v>0</v>
      </c>
      <c r="D63" s="4">
        <f t="shared" si="10"/>
        <v>0</v>
      </c>
      <c r="E63" s="4">
        <f t="shared" si="10"/>
        <v>0</v>
      </c>
      <c r="F63" s="4">
        <f t="shared" si="10"/>
        <v>0</v>
      </c>
      <c r="G63" s="4">
        <f t="shared" si="10"/>
        <v>0</v>
      </c>
      <c r="H63" s="4">
        <f t="shared" si="10"/>
        <v>0</v>
      </c>
      <c r="I63" s="4">
        <f t="shared" si="10"/>
        <v>0</v>
      </c>
      <c r="J63" s="4">
        <f t="shared" si="10"/>
        <v>0</v>
      </c>
      <c r="K63" s="4">
        <f t="shared" si="10"/>
        <v>0</v>
      </c>
      <c r="L63" s="4">
        <f t="shared" si="10"/>
        <v>0</v>
      </c>
      <c r="M63" s="4">
        <f t="shared" si="10"/>
        <v>0</v>
      </c>
      <c r="N63" s="4">
        <f t="shared" si="10"/>
        <v>0</v>
      </c>
      <c r="O63" s="4">
        <f t="shared" si="10"/>
        <v>0</v>
      </c>
      <c r="P63" s="4">
        <f t="shared" si="10"/>
        <v>0</v>
      </c>
      <c r="Q63" s="4">
        <f t="shared" si="10"/>
        <v>0</v>
      </c>
      <c r="R63" s="4">
        <f t="shared" si="10"/>
        <v>0</v>
      </c>
      <c r="S63" s="4">
        <f>SUM(S61:S62)</f>
        <v>0</v>
      </c>
      <c r="T63" s="4">
        <f>SUM(T61:T62)</f>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8076A-35AC-E940-9935-8C4C505130BA}">
  <dimension ref="B1:AQ15"/>
  <sheetViews>
    <sheetView zoomScale="90" workbookViewId="0">
      <selection activeCell="B1" sqref="B1"/>
    </sheetView>
  </sheetViews>
  <sheetFormatPr baseColWidth="10" defaultRowHeight="16"/>
  <cols>
    <col min="1" max="1" width="1.83203125" customWidth="1"/>
    <col min="2" max="2" width="25.1640625" bestFit="1" customWidth="1"/>
    <col min="3" max="4" width="11.33203125" bestFit="1" customWidth="1"/>
    <col min="18" max="18" width="11.33203125" customWidth="1"/>
    <col min="20" max="20" width="13.1640625" bestFit="1" customWidth="1"/>
  </cols>
  <sheetData>
    <row r="1" spans="2:43">
      <c r="B1" t="e" vm="1">
        <v>#VALUE!</v>
      </c>
    </row>
    <row r="7" spans="2:43">
      <c r="C7" t="s">
        <v>0</v>
      </c>
      <c r="D7" t="s">
        <v>1</v>
      </c>
      <c r="E7" t="s">
        <v>2</v>
      </c>
      <c r="F7" t="s">
        <v>3</v>
      </c>
      <c r="G7" t="s">
        <v>4</v>
      </c>
      <c r="H7" t="s">
        <v>5</v>
      </c>
      <c r="I7" t="s">
        <v>6</v>
      </c>
      <c r="J7" t="s">
        <v>7</v>
      </c>
      <c r="K7" t="s">
        <v>8</v>
      </c>
      <c r="L7" t="s">
        <v>9</v>
      </c>
      <c r="M7" s="1" t="s">
        <v>10</v>
      </c>
      <c r="N7" s="1" t="s">
        <v>11</v>
      </c>
      <c r="O7" t="s">
        <v>12</v>
      </c>
      <c r="P7" t="s">
        <v>13</v>
      </c>
      <c r="Q7" t="s">
        <v>14</v>
      </c>
      <c r="R7" t="s">
        <v>15</v>
      </c>
      <c r="S7"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2:43">
      <c r="B8" s="15" t="s">
        <v>68</v>
      </c>
      <c r="C8" s="4">
        <f>'Cash Flow Statement'!C29</f>
        <v>-29.279</v>
      </c>
      <c r="D8" s="4">
        <f>'Cash Flow Statement'!D29</f>
        <v>-58.890999999999998</v>
      </c>
      <c r="E8" s="4">
        <f>'Cash Flow Statement'!E29</f>
        <v>-79.802999999999997</v>
      </c>
      <c r="F8" s="4">
        <f>'Cash Flow Statement'!F29</f>
        <v>-95.524000000000001</v>
      </c>
      <c r="G8" s="4">
        <f>'Cash Flow Statement'!G29</f>
        <v>-18.041</v>
      </c>
      <c r="H8" s="4">
        <f>'Cash Flow Statement'!H29</f>
        <v>-34.399000000000001</v>
      </c>
      <c r="I8" s="4">
        <f>'Cash Flow Statement'!I29</f>
        <v>-58.69</v>
      </c>
      <c r="J8" s="4">
        <f>'Cash Flow Statement'!J29</f>
        <v>-75.450999999999993</v>
      </c>
      <c r="K8" s="4">
        <f>'Cash Flow Statement'!K29</f>
        <v>-19.45</v>
      </c>
      <c r="L8" s="4">
        <f>'Cash Flow Statement'!L30</f>
        <v>-126.577</v>
      </c>
      <c r="M8" s="4">
        <f>'Cash Flow Statement'!M29</f>
        <v>-212.10900000000001</v>
      </c>
      <c r="N8" s="4">
        <f>'Cash Flow Statement'!N29</f>
        <v>-259.798</v>
      </c>
      <c r="O8" s="4">
        <f>'Cash Flow Statement'!O29</f>
        <v>-70.926000000000002</v>
      </c>
      <c r="P8" s="4">
        <f>'Cash Flow Statement'!P29</f>
        <v>-120.8</v>
      </c>
      <c r="Q8" s="4">
        <f>'Cash Flow Statement'!Q29</f>
        <v>-447</v>
      </c>
      <c r="R8" s="4">
        <f>'Cash Flow Statement'!R29</f>
        <v>-235</v>
      </c>
      <c r="S8" s="4">
        <f>'Cash Flow Statement'!S36</f>
        <v>33.700000000000003</v>
      </c>
      <c r="T8" s="4">
        <f>'Cash Flow Statement'!T29</f>
        <v>-116.9</v>
      </c>
      <c r="U8" s="4">
        <f>'Cash Flow Statement'!T29</f>
        <v>-116.9</v>
      </c>
      <c r="V8" s="4">
        <f>'Income Statement'!V8*-V9</f>
        <v>-204.62110199999995</v>
      </c>
      <c r="W8" s="4">
        <f>'Income Statement'!W8*-W9</f>
        <v>-213.82458136199998</v>
      </c>
      <c r="X8" s="4">
        <f>'Income Statement'!X8*-X9</f>
        <v>-223.722223483878</v>
      </c>
      <c r="Y8" s="4">
        <f>'Income Statement'!Y8*-Y9</f>
        <v>-234.34688715096036</v>
      </c>
      <c r="Z8" s="4">
        <f>'Income Statement'!Z8*-Z9</f>
        <v>-245.73381238383726</v>
      </c>
      <c r="AA8" s="4">
        <f>'Income Statement'!AA8*-AA9</f>
        <v>-255.89629260199987</v>
      </c>
      <c r="AB8" s="4">
        <f>'Income Statement'!AB8*-AB9</f>
        <v>-266.67846493073682</v>
      </c>
      <c r="AC8" s="4">
        <f>'Income Statement'!AC8*-AC9</f>
        <v>-278.10536054002017</v>
      </c>
      <c r="AD8" s="4">
        <f>'Income Statement'!AD8*-AD9</f>
        <v>-290.20358608223916</v>
      </c>
      <c r="AE8" s="4">
        <f>'Income Statement'!AE8*-AE9</f>
        <v>-303.0013844324742</v>
      </c>
      <c r="AF8" s="4">
        <f>'Income Statement'!AF8*-AF9</f>
        <v>-316.52869949611426</v>
      </c>
      <c r="AG8" s="4">
        <f>'Income Statement'!AG8*-AG9</f>
        <v>-330.81724522666087</v>
      </c>
      <c r="AH8" s="4">
        <f>'Income Statement'!AH8*-AH9</f>
        <v>-345.90057900736559</v>
      </c>
      <c r="AI8" s="4">
        <f>'Income Statement'!AI8*-AI9</f>
        <v>-361.81417956145538</v>
      </c>
      <c r="AJ8" s="4">
        <f>'Income Statement'!AJ8*-AJ9</f>
        <v>-378.59552956715976</v>
      </c>
      <c r="AK8" s="4">
        <f>'Income Statement'!AK8*-AK9</f>
        <v>-396.28420316557714</v>
      </c>
      <c r="AL8" s="4">
        <f>'Income Statement'!AL8*-AL9</f>
        <v>-414.92195856165523</v>
      </c>
      <c r="AM8" s="4">
        <f>'Income Statement'!AM8*-AM9</f>
        <v>-434.55283593122812</v>
      </c>
      <c r="AN8" s="4">
        <f>'Income Statement'!AN8*-AN9</f>
        <v>-455.22326086019507</v>
      </c>
      <c r="AO8" s="4">
        <f>'Income Statement'!AO8*-AO9</f>
        <v>-476.9821535555709</v>
      </c>
      <c r="AP8" s="4">
        <f>'Income Statement'!AP8*-AP9</f>
        <v>-499.88104408231749</v>
      </c>
    </row>
    <row r="9" spans="2:43" ht="34">
      <c r="B9" s="16" t="s">
        <v>69</v>
      </c>
      <c r="C9" s="24">
        <f>-C8/'Income Statement'!C8</f>
        <v>4.5691394649492269E-2</v>
      </c>
      <c r="D9" s="24">
        <f>-D8/'Income Statement'!D8</f>
        <v>7.8296153595592402E-2</v>
      </c>
      <c r="E9" s="24">
        <f>-E8/'Income Statement'!E8</f>
        <v>0.10172012720911112</v>
      </c>
      <c r="F9" s="24">
        <f>-F8/'Income Statement'!F8</f>
        <v>0.10886608277441889</v>
      </c>
      <c r="G9" s="24">
        <f>-G8/'Income Statement'!G8</f>
        <v>2.1016151484969742E-2</v>
      </c>
      <c r="H9" s="24">
        <f>-H8/'Income Statement'!H8</f>
        <v>3.6544412844884647E-2</v>
      </c>
      <c r="I9" s="24">
        <f>-I8/'Income Statement'!I8</f>
        <v>6.1790134634902322E-2</v>
      </c>
      <c r="J9" s="24">
        <f>-J8/'Income Statement'!J8</f>
        <v>5.3387722755463413E-2</v>
      </c>
      <c r="K9" s="24">
        <f>-K8/'Income Statement'!K8</f>
        <v>1.2837377162141025E-2</v>
      </c>
      <c r="L9" s="24">
        <f>-L8/'Income Statement'!L8</f>
        <v>8.3029350895548332E-2</v>
      </c>
      <c r="M9" s="24">
        <f>-M8/'Income Statement'!M8</f>
        <v>0.13788792741981096</v>
      </c>
      <c r="N9" s="24">
        <f>-N8/'Income Statement'!N8</f>
        <v>0.1595987271319925</v>
      </c>
      <c r="O9" s="24">
        <f>-O8/'Income Statement'!O8</f>
        <v>4.1135599118431738E-2</v>
      </c>
      <c r="P9" s="24">
        <f>-P8/'Income Statement'!P8</f>
        <v>6.7361846874477216E-2</v>
      </c>
      <c r="Q9" s="24">
        <f>-Q8/'Income Statement'!Q8</f>
        <v>0.22527970970668279</v>
      </c>
      <c r="R9" s="24">
        <f>-R8/'Income Statement'!R8</f>
        <v>0.11332401022327242</v>
      </c>
      <c r="S9" s="24">
        <f>-S8/'Income Statement'!S8</f>
        <v>-1.6066746126340882E-2</v>
      </c>
      <c r="T9" s="24">
        <f>-T8/'Income Statement'!T8</f>
        <v>5.3228303433202812E-2</v>
      </c>
      <c r="U9" s="24">
        <f>-U8/'Income Statement'!U8</f>
        <v>5.0079252880949332E-2</v>
      </c>
      <c r="V9" s="24">
        <v>8.4000000000000005E-2</v>
      </c>
      <c r="W9" s="24">
        <v>8.4000000000000005E-2</v>
      </c>
      <c r="X9" s="24">
        <v>8.4000000000000005E-2</v>
      </c>
      <c r="Y9" s="24">
        <v>8.4000000000000005E-2</v>
      </c>
      <c r="Z9" s="24">
        <v>8.4000000000000005E-2</v>
      </c>
      <c r="AA9" s="24">
        <v>8.4000000000000005E-2</v>
      </c>
      <c r="AB9" s="24">
        <v>8.4000000000000005E-2</v>
      </c>
      <c r="AC9" s="24">
        <v>8.4000000000000005E-2</v>
      </c>
      <c r="AD9" s="24">
        <v>8.4000000000000005E-2</v>
      </c>
      <c r="AE9" s="24">
        <v>8.4000000000000005E-2</v>
      </c>
      <c r="AF9" s="24">
        <v>8.4000000000000005E-2</v>
      </c>
      <c r="AG9" s="24">
        <v>8.4000000000000005E-2</v>
      </c>
      <c r="AH9" s="24">
        <v>8.4000000000000005E-2</v>
      </c>
      <c r="AI9" s="24">
        <v>8.4000000000000005E-2</v>
      </c>
      <c r="AJ9" s="24">
        <v>8.4000000000000005E-2</v>
      </c>
      <c r="AK9" s="24">
        <v>8.4000000000000005E-2</v>
      </c>
      <c r="AL9" s="24">
        <v>8.4000000000000005E-2</v>
      </c>
      <c r="AM9" s="24">
        <v>8.4000000000000005E-2</v>
      </c>
      <c r="AN9" s="24">
        <v>8.4000000000000005E-2</v>
      </c>
      <c r="AO9" s="24">
        <v>8.4000000000000005E-2</v>
      </c>
      <c r="AP9" s="24">
        <v>8.4000000000000005E-2</v>
      </c>
      <c r="AQ9" s="24"/>
    </row>
    <row r="10" spans="2:43">
      <c r="B10" s="16"/>
      <c r="C10" s="24"/>
      <c r="D10" s="24"/>
      <c r="E10" s="24"/>
      <c r="F10" s="24"/>
      <c r="G10" s="24"/>
      <c r="H10" s="24"/>
      <c r="I10" s="24"/>
      <c r="J10" s="24"/>
      <c r="K10" s="24"/>
      <c r="L10" s="24"/>
      <c r="M10" s="24"/>
      <c r="N10" s="24"/>
      <c r="O10" s="24"/>
      <c r="P10" s="24"/>
      <c r="Q10" s="24"/>
      <c r="R10" s="24"/>
      <c r="S10" s="24"/>
    </row>
    <row r="11" spans="2:43" ht="17">
      <c r="B11" s="16" t="s">
        <v>47</v>
      </c>
      <c r="C11" s="4">
        <f>'Cash Flow Statement'!C12</f>
        <v>16.343</v>
      </c>
      <c r="D11" s="4">
        <f>'Cash Flow Statement'!D12</f>
        <v>34.402000000000001</v>
      </c>
      <c r="E11" s="4">
        <f>'Cash Flow Statement'!E12</f>
        <v>53.594000000000001</v>
      </c>
      <c r="F11" s="4">
        <f>'Cash Flow Statement'!F12</f>
        <v>72.42</v>
      </c>
      <c r="G11" s="4">
        <f>'Cash Flow Statement'!G12</f>
        <v>27.14</v>
      </c>
      <c r="H11" s="4">
        <f>'Cash Flow Statement'!H12</f>
        <v>54.838000000000001</v>
      </c>
      <c r="I11" s="4">
        <f>'Cash Flow Statement'!I12</f>
        <v>80.685000000000002</v>
      </c>
      <c r="J11" s="4">
        <f>'Cash Flow Statement'!J12</f>
        <v>106.941</v>
      </c>
      <c r="K11" s="4">
        <f>'Cash Flow Statement'!K12</f>
        <v>26.821000000000002</v>
      </c>
      <c r="L11" s="4">
        <f>'Cash Flow Statement'!L12</f>
        <v>53.518000000000001</v>
      </c>
      <c r="M11" s="4">
        <f>'Cash Flow Statement'!M12</f>
        <v>80.16</v>
      </c>
      <c r="N11" s="4">
        <f>'Cash Flow Statement'!N12</f>
        <v>109.515</v>
      </c>
      <c r="O11" s="4">
        <f>'Cash Flow Statement'!O12</f>
        <v>28.834</v>
      </c>
      <c r="P11" s="4">
        <f>'Cash Flow Statement'!P12</f>
        <v>60</v>
      </c>
      <c r="Q11" s="4">
        <f>'Cash Flow Statement'!Q12</f>
        <v>91.8</v>
      </c>
      <c r="R11" s="4">
        <f>'Cash Flow Statement'!R12</f>
        <v>125.6</v>
      </c>
      <c r="S11" s="4">
        <f>'Cash Flow Statement'!S12</f>
        <v>35.9</v>
      </c>
      <c r="T11" s="4">
        <f>'Cash Flow Statement'!T12</f>
        <v>73.2</v>
      </c>
      <c r="U11" s="4">
        <f t="shared" ref="U11:AP11" si="0">U12*U8</f>
        <v>76.298827631325011</v>
      </c>
      <c r="V11" s="4">
        <f t="shared" si="0"/>
        <v>199.69229583540397</v>
      </c>
      <c r="W11" s="4">
        <f t="shared" si="0"/>
        <v>118.91733352869197</v>
      </c>
      <c r="X11" s="4">
        <f t="shared" si="0"/>
        <v>187.45482429362715</v>
      </c>
      <c r="Y11" s="4">
        <f t="shared" si="0"/>
        <v>152.95460007415483</v>
      </c>
      <c r="Z11" s="4">
        <f t="shared" si="0"/>
        <v>239.81470473810123</v>
      </c>
      <c r="AA11" s="4">
        <f t="shared" si="0"/>
        <v>142.31527816995765</v>
      </c>
      <c r="AB11" s="4">
        <f t="shared" si="0"/>
        <v>223.44746984909125</v>
      </c>
      <c r="AC11" s="4">
        <f t="shared" si="0"/>
        <v>181.51508098537636</v>
      </c>
      <c r="AD11" s="4">
        <f t="shared" si="0"/>
        <v>283.21331376873161</v>
      </c>
      <c r="AE11" s="4">
        <f t="shared" si="0"/>
        <v>168.51250900480159</v>
      </c>
      <c r="AF11" s="4">
        <f t="shared" si="0"/>
        <v>265.21652978390961</v>
      </c>
      <c r="AG11" s="4">
        <f t="shared" si="0"/>
        <v>215.9193154064908</v>
      </c>
      <c r="AH11" s="4">
        <f t="shared" si="0"/>
        <v>337.5687066369938</v>
      </c>
      <c r="AI11" s="4">
        <f t="shared" si="0"/>
        <v>201.22091291963139</v>
      </c>
      <c r="AJ11" s="4">
        <f t="shared" si="0"/>
        <v>317.22176441929969</v>
      </c>
      <c r="AK11" s="4">
        <f t="shared" si="0"/>
        <v>258.64858948115784</v>
      </c>
      <c r="AL11" s="4">
        <f t="shared" si="0"/>
        <v>404.92753527297151</v>
      </c>
      <c r="AM11" s="4">
        <f t="shared" si="0"/>
        <v>241.67410592885386</v>
      </c>
      <c r="AN11" s="4">
        <f t="shared" si="0"/>
        <v>381.42744627723243</v>
      </c>
      <c r="AO11" s="4">
        <f t="shared" si="0"/>
        <v>311.31889749661849</v>
      </c>
      <c r="AP11" s="4">
        <f t="shared" si="0"/>
        <v>487.84017074346895</v>
      </c>
    </row>
    <row r="12" spans="2:43">
      <c r="B12" s="15" t="s">
        <v>129</v>
      </c>
      <c r="C12" s="25">
        <f t="shared" ref="C12:T12" si="1">C11/C8</f>
        <v>-0.55818163188633496</v>
      </c>
      <c r="D12" s="25">
        <f t="shared" si="1"/>
        <v>-0.58416396393336845</v>
      </c>
      <c r="E12" s="25">
        <f t="shared" si="1"/>
        <v>-0.67157876270315653</v>
      </c>
      <c r="F12" s="25">
        <f t="shared" si="1"/>
        <v>-0.75813408148737493</v>
      </c>
      <c r="G12" s="25">
        <f t="shared" si="1"/>
        <v>-1.5043512000443435</v>
      </c>
      <c r="H12" s="25">
        <f t="shared" si="1"/>
        <v>-1.5941742492514317</v>
      </c>
      <c r="I12" s="25">
        <f t="shared" si="1"/>
        <v>-1.3747657181802693</v>
      </c>
      <c r="J12" s="25">
        <f t="shared" si="1"/>
        <v>-1.4173569601463203</v>
      </c>
      <c r="K12" s="25">
        <f t="shared" si="1"/>
        <v>-1.3789717223650386</v>
      </c>
      <c r="L12" s="25">
        <f t="shared" si="1"/>
        <v>-0.42280983116995979</v>
      </c>
      <c r="M12" s="25">
        <f t="shared" si="1"/>
        <v>-0.37791890018811081</v>
      </c>
      <c r="N12" s="25">
        <f t="shared" si="1"/>
        <v>-0.42153904187099206</v>
      </c>
      <c r="O12" s="25">
        <f t="shared" si="1"/>
        <v>-0.40653639004032371</v>
      </c>
      <c r="P12" s="25">
        <f t="shared" si="1"/>
        <v>-0.49668874172185434</v>
      </c>
      <c r="Q12" s="25">
        <f t="shared" si="1"/>
        <v>-0.20536912751677852</v>
      </c>
      <c r="R12" s="25">
        <f t="shared" si="1"/>
        <v>-0.534468085106383</v>
      </c>
      <c r="S12" s="25">
        <f t="shared" si="1"/>
        <v>1.0652818991097921</v>
      </c>
      <c r="T12" s="25">
        <f t="shared" si="1"/>
        <v>-0.62617621899059028</v>
      </c>
      <c r="U12" s="25">
        <f>AVERAGE($Q12,$M12,$I12)</f>
        <v>-0.65268458196171952</v>
      </c>
      <c r="V12" s="25">
        <f>AVERAGE($R12,$J12)</f>
        <v>-0.97591252262635164</v>
      </c>
      <c r="W12" s="25">
        <f>AVERAGE($O12,$K12,$G12,$S12)</f>
        <v>-0.55614435333497847</v>
      </c>
      <c r="X12" s="25">
        <f>AVERAGE($P12,$L12,$H12)</f>
        <v>-0.83789094071441517</v>
      </c>
      <c r="Y12" s="25">
        <f>AVERAGE($Q12,$M12,$I12)</f>
        <v>-0.65268458196171952</v>
      </c>
      <c r="Z12" s="25">
        <f>AVERAGE($R12,$J12)</f>
        <v>-0.97591252262635164</v>
      </c>
      <c r="AA12" s="25">
        <f>AVERAGE($O12,$K12,$G12,$S12)</f>
        <v>-0.55614435333497847</v>
      </c>
      <c r="AB12" s="25">
        <f>AVERAGE($P12,$L12,$H12)</f>
        <v>-0.83789094071441517</v>
      </c>
      <c r="AC12" s="25">
        <f>AVERAGE($Q12,$M12,$I12)</f>
        <v>-0.65268458196171952</v>
      </c>
      <c r="AD12" s="25">
        <f>AVERAGE($R12,$J12)</f>
        <v>-0.97591252262635164</v>
      </c>
      <c r="AE12" s="25">
        <f>AVERAGE($O12,$K12,$G12,$S12)</f>
        <v>-0.55614435333497847</v>
      </c>
      <c r="AF12" s="25">
        <f>AVERAGE($P12,$L12,$H12)</f>
        <v>-0.83789094071441517</v>
      </c>
      <c r="AG12" s="25">
        <f>AVERAGE($Q12,$M12,$I12)</f>
        <v>-0.65268458196171952</v>
      </c>
      <c r="AH12" s="25">
        <f>AVERAGE($R12,$J12)</f>
        <v>-0.97591252262635164</v>
      </c>
      <c r="AI12" s="25">
        <f>AVERAGE($O12,$K12,$G12,$S12)</f>
        <v>-0.55614435333497847</v>
      </c>
      <c r="AJ12" s="25">
        <f>AVERAGE($P12,$L12,$H12)</f>
        <v>-0.83789094071441517</v>
      </c>
      <c r="AK12" s="25">
        <f>AVERAGE($Q12,$M12,$I12)</f>
        <v>-0.65268458196171952</v>
      </c>
      <c r="AL12" s="25">
        <f>AVERAGE($R12,$J12)</f>
        <v>-0.97591252262635164</v>
      </c>
      <c r="AM12" s="25">
        <f>AVERAGE($O12,$K12,$G12,$S12)</f>
        <v>-0.55614435333497847</v>
      </c>
      <c r="AN12" s="25">
        <f>AVERAGE($P12,$L12,$H12)</f>
        <v>-0.83789094071441517</v>
      </c>
      <c r="AO12" s="25">
        <f>AVERAGE($Q12,$M12,$I12)</f>
        <v>-0.65268458196171952</v>
      </c>
      <c r="AP12" s="25">
        <f>AVERAGE($R12,$J12)</f>
        <v>-0.97591252262635164</v>
      </c>
    </row>
    <row r="15" spans="2:43">
      <c r="R15" s="77"/>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9C237-6BC8-8442-94FE-07DB87BD37D0}">
  <dimension ref="B1:AP34"/>
  <sheetViews>
    <sheetView topLeftCell="F1" workbookViewId="0">
      <selection activeCell="B2" sqref="B2"/>
    </sheetView>
  </sheetViews>
  <sheetFormatPr baseColWidth="10" defaultRowHeight="16"/>
  <cols>
    <col min="1" max="1" width="2.5" customWidth="1"/>
    <col min="2" max="2" width="31.5" bestFit="1" customWidth="1"/>
    <col min="3" max="20" width="11.5" bestFit="1" customWidth="1"/>
  </cols>
  <sheetData>
    <row r="1" spans="2:42">
      <c r="B1" t="s">
        <v>130</v>
      </c>
    </row>
    <row r="2" spans="2:42">
      <c r="B2" t="e" vm="1">
        <v>#VALUE!</v>
      </c>
    </row>
    <row r="7" spans="2:42">
      <c r="C7" t="s">
        <v>0</v>
      </c>
      <c r="D7" t="s">
        <v>1</v>
      </c>
      <c r="E7" t="s">
        <v>2</v>
      </c>
      <c r="F7" t="s">
        <v>3</v>
      </c>
      <c r="G7" t="s">
        <v>4</v>
      </c>
      <c r="H7" t="s">
        <v>5</v>
      </c>
      <c r="I7" t="s">
        <v>6</v>
      </c>
      <c r="J7" t="s">
        <v>7</v>
      </c>
      <c r="K7" t="s">
        <v>8</v>
      </c>
      <c r="L7" t="s">
        <v>9</v>
      </c>
      <c r="M7" s="1" t="s">
        <v>10</v>
      </c>
      <c r="N7" s="1" t="s">
        <v>11</v>
      </c>
      <c r="O7" t="s">
        <v>12</v>
      </c>
      <c r="P7" t="s">
        <v>13</v>
      </c>
      <c r="Q7" t="s">
        <v>14</v>
      </c>
      <c r="R7" t="s">
        <v>15</v>
      </c>
      <c r="S7"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2:42">
      <c r="B8" t="s">
        <v>131</v>
      </c>
      <c r="C8" s="4">
        <f>'Balance Sheet'!C11</f>
        <v>327.29399999999998</v>
      </c>
      <c r="D8" s="4">
        <f>'Balance Sheet'!D11</f>
        <v>393.43900000000002</v>
      </c>
      <c r="E8" s="4">
        <f>'Balance Sheet'!E11</f>
        <v>379.755</v>
      </c>
      <c r="F8" s="4">
        <f>'Balance Sheet'!F11</f>
        <v>409.68799999999999</v>
      </c>
      <c r="G8" s="4">
        <f>'Balance Sheet'!G11</f>
        <v>438.29700000000003</v>
      </c>
      <c r="H8" s="4">
        <f>'Balance Sheet'!H11</f>
        <v>464.9</v>
      </c>
      <c r="I8" s="4">
        <f>'Balance Sheet'!I11</f>
        <v>443.315</v>
      </c>
      <c r="J8" s="4">
        <f>'Balance Sheet'!J11</f>
        <v>633.51800000000003</v>
      </c>
      <c r="K8" s="4">
        <f>'Balance Sheet'!K11</f>
        <v>845.26900000000001</v>
      </c>
      <c r="L8" s="4">
        <f>'Balance Sheet'!L11</f>
        <v>791.76800000000003</v>
      </c>
      <c r="M8" s="4">
        <f>'Balance Sheet'!M11</f>
        <v>791.91700000000003</v>
      </c>
      <c r="N8" s="4">
        <f>'Balance Sheet'!N11</f>
        <v>885.35199999999998</v>
      </c>
      <c r="O8" s="4">
        <f>'Balance Sheet'!O11</f>
        <v>977.6</v>
      </c>
      <c r="P8" s="4">
        <f>'Balance Sheet'!P11</f>
        <v>929.1</v>
      </c>
      <c r="Q8" s="4">
        <f>'Balance Sheet'!Q11</f>
        <v>1100.3</v>
      </c>
      <c r="R8" s="4">
        <f>'Balance Sheet'!R11</f>
        <v>1136.8</v>
      </c>
      <c r="S8" s="4">
        <f>'Balance Sheet'!S11</f>
        <v>1292.8</v>
      </c>
      <c r="T8" s="4">
        <f>'Balance Sheet'!T11</f>
        <v>1332.9</v>
      </c>
      <c r="U8" s="4">
        <f>'Balance Sheet'!U11</f>
        <v>1385.2</v>
      </c>
      <c r="V8" s="4">
        <f>(V14/90)*'Income Statement'!V8</f>
        <v>1281.5412143683916</v>
      </c>
      <c r="W8" s="4">
        <f>(W14/90)*'Income Statement'!W8</f>
        <v>1345.0374827005924</v>
      </c>
      <c r="X8" s="4">
        <f>(X14/90)*'Income Statement'!X8</f>
        <v>1417.1487493198849</v>
      </c>
      <c r="Y8" s="4">
        <f>(Y14/90)*'Income Statement'!Y8</f>
        <v>1487.5560571741964</v>
      </c>
      <c r="Z8" s="4">
        <f>(Z14/90)*'Income Statement'!Z8</f>
        <v>1566.8200475206297</v>
      </c>
      <c r="AA8" s="4">
        <f>(AA14/90)*'Income Statement'!AA8</f>
        <v>1644.2731383043638</v>
      </c>
      <c r="AB8" s="4">
        <f>(AB14/90)*'Income Statement'!AB8</f>
        <v>1730.8817711370368</v>
      </c>
      <c r="AC8" s="4">
        <f>(AC14/90)*'Income Statement'!AC8</f>
        <v>1801.292978027378</v>
      </c>
      <c r="AD8" s="4">
        <f>(AD14/90)*'Income Statement'!AD8</f>
        <v>1885.2320530625921</v>
      </c>
      <c r="AE8" s="4">
        <f>(AE14/90)*'Income Statement'!AE8</f>
        <v>1974.9661137307405</v>
      </c>
      <c r="AF8" s="4">
        <f>(AF14/90)*'Income Statement'!AF8</f>
        <v>2063.5602689405437</v>
      </c>
      <c r="AG8" s="4">
        <f>(AG14/90)*'Income Statement'!AG8</f>
        <v>2151.9186653518836</v>
      </c>
      <c r="AH8" s="4">
        <f>(AH14/90)*'Income Statement'!AH8</f>
        <v>2257.633611328014</v>
      </c>
      <c r="AI8" s="4">
        <f>(AI14/90)*'Income Statement'!AI8</f>
        <v>2359.3122161671781</v>
      </c>
      <c r="AJ8" s="4">
        <f>(AJ14/90)*'Income Statement'!AJ8</f>
        <v>2468.7551845118378</v>
      </c>
      <c r="AK8" s="4">
        <f>(AK14/90)*'Income Statement'!AK8</f>
        <v>2563.8708821872751</v>
      </c>
      <c r="AL8" s="4">
        <f>(AL14/90)*'Income Statement'!AL8</f>
        <v>2685.6989334993209</v>
      </c>
      <c r="AM8" s="4">
        <f>(AM14/90)*'Income Statement'!AM8</f>
        <v>2793.4567397485894</v>
      </c>
      <c r="AN8" s="4">
        <f>(AN14/90)*'Income Statement'!AN8</f>
        <v>2933.6212438662274</v>
      </c>
      <c r="AO8" s="4">
        <f>(AO14/90)*'Income Statement'!AO8</f>
        <v>3078.482709952284</v>
      </c>
      <c r="AP8" s="4">
        <f>(AP14/90)*'Income Statement'!AP8</f>
        <v>3230.8017779556026</v>
      </c>
    </row>
    <row r="9" spans="2:42">
      <c r="B9" t="s">
        <v>77</v>
      </c>
      <c r="C9" s="4">
        <f>'Balance Sheet'!C12</f>
        <v>117.346</v>
      </c>
      <c r="D9" s="4">
        <f>'Balance Sheet'!D12</f>
        <v>115.02500000000001</v>
      </c>
      <c r="E9" s="4">
        <f>'Balance Sheet'!E12</f>
        <v>124.15</v>
      </c>
      <c r="F9" s="4">
        <f>'Balance Sheet'!F12</f>
        <v>124.36</v>
      </c>
      <c r="G9" s="4">
        <f>'Balance Sheet'!G12</f>
        <v>136.69800000000001</v>
      </c>
      <c r="H9" s="4">
        <f>'Balance Sheet'!H12</f>
        <v>143.017</v>
      </c>
      <c r="I9" s="4">
        <f>'Balance Sheet'!I12</f>
        <v>162.30600000000001</v>
      </c>
      <c r="J9" s="4">
        <f>'Balance Sheet'!J12</f>
        <v>167.50200000000001</v>
      </c>
      <c r="K9" s="4">
        <f>'Balance Sheet'!K12</f>
        <v>187.08699999999999</v>
      </c>
      <c r="L9" s="4">
        <f>'Balance Sheet'!L12</f>
        <v>219.21799999999999</v>
      </c>
      <c r="M9" s="4">
        <f>'Balance Sheet'!M12</f>
        <v>245.46</v>
      </c>
      <c r="N9" s="4">
        <f>'Balance Sheet'!N12</f>
        <v>280.77699999999999</v>
      </c>
      <c r="O9" s="4">
        <f>'Balance Sheet'!O12</f>
        <v>298.89999999999998</v>
      </c>
      <c r="P9" s="4">
        <f>'Balance Sheet'!P12</f>
        <v>321.60000000000002</v>
      </c>
      <c r="Q9" s="4">
        <f>'Balance Sheet'!Q12</f>
        <v>333.4</v>
      </c>
      <c r="R9" s="4">
        <f>'Balance Sheet'!R12</f>
        <v>353.1</v>
      </c>
      <c r="S9" s="4">
        <f>'Balance Sheet'!S12</f>
        <v>338.9</v>
      </c>
      <c r="T9" s="4">
        <f>'Balance Sheet'!T12</f>
        <v>367.7</v>
      </c>
      <c r="U9" s="4">
        <f>'Balance Sheet'!U12</f>
        <v>388.2</v>
      </c>
      <c r="V9" s="4">
        <f>(V15/90)*'[2]Income Statement'!W71</f>
        <v>6497.2179373628378</v>
      </c>
      <c r="W9" s="4">
        <f>(W15/90)*'[2]Income Statement'!X71</f>
        <v>6688.7868835638574</v>
      </c>
      <c r="X9" s="4">
        <f>(X15/90)*'[2]Income Statement'!Y71</f>
        <v>6924.9677680230607</v>
      </c>
      <c r="Y9" s="4">
        <f>(Y15/90)*'[2]Income Statement'!Z71</f>
        <v>7028.0469256926654</v>
      </c>
      <c r="Z9" s="4">
        <f>(Z15/90)*'[2]Income Statement'!AA71</f>
        <v>7271.6141729664532</v>
      </c>
      <c r="AA9" s="4">
        <f>(AA15/90)*'[2]Income Statement'!AB71</f>
        <v>7456.1626797082317</v>
      </c>
      <c r="AB9" s="4">
        <f>(AB15/90)*'[2]Income Statement'!AC71</f>
        <v>7769.31029109873</v>
      </c>
      <c r="AC9" s="4">
        <f>(AC15/90)*'[2]Income Statement'!AD71</f>
        <v>8002.5339819571327</v>
      </c>
      <c r="AD9" s="4">
        <f>(AD15/90)*'[2]Income Statement'!AE71</f>
        <v>8237.8361882111112</v>
      </c>
      <c r="AE9" s="4">
        <f>(AE15/90)*'[2]Income Statement'!AF71</f>
        <v>8432.7384987396454</v>
      </c>
      <c r="AF9" s="4">
        <f>(AF15/90)*'[2]Income Statement'!AG71</f>
        <v>8610.3442599199952</v>
      </c>
      <c r="AG9" s="4">
        <f>(AG15/90)*'[2]Income Statement'!AH71</f>
        <v>8722.3182704179089</v>
      </c>
      <c r="AH9" s="4">
        <f>(AH15/90)*'[2]Income Statement'!AI71</f>
        <v>6660.1931439729669</v>
      </c>
      <c r="AI9" s="4">
        <f>(AI15/90)*'[2]Income Statement'!AJ71</f>
        <v>6787.5239833593087</v>
      </c>
      <c r="AJ9" s="4">
        <f>(AJ15/90)*'[2]Income Statement'!AK71</f>
        <v>6910.3037007188914</v>
      </c>
      <c r="AK9" s="4">
        <f>(AK15/90)*'[2]Income Statement'!AL71</f>
        <v>7049.8558954489317</v>
      </c>
      <c r="AL9" s="4">
        <f>(AL15/90)*'[2]Income Statement'!AM71</f>
        <v>7209.4357740026016</v>
      </c>
      <c r="AM9" s="4">
        <f>(AM15/90)*'[2]Income Statement'!AN71</f>
        <v>7344.6691713243617</v>
      </c>
      <c r="AN9" s="4">
        <f>(AN15/90)*'[2]Income Statement'!AO71</f>
        <v>7532.4722507456354</v>
      </c>
      <c r="AO9" s="4">
        <f>(AO15/90)*'[2]Income Statement'!AP71</f>
        <v>7716.8664424413837</v>
      </c>
      <c r="AP9" s="4">
        <f>(AP15/90)*'[2]Income Statement'!AQ71</f>
        <v>7904.0809206708191</v>
      </c>
    </row>
    <row r="10" spans="2:42">
      <c r="B10" s="26" t="s">
        <v>132</v>
      </c>
      <c r="C10" s="4">
        <f>'Balance Sheet'!C13</f>
        <v>109.886</v>
      </c>
      <c r="D10" s="4">
        <f>'Balance Sheet'!D13</f>
        <v>122.694</v>
      </c>
      <c r="E10" s="4">
        <f>'Balance Sheet'!E13</f>
        <v>118.678</v>
      </c>
      <c r="F10" s="4">
        <f>'Balance Sheet'!F13</f>
        <v>140.81899999999999</v>
      </c>
      <c r="G10" s="4">
        <f>'Balance Sheet'!G13</f>
        <v>130.00899999999999</v>
      </c>
      <c r="H10" s="4">
        <f>'Balance Sheet'!H13</f>
        <v>151.82900000000001</v>
      </c>
      <c r="I10" s="4">
        <f>'Balance Sheet'!I13</f>
        <v>175.142</v>
      </c>
      <c r="J10" s="4">
        <f>'Balance Sheet'!J13</f>
        <v>213.51499999999999</v>
      </c>
      <c r="K10" s="4">
        <f>'Balance Sheet'!K13</f>
        <v>223.648</v>
      </c>
      <c r="L10" s="4">
        <f>'Balance Sheet'!L13</f>
        <v>232.565</v>
      </c>
      <c r="M10" s="4">
        <f>'Balance Sheet'!M13</f>
        <v>270.02100000000002</v>
      </c>
      <c r="N10" s="4">
        <f>'Balance Sheet'!N13</f>
        <v>308.35300000000001</v>
      </c>
      <c r="O10" s="4">
        <f>'Balance Sheet'!O13</f>
        <v>338.9</v>
      </c>
      <c r="P10" s="4">
        <f>'Balance Sheet'!P13</f>
        <v>498.8</v>
      </c>
      <c r="Q10" s="4">
        <f>'Balance Sheet'!Q13</f>
        <v>457.8</v>
      </c>
      <c r="R10" s="4">
        <f>'Balance Sheet'!R13</f>
        <v>545.79999999999995</v>
      </c>
      <c r="S10" s="4">
        <f>'Balance Sheet'!S13</f>
        <v>491.5</v>
      </c>
      <c r="T10" s="4">
        <f>'Balance Sheet'!T13</f>
        <v>549.5</v>
      </c>
      <c r="U10" s="4">
        <f>'Balance Sheet'!U13</f>
        <v>726.9</v>
      </c>
      <c r="V10" s="4">
        <f>(V16/90)*'[2]Income Statement'!W71</f>
        <v>7962.1953541950998</v>
      </c>
      <c r="W10" s="4">
        <f>(W16/90)*'[2]Income Statement'!X71</f>
        <v>8283.7285984823211</v>
      </c>
      <c r="X10" s="4">
        <f>(X16/90)*'[2]Income Statement'!Y71</f>
        <v>8606.673785556879</v>
      </c>
      <c r="Y10" s="4">
        <f>(Y16/90)*'[2]Income Statement'!Z71</f>
        <v>8875.7789291824083</v>
      </c>
      <c r="Z10" s="4">
        <f>(Z16/90)*'[2]Income Statement'!AA71</f>
        <v>9248.1927512464499</v>
      </c>
      <c r="AA10" s="4">
        <f>(AA16/90)*'[2]Income Statement'!AB71</f>
        <v>9563.2893435992737</v>
      </c>
      <c r="AB10" s="4">
        <f>(AB16/90)*'[2]Income Statement'!AC71</f>
        <v>9962.4159778975263</v>
      </c>
      <c r="AC10" s="4">
        <f>(AC16/90)*'[2]Income Statement'!AD71</f>
        <v>10298.875324976554</v>
      </c>
      <c r="AD10" s="4">
        <f>(AD16/90)*'[2]Income Statement'!AE71</f>
        <v>10701.605572737459</v>
      </c>
      <c r="AE10" s="4">
        <f>(AE16/90)*'[2]Income Statement'!AF71</f>
        <v>11050.627003327147</v>
      </c>
      <c r="AF10" s="4">
        <f>(AF16/90)*'[2]Income Statement'!AG71</f>
        <v>11394.069145577234</v>
      </c>
      <c r="AG10" s="4">
        <f>(AG16/90)*'[2]Income Statement'!AH71</f>
        <v>11655.05830058466</v>
      </c>
      <c r="AH10" s="4">
        <f>(AH16/90)*'[2]Income Statement'!AI71</f>
        <v>8799.6994838495957</v>
      </c>
      <c r="AI10" s="4">
        <f>(AI16/90)*'[2]Income Statement'!AJ71</f>
        <v>8951.0198293735284</v>
      </c>
      <c r="AJ10" s="4">
        <f>(AJ16/90)*'[2]Income Statement'!AK71</f>
        <v>9008.4356732103115</v>
      </c>
      <c r="AK10" s="4">
        <f>(AK16/90)*'[2]Income Statement'!AL71</f>
        <v>9129.6842683398645</v>
      </c>
      <c r="AL10" s="4">
        <f>(AL16/90)*'[2]Income Statement'!AM71</f>
        <v>9340.0006134767355</v>
      </c>
      <c r="AM10" s="4">
        <f>(AM16/90)*'[2]Income Statement'!AN71</f>
        <v>9423.3757546344586</v>
      </c>
      <c r="AN10" s="4">
        <f>(AN16/90)*'[2]Income Statement'!AO71</f>
        <v>9705.6741227024577</v>
      </c>
      <c r="AO10" s="4">
        <f>(AO16/90)*'[2]Income Statement'!AP71</f>
        <v>9968.3210308225171</v>
      </c>
      <c r="AP10" s="4">
        <f>(AP16/90)*'[2]Income Statement'!AQ71</f>
        <v>10232.623340368691</v>
      </c>
    </row>
    <row r="11" spans="2:42" s="4" customFormat="1" ht="17" thickBot="1">
      <c r="B11" s="27" t="s">
        <v>133</v>
      </c>
      <c r="C11" s="4">
        <f>C8+C9-C10</f>
        <v>334.75400000000002</v>
      </c>
      <c r="D11" s="4">
        <f t="shared" ref="D11:R11" si="0">D8+D9-D10</f>
        <v>385.77000000000004</v>
      </c>
      <c r="E11" s="4">
        <f t="shared" si="0"/>
        <v>385.22699999999998</v>
      </c>
      <c r="F11" s="4">
        <f t="shared" si="0"/>
        <v>393.22900000000004</v>
      </c>
      <c r="G11" s="4">
        <f t="shared" si="0"/>
        <v>444.98599999999999</v>
      </c>
      <c r="H11" s="4">
        <f t="shared" si="0"/>
        <v>456.08799999999991</v>
      </c>
      <c r="I11" s="4">
        <f t="shared" si="0"/>
        <v>430.47899999999998</v>
      </c>
      <c r="J11" s="4">
        <f t="shared" si="0"/>
        <v>587.505</v>
      </c>
      <c r="K11" s="4">
        <f t="shared" si="0"/>
        <v>808.70799999999997</v>
      </c>
      <c r="L11" s="4">
        <f t="shared" si="0"/>
        <v>778.42100000000005</v>
      </c>
      <c r="M11" s="4">
        <f t="shared" si="0"/>
        <v>767.35599999999999</v>
      </c>
      <c r="N11" s="4">
        <f t="shared" si="0"/>
        <v>857.77599999999984</v>
      </c>
      <c r="O11" s="4">
        <f t="shared" si="0"/>
        <v>937.6</v>
      </c>
      <c r="P11" s="4">
        <f t="shared" si="0"/>
        <v>751.90000000000009</v>
      </c>
      <c r="Q11" s="4">
        <f t="shared" si="0"/>
        <v>975.89999999999986</v>
      </c>
      <c r="R11" s="4">
        <f t="shared" si="0"/>
        <v>944.10000000000014</v>
      </c>
      <c r="S11" s="4">
        <f>S8+S9-S10</f>
        <v>1140.1999999999998</v>
      </c>
      <c r="T11" s="4">
        <f t="shared" ref="T11:AP11" si="1">T8+T9-T10</f>
        <v>1151.1000000000001</v>
      </c>
      <c r="U11" s="4">
        <f t="shared" si="1"/>
        <v>1046.5</v>
      </c>
      <c r="V11" s="4">
        <f t="shared" si="1"/>
        <v>-183.43620246387036</v>
      </c>
      <c r="W11" s="4">
        <f t="shared" si="1"/>
        <v>-249.90423221787114</v>
      </c>
      <c r="X11" s="4">
        <f t="shared" si="1"/>
        <v>-264.55726821393364</v>
      </c>
      <c r="Y11" s="4">
        <f t="shared" si="1"/>
        <v>-360.17594631554675</v>
      </c>
      <c r="Z11" s="4">
        <f t="shared" si="1"/>
        <v>-409.7585307593672</v>
      </c>
      <c r="AA11" s="4">
        <f t="shared" si="1"/>
        <v>-462.85352558667728</v>
      </c>
      <c r="AB11" s="4">
        <f t="shared" si="1"/>
        <v>-462.22391566175975</v>
      </c>
      <c r="AC11" s="4">
        <f t="shared" si="1"/>
        <v>-495.04836499204248</v>
      </c>
      <c r="AD11" s="4">
        <f t="shared" si="1"/>
        <v>-578.53733146375453</v>
      </c>
      <c r="AE11" s="4">
        <f t="shared" si="1"/>
        <v>-642.9223908567601</v>
      </c>
      <c r="AF11" s="4">
        <f t="shared" si="1"/>
        <v>-720.16461671669458</v>
      </c>
      <c r="AG11" s="4">
        <f t="shared" si="1"/>
        <v>-780.82136481486668</v>
      </c>
      <c r="AH11" s="4">
        <f t="shared" si="1"/>
        <v>118.12727145138524</v>
      </c>
      <c r="AI11" s="4">
        <f t="shared" si="1"/>
        <v>195.81637015295746</v>
      </c>
      <c r="AJ11" s="4">
        <f t="shared" si="1"/>
        <v>370.62321202041858</v>
      </c>
      <c r="AK11" s="4">
        <f t="shared" si="1"/>
        <v>484.04250929634145</v>
      </c>
      <c r="AL11" s="4">
        <f t="shared" si="1"/>
        <v>555.13409402518664</v>
      </c>
      <c r="AM11" s="4">
        <f t="shared" si="1"/>
        <v>714.75015643849292</v>
      </c>
      <c r="AN11" s="4">
        <f t="shared" si="1"/>
        <v>760.41937190940553</v>
      </c>
      <c r="AO11" s="4">
        <f t="shared" si="1"/>
        <v>827.02812157115113</v>
      </c>
      <c r="AP11" s="4">
        <f t="shared" si="1"/>
        <v>902.25935825773013</v>
      </c>
    </row>
    <row r="12" spans="2:42">
      <c r="B12" s="5"/>
    </row>
    <row r="13" spans="2:42">
      <c r="B13" s="5" t="s">
        <v>134</v>
      </c>
      <c r="C13" s="20">
        <v>1</v>
      </c>
    </row>
    <row r="14" spans="2:42">
      <c r="B14" s="28" t="s">
        <v>135</v>
      </c>
      <c r="C14" s="12">
        <f t="shared" ref="C14:S16" si="2">CHOOSE($C$13,C19,C24)</f>
        <v>45.968330162812357</v>
      </c>
      <c r="D14" s="12">
        <f t="shared" si="2"/>
        <v>47.077285726251297</v>
      </c>
      <c r="E14" s="12">
        <f t="shared" si="2"/>
        <v>43.564595588469601</v>
      </c>
      <c r="F14" s="12">
        <f t="shared" si="2"/>
        <v>42.021915903560895</v>
      </c>
      <c r="G14" s="12">
        <f t="shared" si="2"/>
        <v>45.951912491918442</v>
      </c>
      <c r="H14" s="12">
        <f t="shared" si="2"/>
        <v>44.450558965168128</v>
      </c>
      <c r="I14" s="12">
        <f t="shared" si="2"/>
        <v>42.00586843091591</v>
      </c>
      <c r="J14" s="12">
        <f t="shared" si="2"/>
        <v>40.343898702649547</v>
      </c>
      <c r="K14" s="12">
        <f t="shared" si="2"/>
        <v>50.210453783132159</v>
      </c>
      <c r="L14" s="12">
        <f t="shared" si="2"/>
        <v>46.743077170323097</v>
      </c>
      <c r="M14" s="12">
        <f t="shared" si="2"/>
        <v>46.332882827538199</v>
      </c>
      <c r="N14" s="12">
        <f t="shared" si="2"/>
        <v>48.949933039279529</v>
      </c>
      <c r="O14" s="12">
        <f t="shared" si="2"/>
        <v>51.028882960213437</v>
      </c>
      <c r="P14" s="12">
        <f t="shared" si="2"/>
        <v>46.628561869179727</v>
      </c>
      <c r="Q14" s="12">
        <f t="shared" si="2"/>
        <v>49.907771394012698</v>
      </c>
      <c r="R14" s="12">
        <f t="shared" si="2"/>
        <v>49.337898442397645</v>
      </c>
      <c r="S14" s="12">
        <f t="shared" si="2"/>
        <v>55.471752085816448</v>
      </c>
      <c r="T14" s="12">
        <f>CHOOSE($C$13,T19,T23)</f>
        <v>54.622074492304904</v>
      </c>
      <c r="U14" s="12">
        <f>CHOOSE($C$13,U19,U23)</f>
        <v>46.876703086301667</v>
      </c>
      <c r="V14" s="12">
        <f t="shared" ref="V14:AP14" si="3">CHOOSE($C$13,V19,V23)</f>
        <v>47.348252384180022</v>
      </c>
      <c r="W14" s="12">
        <f t="shared" si="3"/>
        <v>47.55525910279453</v>
      </c>
      <c r="X14" s="12">
        <f t="shared" si="3"/>
        <v>47.888155132833219</v>
      </c>
      <c r="Y14" s="12">
        <f t="shared" si="3"/>
        <v>47.988364296012968</v>
      </c>
      <c r="Z14" s="12">
        <f t="shared" si="3"/>
        <v>48.203214056492044</v>
      </c>
      <c r="AA14" s="12">
        <f t="shared" si="3"/>
        <v>48.5771200480606</v>
      </c>
      <c r="AB14" s="12">
        <f t="shared" si="3"/>
        <v>49.068327257675755</v>
      </c>
      <c r="AC14" s="12">
        <f t="shared" si="3"/>
        <v>48.966243899233795</v>
      </c>
      <c r="AD14" s="12">
        <f t="shared" si="3"/>
        <v>49.111572029693328</v>
      </c>
      <c r="AE14" s="12">
        <f t="shared" si="3"/>
        <v>49.276157096674297</v>
      </c>
      <c r="AF14" s="12">
        <f t="shared" si="3"/>
        <v>49.286259533575169</v>
      </c>
      <c r="AG14" s="12">
        <f t="shared" si="3"/>
        <v>49.176714167103967</v>
      </c>
      <c r="AH14" s="12">
        <f t="shared" si="3"/>
        <v>49.34282027112868</v>
      </c>
      <c r="AI14" s="12">
        <f t="shared" si="3"/>
        <v>49.297129194446882</v>
      </c>
      <c r="AJ14" s="12">
        <f t="shared" si="3"/>
        <v>49.297436808742589</v>
      </c>
      <c r="AK14" s="12">
        <f t="shared" si="3"/>
        <v>48.911522878031988</v>
      </c>
      <c r="AL14" s="12">
        <f t="shared" si="3"/>
        <v>48.93422369748555</v>
      </c>
      <c r="AM14" s="12">
        <f t="shared" si="3"/>
        <v>48.59830889664596</v>
      </c>
      <c r="AN14" s="12">
        <f t="shared" si="3"/>
        <v>48.719339520833245</v>
      </c>
      <c r="AO14" s="12">
        <f t="shared" si="3"/>
        <v>48.792872256860662</v>
      </c>
      <c r="AP14" s="12">
        <f t="shared" si="3"/>
        <v>48.861347575568821</v>
      </c>
    </row>
    <row r="15" spans="2:42">
      <c r="B15" s="28" t="s">
        <v>136</v>
      </c>
      <c r="C15" s="12">
        <f t="shared" si="2"/>
        <v>147.47517908759582</v>
      </c>
      <c r="D15" s="12">
        <f t="shared" si="2"/>
        <v>99.17658216933954</v>
      </c>
      <c r="E15" s="12">
        <f t="shared" si="2"/>
        <v>100.43144128353782</v>
      </c>
      <c r="F15" s="12">
        <f t="shared" si="2"/>
        <v>91.524176336383491</v>
      </c>
      <c r="G15" s="12">
        <f t="shared" si="2"/>
        <v>129.37807596853574</v>
      </c>
      <c r="H15" s="12">
        <f t="shared" si="2"/>
        <v>94.824885811109468</v>
      </c>
      <c r="I15" s="12">
        <f t="shared" si="2"/>
        <v>110.73532756189641</v>
      </c>
      <c r="J15" s="12">
        <f t="shared" si="2"/>
        <v>81.482174129245649</v>
      </c>
      <c r="K15" s="12">
        <f t="shared" si="2"/>
        <v>103.6193283568312</v>
      </c>
      <c r="L15" s="12">
        <f t="shared" si="2"/>
        <v>106.92401907652287</v>
      </c>
      <c r="M15" s="12">
        <f t="shared" si="2"/>
        <v>118.65486459485882</v>
      </c>
      <c r="N15" s="12">
        <f t="shared" si="2"/>
        <v>124.42050999256531</v>
      </c>
      <c r="O15" s="12">
        <f t="shared" si="2"/>
        <v>139.89079563182526</v>
      </c>
      <c r="P15" s="12">
        <f t="shared" si="2"/>
        <v>126.94736842105264</v>
      </c>
      <c r="Q15" s="12">
        <f t="shared" si="2"/>
        <v>126.8752642706131</v>
      </c>
      <c r="R15" s="12">
        <f t="shared" si="2"/>
        <v>128.45189975747778</v>
      </c>
      <c r="S15" s="12">
        <f t="shared" si="2"/>
        <v>124.08868999186328</v>
      </c>
      <c r="T15" s="12">
        <f t="shared" ref="T15:AP16" si="4">CHOOSE($C$13,T20,T24)</f>
        <v>126.40565317035905</v>
      </c>
      <c r="U15" s="12">
        <f t="shared" si="4"/>
        <v>112.96408770960365</v>
      </c>
      <c r="V15" s="12">
        <f t="shared" si="4"/>
        <v>114.66590464716739</v>
      </c>
      <c r="W15" s="12">
        <f t="shared" si="4"/>
        <v>115.44919504879651</v>
      </c>
      <c r="X15" s="12">
        <f t="shared" si="4"/>
        <v>116.89555306822049</v>
      </c>
      <c r="Y15" s="12">
        <f t="shared" si="4"/>
        <v>116.02499801073678</v>
      </c>
      <c r="Z15" s="12">
        <f t="shared" si="4"/>
        <v>117.40441471430621</v>
      </c>
      <c r="AA15" s="12">
        <f t="shared" si="4"/>
        <v>117.73501911735875</v>
      </c>
      <c r="AB15" s="12">
        <f t="shared" si="4"/>
        <v>119.98015915392503</v>
      </c>
      <c r="AC15" s="12">
        <f t="shared" si="4"/>
        <v>120.86238982645801</v>
      </c>
      <c r="AD15" s="12">
        <f t="shared" si="4"/>
        <v>121.67839858129564</v>
      </c>
      <c r="AE15" s="12">
        <f t="shared" si="4"/>
        <v>121.81636890827059</v>
      </c>
      <c r="AF15" s="12">
        <f t="shared" si="4"/>
        <v>121.64498694506622</v>
      </c>
      <c r="AG15" s="12">
        <f t="shared" si="4"/>
        <v>120.51533527484405</v>
      </c>
      <c r="AH15" s="12">
        <f t="shared" si="4"/>
        <v>120.18393643259489</v>
      </c>
      <c r="AI15" s="12">
        <f t="shared" si="4"/>
        <v>119.78644087035933</v>
      </c>
      <c r="AJ15" s="12">
        <f t="shared" si="4"/>
        <v>119.26969316255415</v>
      </c>
      <c r="AK15" s="12">
        <f t="shared" si="4"/>
        <v>119.00080259246016</v>
      </c>
      <c r="AL15" s="12">
        <f t="shared" si="4"/>
        <v>119.01661968481864</v>
      </c>
      <c r="AM15" s="12">
        <f t="shared" si="4"/>
        <v>118.58104023905987</v>
      </c>
      <c r="AN15" s="12">
        <f t="shared" si="4"/>
        <v>118.93707153171957</v>
      </c>
      <c r="AO15" s="12">
        <f t="shared" si="4"/>
        <v>119.16737362536028</v>
      </c>
      <c r="AP15" s="12">
        <f t="shared" si="4"/>
        <v>119.37254283023812</v>
      </c>
    </row>
    <row r="16" spans="2:42">
      <c r="B16" s="28" t="s">
        <v>137</v>
      </c>
      <c r="C16" s="12">
        <f t="shared" si="2"/>
        <v>138.09978635164006</v>
      </c>
      <c r="D16" s="12">
        <f t="shared" si="2"/>
        <v>105.78892912571132</v>
      </c>
      <c r="E16" s="12">
        <f t="shared" si="2"/>
        <v>96.004853714439804</v>
      </c>
      <c r="F16" s="12">
        <f t="shared" si="2"/>
        <v>103.63736722027328</v>
      </c>
      <c r="G16" s="12">
        <f t="shared" si="2"/>
        <v>123.04725949606694</v>
      </c>
      <c r="H16" s="12">
        <f t="shared" si="2"/>
        <v>100.66752615293943</v>
      </c>
      <c r="I16" s="12">
        <f t="shared" si="2"/>
        <v>119.49285140318693</v>
      </c>
      <c r="J16" s="12">
        <f t="shared" si="2"/>
        <v>103.8654249454089</v>
      </c>
      <c r="K16" s="12">
        <f t="shared" si="2"/>
        <v>123.8688714253186</v>
      </c>
      <c r="L16" s="12">
        <f t="shared" si="2"/>
        <v>113.43404508996315</v>
      </c>
      <c r="M16" s="12">
        <f t="shared" si="2"/>
        <v>130.52760202382618</v>
      </c>
      <c r="N16" s="12">
        <f t="shared" si="2"/>
        <v>136.6402430317921</v>
      </c>
      <c r="O16" s="12">
        <f t="shared" si="2"/>
        <v>158.61154446177844</v>
      </c>
      <c r="P16" s="12">
        <f t="shared" si="2"/>
        <v>196.89473684210526</v>
      </c>
      <c r="Q16" s="12">
        <f t="shared" si="2"/>
        <v>174.21564482029598</v>
      </c>
      <c r="R16" s="12">
        <f t="shared" si="2"/>
        <v>198.55295068714628</v>
      </c>
      <c r="S16" s="12">
        <f t="shared" si="2"/>
        <v>179.9633848657445</v>
      </c>
      <c r="T16" s="12">
        <f t="shared" si="4"/>
        <v>188.903743315508</v>
      </c>
      <c r="U16" s="12">
        <f t="shared" si="4"/>
        <v>135.32582720662481</v>
      </c>
      <c r="V16" s="12">
        <f t="shared" si="4"/>
        <v>140.52050309348709</v>
      </c>
      <c r="W16" s="12">
        <f t="shared" si="4"/>
        <v>142.9780639367487</v>
      </c>
      <c r="X16" s="12">
        <f t="shared" si="4"/>
        <v>145.28325992882455</v>
      </c>
      <c r="Y16" s="12">
        <f t="shared" si="4"/>
        <v>146.52893520636712</v>
      </c>
      <c r="Z16" s="12">
        <f t="shared" si="4"/>
        <v>149.31741856735994</v>
      </c>
      <c r="AA16" s="12">
        <f t="shared" si="4"/>
        <v>151.00717380505876</v>
      </c>
      <c r="AB16" s="12">
        <f t="shared" si="4"/>
        <v>153.84792340643065</v>
      </c>
      <c r="AC16" s="12">
        <f t="shared" si="4"/>
        <v>155.54406730516442</v>
      </c>
      <c r="AD16" s="12">
        <f t="shared" si="4"/>
        <v>158.06993469994367</v>
      </c>
      <c r="AE16" s="12">
        <f t="shared" si="4"/>
        <v>159.63346378002726</v>
      </c>
      <c r="AF16" s="12">
        <f t="shared" si="4"/>
        <v>160.97281950928675</v>
      </c>
      <c r="AG16" s="12">
        <f t="shared" si="4"/>
        <v>161.0366894666773</v>
      </c>
      <c r="AH16" s="12">
        <f t="shared" si="4"/>
        <v>158.79156963337616</v>
      </c>
      <c r="AI16" s="12">
        <f t="shared" si="4"/>
        <v>157.96788492377496</v>
      </c>
      <c r="AJ16" s="12">
        <f t="shared" si="4"/>
        <v>155.48279860791436</v>
      </c>
      <c r="AK16" s="12">
        <f t="shared" si="4"/>
        <v>154.10807986154126</v>
      </c>
      <c r="AL16" s="12">
        <f t="shared" si="4"/>
        <v>154.18894567015144</v>
      </c>
      <c r="AM16" s="12">
        <f t="shared" si="4"/>
        <v>152.14214193756516</v>
      </c>
      <c r="AN16" s="12">
        <f t="shared" si="4"/>
        <v>153.25173714130202</v>
      </c>
      <c r="AO16" s="12">
        <f t="shared" si="4"/>
        <v>153.93536295565954</v>
      </c>
      <c r="AP16" s="12">
        <f t="shared" si="4"/>
        <v>154.53969667357447</v>
      </c>
    </row>
    <row r="18" spans="2:42" hidden="1">
      <c r="B18" t="s">
        <v>138</v>
      </c>
    </row>
    <row r="19" spans="2:42">
      <c r="B19" t="s">
        <v>135</v>
      </c>
      <c r="C19" s="29">
        <f>(C8/'Income Statement'!C$8)*90</f>
        <v>45.968330162812357</v>
      </c>
      <c r="D19" s="29">
        <f>(D8/'Income Statement'!D$8)*90</f>
        <v>47.077285726251297</v>
      </c>
      <c r="E19" s="29">
        <f>(E8/'Income Statement'!E$8)*90</f>
        <v>43.564595588469601</v>
      </c>
      <c r="F19" s="29">
        <f>(F8/'Income Statement'!F$8)*90</f>
        <v>42.021915903560895</v>
      </c>
      <c r="G19" s="29">
        <f>(G8/'Income Statement'!G$8)*90</f>
        <v>45.951912491918442</v>
      </c>
      <c r="H19" s="29">
        <f>(H8/'Income Statement'!H$8)*90</f>
        <v>44.450558965168128</v>
      </c>
      <c r="I19" s="29">
        <f>(I8/'Income Statement'!I$8)*90</f>
        <v>42.00586843091591</v>
      </c>
      <c r="J19" s="29">
        <f>(J8/'Income Statement'!J$8)*90</f>
        <v>40.343898702649547</v>
      </c>
      <c r="K19" s="29">
        <f>(K8/'Income Statement'!K$8)*90</f>
        <v>50.210453783132159</v>
      </c>
      <c r="L19" s="29">
        <f>(L8/'Income Statement'!L$8)*90</f>
        <v>46.743077170323097</v>
      </c>
      <c r="M19" s="29">
        <f>(M8/'Income Statement'!M$8)*90</f>
        <v>46.332882827538199</v>
      </c>
      <c r="N19" s="29">
        <f>(N8/'Income Statement'!N$8)*90</f>
        <v>48.949933039279529</v>
      </c>
      <c r="O19" s="29">
        <f>(O8/'Income Statement'!O$8)*90</f>
        <v>51.028882960213437</v>
      </c>
      <c r="P19" s="29">
        <f>(P8/'Income Statement'!P$8)*90</f>
        <v>46.628561869179727</v>
      </c>
      <c r="Q19" s="29">
        <f>(Q8/'Income Statement'!Q$8)*90</f>
        <v>49.907771394012698</v>
      </c>
      <c r="R19" s="29">
        <f>(R8/'Income Statement'!R$8)*90</f>
        <v>49.337898442397645</v>
      </c>
      <c r="S19" s="29">
        <f>(S8/'Income Statement'!S$8)*90</f>
        <v>55.471752085816448</v>
      </c>
      <c r="T19" s="29">
        <f>(T8/'Income Statement'!T$8)*90</f>
        <v>54.622074492304904</v>
      </c>
      <c r="U19" s="12">
        <f t="shared" ref="U19:AD21" si="5">AVERAGE(D19:S19)</f>
        <v>46.876703086301667</v>
      </c>
      <c r="V19" s="12">
        <f t="shared" si="5"/>
        <v>47.348252384180022</v>
      </c>
      <c r="W19" s="12">
        <f t="shared" si="5"/>
        <v>47.55525910279453</v>
      </c>
      <c r="X19" s="12">
        <f t="shared" si="5"/>
        <v>47.888155132833219</v>
      </c>
      <c r="Y19" s="12">
        <f t="shared" si="5"/>
        <v>47.988364296012968</v>
      </c>
      <c r="Z19" s="12">
        <f t="shared" si="5"/>
        <v>48.203214056492044</v>
      </c>
      <c r="AA19" s="12">
        <f t="shared" si="5"/>
        <v>48.5771200480606</v>
      </c>
      <c r="AB19" s="12">
        <f t="shared" si="5"/>
        <v>49.068327257675755</v>
      </c>
      <c r="AC19" s="12">
        <f t="shared" si="5"/>
        <v>48.966243899233795</v>
      </c>
      <c r="AD19" s="12">
        <f t="shared" si="5"/>
        <v>49.111572029693328</v>
      </c>
      <c r="AE19" s="12">
        <f t="shared" ref="AE19:AK21" si="6">AVERAGE(N19:AC19)</f>
        <v>49.276157096674297</v>
      </c>
      <c r="AF19" s="12">
        <f t="shared" si="6"/>
        <v>49.286259533575169</v>
      </c>
      <c r="AG19" s="12">
        <f t="shared" si="6"/>
        <v>49.176714167103967</v>
      </c>
      <c r="AH19" s="12">
        <f t="shared" si="6"/>
        <v>49.34282027112868</v>
      </c>
      <c r="AI19" s="12">
        <f t="shared" si="6"/>
        <v>49.297129194446882</v>
      </c>
      <c r="AJ19" s="12">
        <f t="shared" si="6"/>
        <v>49.297436808742589</v>
      </c>
      <c r="AK19" s="12">
        <f t="shared" si="6"/>
        <v>48.911522878031988</v>
      </c>
      <c r="AL19" s="12">
        <f t="shared" ref="AL19:AP21" si="7">AVERAGE(T19:AJ19)</f>
        <v>48.93422369748555</v>
      </c>
      <c r="AM19" s="12">
        <f t="shared" si="7"/>
        <v>48.59830889664596</v>
      </c>
      <c r="AN19" s="12">
        <f t="shared" si="7"/>
        <v>48.719339520833245</v>
      </c>
      <c r="AO19" s="12">
        <f t="shared" si="7"/>
        <v>48.792872256860662</v>
      </c>
      <c r="AP19" s="12">
        <f t="shared" si="7"/>
        <v>48.861347575568821</v>
      </c>
    </row>
    <row r="20" spans="2:42" s="12" customFormat="1">
      <c r="B20" t="s">
        <v>136</v>
      </c>
      <c r="C20" s="29">
        <f>(C9/'Income Statement'!C$15)*90</f>
        <v>147.47517908759582</v>
      </c>
      <c r="D20" s="29">
        <f>(D9/'Income Statement'!D$15)*90</f>
        <v>99.17658216933954</v>
      </c>
      <c r="E20" s="29">
        <f>(E9/'Income Statement'!E$15)*90</f>
        <v>100.43144128353782</v>
      </c>
      <c r="F20" s="29">
        <f>(F9/'Income Statement'!F$15)*90</f>
        <v>91.524176336383491</v>
      </c>
      <c r="G20" s="29">
        <f>(G9/'Income Statement'!G$15)*90</f>
        <v>129.37807596853574</v>
      </c>
      <c r="H20" s="29">
        <f>(H9/'Income Statement'!H$15)*90</f>
        <v>94.824885811109468</v>
      </c>
      <c r="I20" s="29">
        <f>(I9/'Income Statement'!I$15)*90</f>
        <v>110.73532756189641</v>
      </c>
      <c r="J20" s="29">
        <f>(J9/'Income Statement'!J$15)*90</f>
        <v>81.482174129245649</v>
      </c>
      <c r="K20" s="29">
        <f>(K9/'Income Statement'!K$15)*90</f>
        <v>103.6193283568312</v>
      </c>
      <c r="L20" s="29">
        <f>(L9/'Income Statement'!L$15)*90</f>
        <v>106.92401907652287</v>
      </c>
      <c r="M20" s="29">
        <f>(M9/'Income Statement'!M$15)*90</f>
        <v>118.65486459485882</v>
      </c>
      <c r="N20" s="29">
        <f>(N9/'Income Statement'!N$15)*90</f>
        <v>124.42050999256531</v>
      </c>
      <c r="O20" s="29">
        <f>(O9/'Income Statement'!O$15)*90</f>
        <v>139.89079563182526</v>
      </c>
      <c r="P20" s="29">
        <f>(P9/'Income Statement'!P$15)*90</f>
        <v>126.94736842105264</v>
      </c>
      <c r="Q20" s="29">
        <f>(Q9/'Income Statement'!Q$15)*90</f>
        <v>126.8752642706131</v>
      </c>
      <c r="R20" s="29">
        <f>(R9/'Income Statement'!R$15)*90</f>
        <v>128.45189975747778</v>
      </c>
      <c r="S20" s="29">
        <f>(S9/'Income Statement'!S$15)*90</f>
        <v>124.08868999186328</v>
      </c>
      <c r="T20" s="29">
        <f>(T9/'Income Statement'!T$15)*90</f>
        <v>126.40565317035905</v>
      </c>
      <c r="U20" s="12">
        <f t="shared" si="5"/>
        <v>112.96408770960365</v>
      </c>
      <c r="V20" s="12">
        <f t="shared" si="5"/>
        <v>114.66590464716739</v>
      </c>
      <c r="W20" s="12">
        <f t="shared" si="5"/>
        <v>115.44919504879651</v>
      </c>
      <c r="X20" s="12">
        <f t="shared" si="5"/>
        <v>116.89555306822049</v>
      </c>
      <c r="Y20" s="12">
        <f t="shared" si="5"/>
        <v>116.02499801073678</v>
      </c>
      <c r="Z20" s="12">
        <f t="shared" si="5"/>
        <v>117.40441471430621</v>
      </c>
      <c r="AA20" s="12">
        <f t="shared" si="5"/>
        <v>117.73501911735875</v>
      </c>
      <c r="AB20" s="12">
        <f t="shared" si="5"/>
        <v>119.98015915392503</v>
      </c>
      <c r="AC20" s="12">
        <f t="shared" si="5"/>
        <v>120.86238982645801</v>
      </c>
      <c r="AD20" s="12">
        <f t="shared" si="5"/>
        <v>121.67839858129564</v>
      </c>
      <c r="AE20" s="12">
        <f t="shared" si="6"/>
        <v>121.81636890827059</v>
      </c>
      <c r="AF20" s="12">
        <f t="shared" si="6"/>
        <v>121.64498694506622</v>
      </c>
      <c r="AG20" s="12">
        <f t="shared" si="6"/>
        <v>120.51533527484405</v>
      </c>
      <c r="AH20" s="12">
        <f t="shared" si="6"/>
        <v>120.18393643259489</v>
      </c>
      <c r="AI20" s="12">
        <f t="shared" si="6"/>
        <v>119.78644087035933</v>
      </c>
      <c r="AJ20" s="12">
        <f t="shared" si="6"/>
        <v>119.26969316255415</v>
      </c>
      <c r="AK20" s="12">
        <f t="shared" si="6"/>
        <v>119.00080259246016</v>
      </c>
      <c r="AL20" s="12">
        <f t="shared" si="7"/>
        <v>119.01661968481864</v>
      </c>
      <c r="AM20" s="12">
        <f t="shared" si="7"/>
        <v>118.58104023905987</v>
      </c>
      <c r="AN20" s="12">
        <f t="shared" si="7"/>
        <v>118.93707153171957</v>
      </c>
      <c r="AO20" s="12">
        <f t="shared" si="7"/>
        <v>119.16737362536028</v>
      </c>
      <c r="AP20" s="12">
        <f t="shared" si="7"/>
        <v>119.37254283023812</v>
      </c>
    </row>
    <row r="21" spans="2:42" s="12" customFormat="1">
      <c r="B21" t="s">
        <v>137</v>
      </c>
      <c r="C21" s="29">
        <f>(C10/'Income Statement'!C$15)*90</f>
        <v>138.09978635164006</v>
      </c>
      <c r="D21" s="29">
        <f>(D10/'Income Statement'!D$15)*90</f>
        <v>105.78892912571132</v>
      </c>
      <c r="E21" s="29">
        <f>(E10/'Income Statement'!E$15)*90</f>
        <v>96.004853714439804</v>
      </c>
      <c r="F21" s="29">
        <f>(F10/'Income Statement'!F$15)*90</f>
        <v>103.63736722027328</v>
      </c>
      <c r="G21" s="29">
        <f>(G10/'Income Statement'!G$15)*90</f>
        <v>123.04725949606694</v>
      </c>
      <c r="H21" s="29">
        <f>(H10/'Income Statement'!H$15)*90</f>
        <v>100.66752615293943</v>
      </c>
      <c r="I21" s="29">
        <f>(I10/'Income Statement'!I$15)*90</f>
        <v>119.49285140318693</v>
      </c>
      <c r="J21" s="29">
        <f>(J10/'Income Statement'!J$15)*90</f>
        <v>103.8654249454089</v>
      </c>
      <c r="K21" s="29">
        <f>(K10/'Income Statement'!K$15)*90</f>
        <v>123.8688714253186</v>
      </c>
      <c r="L21" s="29">
        <f>(L10/'Income Statement'!L$15)*90</f>
        <v>113.43404508996315</v>
      </c>
      <c r="M21" s="29">
        <f>(M10/'Income Statement'!M$15)*90</f>
        <v>130.52760202382618</v>
      </c>
      <c r="N21" s="29">
        <f>(N10/'Income Statement'!N$15)*90</f>
        <v>136.6402430317921</v>
      </c>
      <c r="O21" s="29">
        <f>(O10/'Income Statement'!O$15)*90</f>
        <v>158.61154446177844</v>
      </c>
      <c r="P21" s="29">
        <f>(P10/'Income Statement'!P$15)*90</f>
        <v>196.89473684210526</v>
      </c>
      <c r="Q21" s="29">
        <f>(Q10/'Income Statement'!Q$15)*90</f>
        <v>174.21564482029598</v>
      </c>
      <c r="R21" s="29">
        <f>(R10/'Income Statement'!R$15)*90</f>
        <v>198.55295068714628</v>
      </c>
      <c r="S21" s="29">
        <f>(S10/'Income Statement'!S$15)*90</f>
        <v>179.9633848657445</v>
      </c>
      <c r="T21" s="29">
        <f>(T10/'Income Statement'!T$15)*90</f>
        <v>188.903743315508</v>
      </c>
      <c r="U21" s="12">
        <f t="shared" si="5"/>
        <v>135.32582720662481</v>
      </c>
      <c r="V21" s="12">
        <f t="shared" si="5"/>
        <v>140.52050309348709</v>
      </c>
      <c r="W21" s="12">
        <f t="shared" si="5"/>
        <v>142.9780639367487</v>
      </c>
      <c r="X21" s="12">
        <f t="shared" si="5"/>
        <v>145.28325992882455</v>
      </c>
      <c r="Y21" s="12">
        <f t="shared" si="5"/>
        <v>146.52893520636712</v>
      </c>
      <c r="Z21" s="12">
        <f t="shared" si="5"/>
        <v>149.31741856735994</v>
      </c>
      <c r="AA21" s="12">
        <f t="shared" si="5"/>
        <v>151.00717380505876</v>
      </c>
      <c r="AB21" s="12">
        <f t="shared" si="5"/>
        <v>153.84792340643065</v>
      </c>
      <c r="AC21" s="12">
        <f t="shared" si="5"/>
        <v>155.54406730516442</v>
      </c>
      <c r="AD21" s="12">
        <f t="shared" si="5"/>
        <v>158.06993469994367</v>
      </c>
      <c r="AE21" s="12">
        <f t="shared" si="6"/>
        <v>159.63346378002726</v>
      </c>
      <c r="AF21" s="12">
        <f t="shared" si="6"/>
        <v>160.97281950928675</v>
      </c>
      <c r="AG21" s="12">
        <f t="shared" si="6"/>
        <v>161.0366894666773</v>
      </c>
      <c r="AH21" s="12">
        <f t="shared" si="6"/>
        <v>158.79156963337616</v>
      </c>
      <c r="AI21" s="12">
        <f t="shared" si="6"/>
        <v>157.96788492377496</v>
      </c>
      <c r="AJ21" s="12">
        <f t="shared" si="6"/>
        <v>155.48279860791436</v>
      </c>
      <c r="AK21" s="12">
        <f t="shared" si="6"/>
        <v>154.10807986154126</v>
      </c>
      <c r="AL21" s="12">
        <f t="shared" si="7"/>
        <v>154.18894567015144</v>
      </c>
      <c r="AM21" s="12">
        <f t="shared" si="7"/>
        <v>152.14214193756516</v>
      </c>
      <c r="AN21" s="12">
        <f t="shared" si="7"/>
        <v>153.25173714130202</v>
      </c>
      <c r="AO21" s="12">
        <f t="shared" si="7"/>
        <v>153.93536295565954</v>
      </c>
      <c r="AP21" s="12">
        <f t="shared" si="7"/>
        <v>154.53969667357447</v>
      </c>
    </row>
    <row r="23" spans="2:42">
      <c r="B23" t="s">
        <v>139</v>
      </c>
      <c r="T23" s="29"/>
      <c r="U23" s="29"/>
      <c r="V23" s="29"/>
      <c r="W23" s="29"/>
      <c r="X23" s="29"/>
      <c r="Y23" s="29"/>
      <c r="Z23" s="29"/>
      <c r="AA23" s="29"/>
      <c r="AB23" s="29"/>
      <c r="AC23" s="29"/>
      <c r="AD23" s="29"/>
      <c r="AE23" s="29"/>
      <c r="AF23" s="29"/>
      <c r="AG23" s="29"/>
      <c r="AH23" s="29"/>
      <c r="AI23" s="29"/>
      <c r="AJ23" s="29"/>
      <c r="AK23" s="29"/>
      <c r="AL23" s="29"/>
      <c r="AM23" s="29"/>
      <c r="AN23" s="29"/>
      <c r="AO23" s="29"/>
      <c r="AP23" s="29"/>
    </row>
    <row r="24" spans="2:42" s="29" customFormat="1">
      <c r="B24" t="s">
        <v>135</v>
      </c>
      <c r="C24" s="29">
        <f>(C8/'Income Statement'!C$8)*90</f>
        <v>45.968330162812357</v>
      </c>
      <c r="D24" s="29">
        <f>(D8/'Income Statement'!D$8)*90</f>
        <v>47.077285726251297</v>
      </c>
      <c r="E24" s="29">
        <f>(E8/'Income Statement'!E$8)*90</f>
        <v>43.564595588469601</v>
      </c>
      <c r="F24" s="29">
        <f>(F8/'Income Statement'!F$8)*90</f>
        <v>42.021915903560895</v>
      </c>
      <c r="G24" s="29">
        <f>(G8/'Income Statement'!G$8)*90</f>
        <v>45.951912491918442</v>
      </c>
      <c r="H24" s="29">
        <f>(H8/'Income Statement'!H$8)*90</f>
        <v>44.450558965168128</v>
      </c>
      <c r="I24" s="29">
        <f>(I8/'Income Statement'!I$8)*90</f>
        <v>42.00586843091591</v>
      </c>
      <c r="J24" s="29">
        <f>(J8/'Income Statement'!J$8)*90</f>
        <v>40.343898702649547</v>
      </c>
      <c r="K24" s="29">
        <f>(K8/'Income Statement'!K$8)*90</f>
        <v>50.210453783132159</v>
      </c>
      <c r="L24" s="29">
        <f>(L8/'Income Statement'!L$8)*90</f>
        <v>46.743077170323097</v>
      </c>
      <c r="M24" s="29">
        <f>(M8/'Income Statement'!M$8)*90</f>
        <v>46.332882827538199</v>
      </c>
      <c r="N24" s="29">
        <f>(N8/'Income Statement'!N$8)*90</f>
        <v>48.949933039279529</v>
      </c>
      <c r="O24" s="29">
        <f>(O8/'Income Statement'!O$8)*90</f>
        <v>51.028882960213437</v>
      </c>
      <c r="P24" s="29">
        <f>(P8/'Income Statement'!P$8)*90</f>
        <v>46.628561869179727</v>
      </c>
      <c r="Q24" s="29">
        <f>(Q8/'Income Statement'!Q$8)*90</f>
        <v>49.907771394012698</v>
      </c>
      <c r="R24" s="29">
        <f>(R8/'Income Statement'!R$8)*90</f>
        <v>49.337898442397645</v>
      </c>
      <c r="S24" s="29">
        <f>(S8/'Income Statement'!S$8)*90</f>
        <v>55.471752085816448</v>
      </c>
      <c r="T24" s="29">
        <f>(T8/'Income Statement'!T$8)*90</f>
        <v>54.622074492304904</v>
      </c>
      <c r="U24" s="29">
        <v>54.622074492304904</v>
      </c>
      <c r="V24" s="29">
        <v>54.622074492304904</v>
      </c>
      <c r="W24" s="29">
        <v>54.622074492304904</v>
      </c>
      <c r="X24" s="29">
        <v>54.622074492304904</v>
      </c>
      <c r="Y24" s="29">
        <v>54.622074492304904</v>
      </c>
      <c r="Z24" s="29">
        <v>54.622074492304904</v>
      </c>
      <c r="AA24" s="29">
        <v>54.622074492304904</v>
      </c>
      <c r="AB24" s="29">
        <v>54.622074492304904</v>
      </c>
      <c r="AC24" s="29">
        <v>54.622074492304904</v>
      </c>
      <c r="AD24" s="29">
        <v>54.622074492304904</v>
      </c>
      <c r="AE24" s="29">
        <v>54.622074492304904</v>
      </c>
      <c r="AF24" s="29">
        <v>54.622074492304904</v>
      </c>
      <c r="AG24" s="29">
        <v>54.622074492304904</v>
      </c>
      <c r="AH24" s="29">
        <v>54.622074492304904</v>
      </c>
      <c r="AI24" s="29">
        <v>54.622074492304904</v>
      </c>
      <c r="AJ24" s="29">
        <v>54.622074492304904</v>
      </c>
      <c r="AK24" s="29">
        <v>54.622074492304904</v>
      </c>
      <c r="AL24" s="29">
        <v>54.622074492304904</v>
      </c>
      <c r="AM24" s="29">
        <v>54.622074492304904</v>
      </c>
      <c r="AN24" s="29">
        <v>54.622074492304904</v>
      </c>
      <c r="AO24" s="29">
        <v>54.622074492304904</v>
      </c>
      <c r="AP24" s="29">
        <v>54.622074492304904</v>
      </c>
    </row>
    <row r="25" spans="2:42">
      <c r="B25" t="s">
        <v>136</v>
      </c>
      <c r="C25" s="29">
        <f>(C9/'Income Statement'!C$15)*90</f>
        <v>147.47517908759582</v>
      </c>
      <c r="D25" s="29">
        <f>(D9/'Income Statement'!D$15)*90</f>
        <v>99.17658216933954</v>
      </c>
      <c r="E25" s="29">
        <f>(E9/'Income Statement'!E$15)*90</f>
        <v>100.43144128353782</v>
      </c>
      <c r="F25" s="29">
        <f>(F9/'Income Statement'!F$15)*90</f>
        <v>91.524176336383491</v>
      </c>
      <c r="G25" s="29">
        <f>(G9/'Income Statement'!G$15)*90</f>
        <v>129.37807596853574</v>
      </c>
      <c r="H25" s="29">
        <f>(H9/'Income Statement'!H$15)*90</f>
        <v>94.824885811109468</v>
      </c>
      <c r="I25" s="29">
        <f>(I9/'Income Statement'!I$15)*90</f>
        <v>110.73532756189641</v>
      </c>
      <c r="J25" s="29">
        <f>(J9/'Income Statement'!J$15)*90</f>
        <v>81.482174129245649</v>
      </c>
      <c r="K25" s="29">
        <f>(K9/'Income Statement'!K$15)*90</f>
        <v>103.6193283568312</v>
      </c>
      <c r="L25" s="29">
        <f>(L9/'Income Statement'!L$15)*90</f>
        <v>106.92401907652287</v>
      </c>
      <c r="M25" s="29">
        <f>(M9/'Income Statement'!M$15)*90</f>
        <v>118.65486459485882</v>
      </c>
      <c r="N25" s="29">
        <f>(N9/'Income Statement'!N$15)*90</f>
        <v>124.42050999256531</v>
      </c>
      <c r="O25" s="29">
        <f>(O9/'Income Statement'!O$15)*90</f>
        <v>139.89079563182526</v>
      </c>
      <c r="P25" s="29">
        <f>(P9/'Income Statement'!P$15)*90</f>
        <v>126.94736842105264</v>
      </c>
      <c r="Q25" s="29">
        <f>(Q9/'Income Statement'!Q$15)*90</f>
        <v>126.8752642706131</v>
      </c>
      <c r="R25" s="29">
        <f>(R9/'Income Statement'!R$15)*90</f>
        <v>128.45189975747778</v>
      </c>
      <c r="S25" s="29">
        <f>(S9/'Income Statement'!S$15)*90</f>
        <v>124.08868999186328</v>
      </c>
      <c r="T25" s="29">
        <f>(T9/'Income Statement'!T$15)*90</f>
        <v>126.40565317035905</v>
      </c>
      <c r="U25" s="29">
        <v>126.40565317035905</v>
      </c>
      <c r="V25" s="29">
        <v>126.40565317035905</v>
      </c>
      <c r="W25" s="29">
        <v>126.40565317035905</v>
      </c>
      <c r="X25" s="29">
        <v>126.40565317035905</v>
      </c>
      <c r="Y25" s="29">
        <v>126.40565317035905</v>
      </c>
      <c r="Z25" s="29">
        <v>126.40565317035905</v>
      </c>
      <c r="AA25" s="29">
        <v>126.40565317035905</v>
      </c>
      <c r="AB25" s="29">
        <v>126.40565317035905</v>
      </c>
      <c r="AC25" s="29">
        <v>126.40565317035905</v>
      </c>
      <c r="AD25" s="29">
        <v>126.40565317035905</v>
      </c>
      <c r="AE25" s="29">
        <v>126.40565317035905</v>
      </c>
      <c r="AF25" s="29">
        <v>126.40565317035905</v>
      </c>
      <c r="AG25" s="29">
        <v>126.40565317035905</v>
      </c>
      <c r="AH25" s="29">
        <v>126.40565317035905</v>
      </c>
      <c r="AI25" s="29">
        <v>126.40565317035905</v>
      </c>
      <c r="AJ25" s="29">
        <v>126.40565317035905</v>
      </c>
      <c r="AK25" s="29">
        <v>126.40565317035905</v>
      </c>
      <c r="AL25" s="29">
        <v>126.40565317035905</v>
      </c>
      <c r="AM25" s="29">
        <v>126.40565317035905</v>
      </c>
      <c r="AN25" s="29">
        <v>126.40565317035905</v>
      </c>
      <c r="AO25" s="29">
        <v>126.40565317035905</v>
      </c>
      <c r="AP25" s="29">
        <v>126.40565317035905</v>
      </c>
    </row>
    <row r="26" spans="2:42">
      <c r="B26" t="s">
        <v>137</v>
      </c>
      <c r="C26" s="29">
        <f>(C10/'Income Statement'!C$15)*90</f>
        <v>138.09978635164006</v>
      </c>
      <c r="D26" s="29">
        <f>(D10/'Income Statement'!D$15)*90</f>
        <v>105.78892912571132</v>
      </c>
      <c r="E26" s="29">
        <f>(E10/'Income Statement'!E$15)*90</f>
        <v>96.004853714439804</v>
      </c>
      <c r="F26" s="29">
        <f>(F10/'Income Statement'!F$15)*90</f>
        <v>103.63736722027328</v>
      </c>
      <c r="G26" s="29">
        <f>(G10/'Income Statement'!G$15)*90</f>
        <v>123.04725949606694</v>
      </c>
      <c r="H26" s="29">
        <f>(H10/'Income Statement'!H$15)*90</f>
        <v>100.66752615293943</v>
      </c>
      <c r="I26" s="29">
        <f>(I10/'Income Statement'!I$15)*90</f>
        <v>119.49285140318693</v>
      </c>
      <c r="J26" s="29">
        <f>(J10/'Income Statement'!J$15)*90</f>
        <v>103.8654249454089</v>
      </c>
      <c r="K26" s="29">
        <f>(K10/'Income Statement'!K$15)*90</f>
        <v>123.8688714253186</v>
      </c>
      <c r="L26" s="29">
        <f>(L10/'Income Statement'!L$15)*90</f>
        <v>113.43404508996315</v>
      </c>
      <c r="M26" s="29">
        <f>(M10/'Income Statement'!M$15)*90</f>
        <v>130.52760202382618</v>
      </c>
      <c r="N26" s="29">
        <f>(N10/'Income Statement'!N$15)*90</f>
        <v>136.6402430317921</v>
      </c>
      <c r="O26" s="29">
        <f>(O10/'Income Statement'!O$15)*90</f>
        <v>158.61154446177844</v>
      </c>
      <c r="P26" s="29">
        <f>(P10/'Income Statement'!P$15)*90</f>
        <v>196.89473684210526</v>
      </c>
      <c r="Q26" s="29">
        <f>(Q10/'Income Statement'!Q$15)*90</f>
        <v>174.21564482029598</v>
      </c>
      <c r="R26" s="29">
        <f>(R10/'Income Statement'!R$15)*90</f>
        <v>198.55295068714628</v>
      </c>
      <c r="S26" s="29">
        <f>(S10/'Income Statement'!S$15)*90</f>
        <v>179.9633848657445</v>
      </c>
      <c r="T26" s="29">
        <f>(T10/'Income Statement'!T$15)*90</f>
        <v>188.903743315508</v>
      </c>
      <c r="U26" s="29">
        <v>68.067226890756302</v>
      </c>
      <c r="V26" s="29">
        <v>68.067226890756302</v>
      </c>
      <c r="W26" s="29">
        <v>68.067226890756302</v>
      </c>
      <c r="X26" s="29">
        <v>68.067226890756302</v>
      </c>
      <c r="Y26" s="29">
        <v>68.067226890756302</v>
      </c>
      <c r="Z26" s="29">
        <v>68.067226890756302</v>
      </c>
      <c r="AA26" s="29">
        <v>68.067226890756302</v>
      </c>
      <c r="AB26" s="29">
        <v>68.067226890756302</v>
      </c>
      <c r="AC26" s="29">
        <v>68.067226890756302</v>
      </c>
      <c r="AD26" s="29">
        <v>68.067226890756302</v>
      </c>
      <c r="AE26" s="29">
        <v>68.067226890756302</v>
      </c>
      <c r="AF26" s="29">
        <v>68.067226890756302</v>
      </c>
      <c r="AG26" s="29">
        <v>68.067226890756302</v>
      </c>
      <c r="AH26" s="29">
        <v>68.067226890756302</v>
      </c>
      <c r="AI26" s="29">
        <v>68.067226890756302</v>
      </c>
      <c r="AJ26" s="29">
        <v>68.067226890756302</v>
      </c>
      <c r="AK26" s="29">
        <v>68.067226890756302</v>
      </c>
      <c r="AL26" s="29">
        <v>68.067226890756302</v>
      </c>
      <c r="AM26" s="29">
        <v>68.067226890756302</v>
      </c>
      <c r="AN26" s="29">
        <v>68.067226890756302</v>
      </c>
      <c r="AO26" s="29">
        <v>68.067226890756302</v>
      </c>
      <c r="AP26" s="29">
        <v>68.067226890756302</v>
      </c>
    </row>
    <row r="28" spans="2:42" ht="17" thickBot="1">
      <c r="B28" s="2" t="s">
        <v>72</v>
      </c>
    </row>
    <row r="29" spans="2:42">
      <c r="B29" t="s">
        <v>70</v>
      </c>
      <c r="C29" s="4">
        <f>'Balance Sheet'!C11+'Balance Sheet'!C12+'Balance Sheet'!C13</f>
        <v>554.52599999999995</v>
      </c>
      <c r="D29" s="4">
        <f>'Balance Sheet'!D11+'Balance Sheet'!D12+'Balance Sheet'!D13</f>
        <v>631.15800000000002</v>
      </c>
      <c r="E29" s="4">
        <f>'Balance Sheet'!E11+'Balance Sheet'!E12+'Balance Sheet'!E13</f>
        <v>622.58299999999997</v>
      </c>
      <c r="F29" s="4">
        <f>'Balance Sheet'!F11+'Balance Sheet'!F12+'Balance Sheet'!F13</f>
        <v>674.86699999999996</v>
      </c>
      <c r="G29" s="4">
        <f>'Balance Sheet'!G11+'Balance Sheet'!G12+'Balance Sheet'!G13</f>
        <v>705.00400000000002</v>
      </c>
      <c r="H29" s="4">
        <f>'Balance Sheet'!H11+'Balance Sheet'!H12+'Balance Sheet'!H13</f>
        <v>759.74599999999987</v>
      </c>
      <c r="I29" s="4">
        <f>'Balance Sheet'!I11+'Balance Sheet'!I12+'Balance Sheet'!I13</f>
        <v>780.76299999999992</v>
      </c>
      <c r="J29" s="4">
        <f>'Balance Sheet'!J11+'Balance Sheet'!J12+'Balance Sheet'!J13</f>
        <v>1014.535</v>
      </c>
      <c r="K29" s="4">
        <f>'Balance Sheet'!K11+'Balance Sheet'!K12+'Balance Sheet'!K13</f>
        <v>1256.0039999999999</v>
      </c>
      <c r="L29" s="4">
        <f>'Balance Sheet'!L11+'Balance Sheet'!L12+'Balance Sheet'!L13</f>
        <v>1243.5509999999999</v>
      </c>
      <c r="M29" s="4">
        <f>'Balance Sheet'!M11+'Balance Sheet'!M12+'Balance Sheet'!M13</f>
        <v>1307.3979999999999</v>
      </c>
      <c r="N29" s="4">
        <f>'Balance Sheet'!N11+'Balance Sheet'!N12+'Balance Sheet'!N13</f>
        <v>1474.482</v>
      </c>
      <c r="O29" s="4">
        <f>'Balance Sheet'!O11+'Balance Sheet'!O12+'Balance Sheet'!O13</f>
        <v>1615.4</v>
      </c>
      <c r="P29" s="4">
        <f>'Balance Sheet'!P11+'Balance Sheet'!P12+'Balance Sheet'!P13</f>
        <v>1749.5</v>
      </c>
      <c r="Q29" s="4">
        <f>'Balance Sheet'!Q11+'Balance Sheet'!Q12+'Balance Sheet'!Q13</f>
        <v>1891.4999999999998</v>
      </c>
      <c r="R29" s="4">
        <f>'Balance Sheet'!R11+'Balance Sheet'!R12+'Balance Sheet'!R13</f>
        <v>2035.7</v>
      </c>
      <c r="S29" s="4">
        <f>'Balance Sheet'!S11+'Balance Sheet'!S12+'Balance Sheet'!S13</f>
        <v>2123.1999999999998</v>
      </c>
      <c r="T29" s="4">
        <f>'Balance Sheet'!T11+'Balance Sheet'!T12+'Balance Sheet'!T13</f>
        <v>2250.1000000000004</v>
      </c>
      <c r="U29" s="4">
        <f t="shared" ref="U29:AP29" si="8">U8+U9</f>
        <v>1773.4</v>
      </c>
      <c r="V29" s="4">
        <f t="shared" si="8"/>
        <v>7778.7591517312294</v>
      </c>
      <c r="W29" s="4">
        <f t="shared" si="8"/>
        <v>8033.82436626445</v>
      </c>
      <c r="X29" s="4">
        <f t="shared" si="8"/>
        <v>8342.1165173429454</v>
      </c>
      <c r="Y29" s="4">
        <f t="shared" si="8"/>
        <v>8515.6029828668616</v>
      </c>
      <c r="Z29" s="4">
        <f t="shared" si="8"/>
        <v>8838.4342204870827</v>
      </c>
      <c r="AA29" s="4">
        <f t="shared" si="8"/>
        <v>9100.4358180125964</v>
      </c>
      <c r="AB29" s="4">
        <f t="shared" si="8"/>
        <v>9500.1920622357666</v>
      </c>
      <c r="AC29" s="4">
        <f t="shared" si="8"/>
        <v>9803.8269599845116</v>
      </c>
      <c r="AD29" s="4">
        <f t="shared" si="8"/>
        <v>10123.068241273704</v>
      </c>
      <c r="AE29" s="4">
        <f t="shared" si="8"/>
        <v>10407.704612470387</v>
      </c>
      <c r="AF29" s="4">
        <f t="shared" si="8"/>
        <v>10673.904528860539</v>
      </c>
      <c r="AG29" s="4">
        <f t="shared" si="8"/>
        <v>10874.236935769793</v>
      </c>
      <c r="AH29" s="4">
        <f t="shared" si="8"/>
        <v>8917.8267553009809</v>
      </c>
      <c r="AI29" s="4">
        <f t="shared" si="8"/>
        <v>9146.8361995264859</v>
      </c>
      <c r="AJ29" s="4">
        <f t="shared" si="8"/>
        <v>9379.0588852307301</v>
      </c>
      <c r="AK29" s="4">
        <f t="shared" si="8"/>
        <v>9613.726777636206</v>
      </c>
      <c r="AL29" s="4">
        <f t="shared" si="8"/>
        <v>9895.1347075019221</v>
      </c>
      <c r="AM29" s="4">
        <f t="shared" si="8"/>
        <v>10138.125911072952</v>
      </c>
      <c r="AN29" s="4">
        <f t="shared" si="8"/>
        <v>10466.093494611863</v>
      </c>
      <c r="AO29" s="4">
        <f t="shared" si="8"/>
        <v>10795.349152393668</v>
      </c>
      <c r="AP29" s="4">
        <f t="shared" si="8"/>
        <v>11134.882698626421</v>
      </c>
    </row>
    <row r="30" spans="2:42" ht="17" thickBot="1">
      <c r="B30" s="9" t="s">
        <v>71</v>
      </c>
      <c r="C30" s="3">
        <f>'Balance Sheet'!C26+'Balance Sheet'!C25+'Balance Sheet'!C27</f>
        <v>827.31200000000001</v>
      </c>
      <c r="D30" s="3">
        <f>'Balance Sheet'!D26+'Balance Sheet'!D25+'Balance Sheet'!D27</f>
        <v>927.3</v>
      </c>
      <c r="E30" s="3">
        <f>'Balance Sheet'!E26+'Balance Sheet'!E25+'Balance Sheet'!E27</f>
        <v>992.50800000000004</v>
      </c>
      <c r="F30" s="3">
        <f>'Balance Sheet'!F26+'Balance Sheet'!F25+'Balance Sheet'!F27</f>
        <v>1120.2919999999999</v>
      </c>
      <c r="G30" s="3">
        <f>'Balance Sheet'!G26+'Balance Sheet'!G25+'Balance Sheet'!G27</f>
        <v>1106.4680000000001</v>
      </c>
      <c r="H30" s="3">
        <f>'Balance Sheet'!H26+'Balance Sheet'!H25+'Balance Sheet'!H27</f>
        <v>1259.22</v>
      </c>
      <c r="I30" s="3">
        <f>'Balance Sheet'!I26+'Balance Sheet'!I25+'Balance Sheet'!I27</f>
        <v>1388.894</v>
      </c>
      <c r="J30" s="3">
        <f>'Balance Sheet'!J26+'Balance Sheet'!J25+'Balance Sheet'!J27</f>
        <v>1334.827</v>
      </c>
      <c r="K30" s="3">
        <f>'Balance Sheet'!K26+'Balance Sheet'!K25+'Balance Sheet'!K27</f>
        <v>1538.75</v>
      </c>
      <c r="L30" s="3">
        <f>'Balance Sheet'!L26+'Balance Sheet'!L25+'Balance Sheet'!L27</f>
        <v>1798.6399999999999</v>
      </c>
      <c r="M30" s="3">
        <f>'Balance Sheet'!M26+'Balance Sheet'!M25+'Balance Sheet'!M27</f>
        <v>2004.0260000000001</v>
      </c>
      <c r="N30" s="3">
        <f>'Balance Sheet'!N26+'Balance Sheet'!N25+'Balance Sheet'!N27</f>
        <v>1877.5330000000001</v>
      </c>
      <c r="O30" s="3">
        <f>'Balance Sheet'!O26+'Balance Sheet'!O25+'Balance Sheet'!O27</f>
        <v>1944.05</v>
      </c>
      <c r="P30" s="3">
        <f>'Balance Sheet'!P26+'Balance Sheet'!P25+'Balance Sheet'!P27</f>
        <v>1836.5</v>
      </c>
      <c r="Q30" s="3">
        <f>'Balance Sheet'!Q26+'Balance Sheet'!Q25+'Balance Sheet'!Q27</f>
        <v>1914.2</v>
      </c>
      <c r="R30" s="3">
        <f>'Balance Sheet'!R26+'Balance Sheet'!R25+'Balance Sheet'!R27</f>
        <v>2142</v>
      </c>
      <c r="S30" s="3">
        <f>'Balance Sheet'!S26+'Balance Sheet'!S25+'Balance Sheet'!S27</f>
        <v>2180.1999999999998</v>
      </c>
      <c r="T30" s="3">
        <f>'Balance Sheet'!T26+'Balance Sheet'!T25+'Balance Sheet'!T27</f>
        <v>2556.1999999999998</v>
      </c>
      <c r="U30" s="3">
        <f>'Balance Sheet'!U26+'Balance Sheet'!U25+'Balance Sheet'!U27</f>
        <v>2609.3000000000002</v>
      </c>
      <c r="V30" s="3">
        <f t="shared" ref="V30:AP30" si="9">V10</f>
        <v>7962.1953541950998</v>
      </c>
      <c r="W30" s="3">
        <f t="shared" si="9"/>
        <v>8283.7285984823211</v>
      </c>
      <c r="X30" s="3">
        <f t="shared" si="9"/>
        <v>8606.673785556879</v>
      </c>
      <c r="Y30" s="3">
        <f t="shared" si="9"/>
        <v>8875.7789291824083</v>
      </c>
      <c r="Z30" s="3">
        <f t="shared" si="9"/>
        <v>9248.1927512464499</v>
      </c>
      <c r="AA30" s="3">
        <f t="shared" si="9"/>
        <v>9563.2893435992737</v>
      </c>
      <c r="AB30" s="3">
        <f t="shared" si="9"/>
        <v>9962.4159778975263</v>
      </c>
      <c r="AC30" s="3">
        <f t="shared" si="9"/>
        <v>10298.875324976554</v>
      </c>
      <c r="AD30" s="3">
        <f t="shared" si="9"/>
        <v>10701.605572737459</v>
      </c>
      <c r="AE30" s="3">
        <f t="shared" si="9"/>
        <v>11050.627003327147</v>
      </c>
      <c r="AF30" s="3">
        <f t="shared" si="9"/>
        <v>11394.069145577234</v>
      </c>
      <c r="AG30" s="3">
        <f t="shared" si="9"/>
        <v>11655.05830058466</v>
      </c>
      <c r="AH30" s="3">
        <f t="shared" si="9"/>
        <v>8799.6994838495957</v>
      </c>
      <c r="AI30" s="3">
        <f t="shared" si="9"/>
        <v>8951.0198293735284</v>
      </c>
      <c r="AJ30" s="3">
        <f t="shared" si="9"/>
        <v>9008.4356732103115</v>
      </c>
      <c r="AK30" s="3">
        <f t="shared" si="9"/>
        <v>9129.6842683398645</v>
      </c>
      <c r="AL30" s="3">
        <f t="shared" si="9"/>
        <v>9340.0006134767355</v>
      </c>
      <c r="AM30" s="3">
        <f t="shared" si="9"/>
        <v>9423.3757546344586</v>
      </c>
      <c r="AN30" s="3">
        <f t="shared" si="9"/>
        <v>9705.6741227024577</v>
      </c>
      <c r="AO30" s="3">
        <f t="shared" si="9"/>
        <v>9968.3210308225171</v>
      </c>
      <c r="AP30" s="3">
        <f t="shared" si="9"/>
        <v>10232.623340368691</v>
      </c>
    </row>
    <row r="31" spans="2:42" ht="17" thickBot="1">
      <c r="B31" s="9" t="s">
        <v>72</v>
      </c>
      <c r="C31" s="3">
        <f t="shared" ref="C31:S31" si="10">C29-C30</f>
        <v>-272.78600000000006</v>
      </c>
      <c r="D31" s="3">
        <f t="shared" si="10"/>
        <v>-296.14199999999994</v>
      </c>
      <c r="E31" s="3">
        <f t="shared" si="10"/>
        <v>-369.92500000000007</v>
      </c>
      <c r="F31" s="3">
        <f t="shared" si="10"/>
        <v>-445.42499999999995</v>
      </c>
      <c r="G31" s="3">
        <f t="shared" si="10"/>
        <v>-401.46400000000006</v>
      </c>
      <c r="H31" s="3">
        <f t="shared" si="10"/>
        <v>-499.47400000000016</v>
      </c>
      <c r="I31" s="3">
        <f t="shared" si="10"/>
        <v>-608.13100000000009</v>
      </c>
      <c r="J31" s="3">
        <f t="shared" si="10"/>
        <v>-320.29200000000003</v>
      </c>
      <c r="K31" s="3">
        <f t="shared" si="10"/>
        <v>-282.74600000000009</v>
      </c>
      <c r="L31" s="3">
        <f t="shared" si="10"/>
        <v>-555.08899999999994</v>
      </c>
      <c r="M31" s="3">
        <f t="shared" si="10"/>
        <v>-696.62800000000016</v>
      </c>
      <c r="N31" s="3">
        <f t="shared" si="10"/>
        <v>-403.05100000000016</v>
      </c>
      <c r="O31" s="3">
        <f t="shared" si="10"/>
        <v>-328.64999999999986</v>
      </c>
      <c r="P31" s="3">
        <f t="shared" si="10"/>
        <v>-87</v>
      </c>
      <c r="Q31" s="3">
        <f t="shared" si="10"/>
        <v>-22.700000000000273</v>
      </c>
      <c r="R31" s="3">
        <f t="shared" si="10"/>
        <v>-106.29999999999995</v>
      </c>
      <c r="S31" s="3">
        <f t="shared" si="10"/>
        <v>-57</v>
      </c>
      <c r="T31" s="3">
        <f>T29-T30</f>
        <v>-306.09999999999945</v>
      </c>
      <c r="U31" s="3">
        <f t="shared" ref="U31:AP31" si="11">U29-U30</f>
        <v>-835.90000000000009</v>
      </c>
      <c r="V31" s="3">
        <f t="shared" si="11"/>
        <v>-183.43620246387036</v>
      </c>
      <c r="W31" s="3">
        <f t="shared" si="11"/>
        <v>-249.90423221787114</v>
      </c>
      <c r="X31" s="3">
        <f t="shared" si="11"/>
        <v>-264.55726821393364</v>
      </c>
      <c r="Y31" s="3">
        <f t="shared" si="11"/>
        <v>-360.17594631554675</v>
      </c>
      <c r="Z31" s="3">
        <f t="shared" si="11"/>
        <v>-409.7585307593672</v>
      </c>
      <c r="AA31" s="3">
        <f t="shared" si="11"/>
        <v>-462.85352558667728</v>
      </c>
      <c r="AB31" s="3">
        <f t="shared" si="11"/>
        <v>-462.22391566175975</v>
      </c>
      <c r="AC31" s="3">
        <f t="shared" si="11"/>
        <v>-495.04836499204248</v>
      </c>
      <c r="AD31" s="3">
        <f t="shared" si="11"/>
        <v>-578.53733146375453</v>
      </c>
      <c r="AE31" s="3">
        <f t="shared" si="11"/>
        <v>-642.9223908567601</v>
      </c>
      <c r="AF31" s="3">
        <f t="shared" si="11"/>
        <v>-720.16461671669458</v>
      </c>
      <c r="AG31" s="3">
        <f t="shared" si="11"/>
        <v>-780.82136481486668</v>
      </c>
      <c r="AH31" s="3">
        <f t="shared" si="11"/>
        <v>118.12727145138524</v>
      </c>
      <c r="AI31" s="3">
        <f t="shared" si="11"/>
        <v>195.81637015295746</v>
      </c>
      <c r="AJ31" s="3">
        <f t="shared" si="11"/>
        <v>370.62321202041858</v>
      </c>
      <c r="AK31" s="3">
        <f t="shared" si="11"/>
        <v>484.04250929634145</v>
      </c>
      <c r="AL31" s="3">
        <f t="shared" si="11"/>
        <v>555.13409402518664</v>
      </c>
      <c r="AM31" s="3">
        <f t="shared" si="11"/>
        <v>714.75015643849292</v>
      </c>
      <c r="AN31" s="3">
        <f t="shared" si="11"/>
        <v>760.41937190940553</v>
      </c>
      <c r="AO31" s="3">
        <f t="shared" si="11"/>
        <v>827.02812157115113</v>
      </c>
      <c r="AP31" s="3">
        <f t="shared" si="11"/>
        <v>902.25935825773013</v>
      </c>
    </row>
    <row r="32" spans="2:42">
      <c r="B32" t="s">
        <v>140</v>
      </c>
    </row>
    <row r="33" spans="2:2">
      <c r="B33" t="s">
        <v>141</v>
      </c>
    </row>
    <row r="34" spans="2:2" ht="34">
      <c r="B34" s="21" t="s">
        <v>142</v>
      </c>
    </row>
  </sheetData>
  <dataValidations count="1">
    <dataValidation type="list" allowBlank="1" showInputMessage="1" showErrorMessage="1" sqref="C13" xr:uid="{A02B0AC9-F8D5-0B42-878A-7D8C1BF4A1B1}">
      <formula1>"1,2"</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06BAD-7D4F-A041-9735-BA50DC46E1C9}">
  <dimension ref="B1:AQ14"/>
  <sheetViews>
    <sheetView workbookViewId="0">
      <selection activeCell="B1" sqref="B1"/>
    </sheetView>
  </sheetViews>
  <sheetFormatPr baseColWidth="10" defaultRowHeight="16"/>
  <cols>
    <col min="1" max="1" width="2" customWidth="1"/>
    <col min="2" max="2" width="16.83203125" customWidth="1"/>
    <col min="3" max="13" width="11" bestFit="1" customWidth="1"/>
    <col min="14" max="14" width="11.1640625" bestFit="1" customWidth="1"/>
    <col min="15" max="19" width="11" bestFit="1" customWidth="1"/>
  </cols>
  <sheetData>
    <row r="1" spans="2:43">
      <c r="B1" t="e" vm="1">
        <v>#VALUE!</v>
      </c>
    </row>
    <row r="7" spans="2:43">
      <c r="C7" t="s">
        <v>0</v>
      </c>
      <c r="D7" t="s">
        <v>1</v>
      </c>
      <c r="E7" t="s">
        <v>2</v>
      </c>
      <c r="F7" t="s">
        <v>3</v>
      </c>
      <c r="G7" t="s">
        <v>4</v>
      </c>
      <c r="H7" t="s">
        <v>5</v>
      </c>
      <c r="I7" t="s">
        <v>6</v>
      </c>
      <c r="J7" t="s">
        <v>7</v>
      </c>
      <c r="K7" t="s">
        <v>8</v>
      </c>
      <c r="L7" t="s">
        <v>9</v>
      </c>
      <c r="M7" s="1" t="s">
        <v>10</v>
      </c>
      <c r="N7" s="1" t="s">
        <v>11</v>
      </c>
      <c r="O7" t="s">
        <v>12</v>
      </c>
      <c r="P7" t="s">
        <v>13</v>
      </c>
      <c r="Q7" t="s">
        <v>14</v>
      </c>
      <c r="R7" t="s">
        <v>15</v>
      </c>
      <c r="S7" t="s">
        <v>16</v>
      </c>
      <c r="T7" t="s">
        <v>17</v>
      </c>
      <c r="U7" t="s">
        <v>18</v>
      </c>
      <c r="V7" t="s">
        <v>19</v>
      </c>
      <c r="W7" t="s">
        <v>20</v>
      </c>
      <c r="X7" t="s">
        <v>21</v>
      </c>
      <c r="Y7" t="s">
        <v>22</v>
      </c>
      <c r="Z7" t="s">
        <v>23</v>
      </c>
      <c r="AA7" t="s">
        <v>24</v>
      </c>
      <c r="AB7" t="s">
        <v>25</v>
      </c>
      <c r="AC7" t="s">
        <v>26</v>
      </c>
      <c r="AD7" t="s">
        <v>27</v>
      </c>
      <c r="AE7" t="s">
        <v>28</v>
      </c>
      <c r="AF7" t="s">
        <v>29</v>
      </c>
      <c r="AG7" t="s">
        <v>30</v>
      </c>
      <c r="AH7" t="s">
        <v>31</v>
      </c>
      <c r="AI7" t="s">
        <v>32</v>
      </c>
      <c r="AJ7" t="s">
        <v>33</v>
      </c>
      <c r="AK7" t="s">
        <v>34</v>
      </c>
      <c r="AL7" t="s">
        <v>35</v>
      </c>
      <c r="AM7" t="s">
        <v>36</v>
      </c>
      <c r="AN7" t="s">
        <v>37</v>
      </c>
      <c r="AO7" t="s">
        <v>38</v>
      </c>
      <c r="AP7" t="s">
        <v>39</v>
      </c>
    </row>
    <row r="8" spans="2:43">
      <c r="B8" t="s">
        <v>143</v>
      </c>
      <c r="C8">
        <f>'Balance Sheet'!C29</f>
        <v>16.911000000000001</v>
      </c>
      <c r="D8" t="e">
        <f>'Balance Sheet'!#REF!</f>
        <v>#REF!</v>
      </c>
      <c r="E8">
        <f>'Balance Sheet'!D29</f>
        <v>15.03</v>
      </c>
      <c r="F8">
        <f>'Balance Sheet'!F29</f>
        <v>19.658000000000001</v>
      </c>
      <c r="G8">
        <f>'Balance Sheet'!G29</f>
        <v>560.38099999999997</v>
      </c>
      <c r="H8">
        <f>'Balance Sheet'!H29</f>
        <v>551.53</v>
      </c>
      <c r="I8">
        <f>'Balance Sheet'!I29</f>
        <v>541.56100000000004</v>
      </c>
      <c r="J8">
        <f>'Balance Sheet'!J29</f>
        <v>538.57600000000002</v>
      </c>
      <c r="K8">
        <f>'Balance Sheet'!K29</f>
        <v>532.952</v>
      </c>
      <c r="L8">
        <f>'Balance Sheet'!L29</f>
        <v>522.06700000000001</v>
      </c>
      <c r="M8">
        <f>'Balance Sheet'!M29</f>
        <v>546.51400000000001</v>
      </c>
      <c r="N8">
        <f>'Balance Sheet'!N29</f>
        <v>539.04200000000003</v>
      </c>
      <c r="O8">
        <f>'Balance Sheet'!O29</f>
        <v>530.29999999999995</v>
      </c>
      <c r="P8">
        <f>'Balance Sheet'!P29</f>
        <v>525</v>
      </c>
      <c r="Q8">
        <f>'Balance Sheet'!Q29</f>
        <v>513.20000000000005</v>
      </c>
      <c r="R8">
        <f>'Balance Sheet'!R29</f>
        <v>509.8</v>
      </c>
      <c r="S8">
        <f>'Balance Sheet'!S29</f>
        <v>495.5</v>
      </c>
      <c r="T8" s="4">
        <f>S8+T14</f>
        <v>754.35000000000014</v>
      </c>
      <c r="U8" s="4">
        <f>T8+U14</f>
        <v>924.09999999999968</v>
      </c>
      <c r="V8" s="4">
        <f>U8+V14</f>
        <v>2142.0827499999996</v>
      </c>
      <c r="W8" s="4">
        <f t="shared" ref="W8:AP8" si="0">V8+W14</f>
        <v>3414.8481152499994</v>
      </c>
      <c r="X8" s="4">
        <f t="shared" si="0"/>
        <v>4746.5280169397493</v>
      </c>
      <c r="Y8" s="4">
        <f t="shared" si="0"/>
        <v>6141.4499642668943</v>
      </c>
      <c r="Z8" s="4">
        <f t="shared" si="0"/>
        <v>7604.1512284564014</v>
      </c>
      <c r="AA8" s="4">
        <f t="shared" si="0"/>
        <v>9127.3434463254489</v>
      </c>
      <c r="AB8" s="4">
        <f t="shared" si="0"/>
        <v>10714.715261389358</v>
      </c>
      <c r="AC8" s="4">
        <f t="shared" si="0"/>
        <v>12370.104312222811</v>
      </c>
      <c r="AD8" s="4">
        <f t="shared" si="0"/>
        <v>14097.506610331377</v>
      </c>
      <c r="AE8" s="4">
        <f t="shared" si="0"/>
        <v>15901.086279572293</v>
      </c>
      <c r="AF8" s="4">
        <f t="shared" si="0"/>
        <v>17785.185681334879</v>
      </c>
      <c r="AG8" s="4">
        <f t="shared" si="0"/>
        <v>19754.335950541194</v>
      </c>
      <c r="AH8" s="4">
        <f t="shared" si="0"/>
        <v>21813.267968442178</v>
      </c>
      <c r="AI8" s="4">
        <f t="shared" si="0"/>
        <v>23966.923799165128</v>
      </c>
      <c r="AJ8" s="4">
        <f t="shared" si="0"/>
        <v>26220.468618017268</v>
      </c>
      <c r="AK8" s="4">
        <f t="shared" si="0"/>
        <v>28579.303160669515</v>
      </c>
      <c r="AL8" s="4">
        <f t="shared" si="0"/>
        <v>31049.076723536509</v>
      </c>
      <c r="AM8" s="4">
        <f t="shared" si="0"/>
        <v>33635.70074693668</v>
      </c>
      <c r="AN8" s="4">
        <f t="shared" si="0"/>
        <v>36345.363013961651</v>
      </c>
      <c r="AO8" s="4">
        <f t="shared" si="0"/>
        <v>39184.54249941148</v>
      </c>
      <c r="AP8" s="4">
        <f t="shared" si="0"/>
        <v>42160.024904663369</v>
      </c>
    </row>
    <row r="9" spans="2:43">
      <c r="B9" t="s">
        <v>144</v>
      </c>
      <c r="C9" s="4">
        <f>'Income Statement'!C26</f>
        <v>-96.837999999999994</v>
      </c>
      <c r="D9" s="4">
        <f>'Income Statement'!D26</f>
        <v>-53.819000000000003</v>
      </c>
      <c r="E9" s="4">
        <f>'Income Statement'!E26</f>
        <v>60.994999999999997</v>
      </c>
      <c r="F9" s="4">
        <f>'Income Statement'!F26</f>
        <v>90.451999999999998</v>
      </c>
      <c r="G9" s="4">
        <f>'Income Statement'!G26</f>
        <v>-27.741999999999997</v>
      </c>
      <c r="H9" s="4">
        <f>'Income Statement'!H26</f>
        <v>-39.939</v>
      </c>
      <c r="I9" s="4">
        <f>'Income Statement'!I26</f>
        <v>46.295000000000002</v>
      </c>
      <c r="J9" s="4">
        <f>'Income Statement'!J26</f>
        <v>-112.28899999999999</v>
      </c>
      <c r="K9" s="4">
        <f>'Income Statement'!K26</f>
        <v>75.266000000000005</v>
      </c>
      <c r="L9" s="4">
        <f>'Income Statement'!L26</f>
        <v>-102.504</v>
      </c>
      <c r="M9" s="4">
        <f>'Income Statement'!M26</f>
        <v>-71.238</v>
      </c>
      <c r="N9" s="4">
        <f>'Income Statement'!N26</f>
        <v>-156.79900000000001</v>
      </c>
      <c r="O9" s="4">
        <f>'Income Statement'!O26</f>
        <v>68.3</v>
      </c>
      <c r="P9" s="4">
        <f>'Income Statement'!P26</f>
        <v>7.5</v>
      </c>
      <c r="Q9" s="4">
        <f>'Income Statement'!Q26</f>
        <v>-27.168000000000003</v>
      </c>
      <c r="R9" s="4">
        <f>'Income Statement'!R26</f>
        <v>7.9680000000000035</v>
      </c>
      <c r="S9" s="4">
        <f>'Income Statement'!S26</f>
        <v>87.7</v>
      </c>
      <c r="T9" s="4">
        <f>T8*T10</f>
        <v>18.858750000000004</v>
      </c>
      <c r="U9" s="4">
        <f>U8*U10</f>
        <v>30.033249999999992</v>
      </c>
      <c r="V9" s="4">
        <f t="shared" ref="V9:AP9" si="1">V8*V10</f>
        <v>80.328103124999984</v>
      </c>
      <c r="W9" s="4">
        <f t="shared" si="1"/>
        <v>136.59392460999999</v>
      </c>
      <c r="X9" s="4">
        <f t="shared" si="1"/>
        <v>106.79688038114435</v>
      </c>
      <c r="Y9" s="4">
        <f t="shared" si="1"/>
        <v>138.18262419600512</v>
      </c>
      <c r="Z9" s="4">
        <f t="shared" si="1"/>
        <v>152.08302456912804</v>
      </c>
      <c r="AA9" s="4">
        <f t="shared" si="1"/>
        <v>182.54686892650898</v>
      </c>
      <c r="AB9" s="4">
        <f t="shared" si="1"/>
        <v>214.29430522778716</v>
      </c>
      <c r="AC9" s="4">
        <f t="shared" si="1"/>
        <v>216.47682546389922</v>
      </c>
      <c r="AD9" s="4">
        <f t="shared" si="1"/>
        <v>246.70636568079911</v>
      </c>
      <c r="AE9" s="4">
        <f t="shared" si="1"/>
        <v>278.26900989251516</v>
      </c>
      <c r="AF9" s="4">
        <f t="shared" si="1"/>
        <v>266.77778522002319</v>
      </c>
      <c r="AG9" s="4">
        <f t="shared" si="1"/>
        <v>296.31503925811791</v>
      </c>
      <c r="AH9" s="4">
        <f t="shared" si="1"/>
        <v>327.19901952663264</v>
      </c>
      <c r="AI9" s="4">
        <f t="shared" si="1"/>
        <v>359.50385698747692</v>
      </c>
      <c r="AJ9" s="4">
        <f t="shared" si="1"/>
        <v>393.30702927025902</v>
      </c>
      <c r="AK9" s="4">
        <f t="shared" si="1"/>
        <v>428.68954741004274</v>
      </c>
      <c r="AL9" s="4">
        <f t="shared" si="1"/>
        <v>465.7361508530476</v>
      </c>
      <c r="AM9" s="4">
        <f t="shared" si="1"/>
        <v>504.53551120405018</v>
      </c>
      <c r="AN9" s="4">
        <f t="shared" si="1"/>
        <v>545.18044520942476</v>
      </c>
      <c r="AO9" s="4">
        <f t="shared" si="1"/>
        <v>587.76813749117218</v>
      </c>
      <c r="AP9" s="4">
        <f t="shared" si="1"/>
        <v>632.40037356995049</v>
      </c>
    </row>
    <row r="10" spans="2:43">
      <c r="B10" t="s">
        <v>145</v>
      </c>
      <c r="C10" s="24">
        <v>1.4999999999999999E-2</v>
      </c>
      <c r="D10" s="24">
        <v>1.7500000000000002E-2</v>
      </c>
      <c r="E10" s="24">
        <v>0.02</v>
      </c>
      <c r="F10" s="24">
        <v>2.2499999999999999E-2</v>
      </c>
      <c r="G10" s="24">
        <v>2.5000000000000001E-2</v>
      </c>
      <c r="H10" s="24">
        <v>2.2499999999999999E-2</v>
      </c>
      <c r="I10" s="24">
        <v>0.02</v>
      </c>
      <c r="J10" s="24">
        <v>1.7500000000000002E-2</v>
      </c>
      <c r="K10" s="24">
        <v>1.7500000000000002E-2</v>
      </c>
      <c r="L10" s="24">
        <v>2.5000000000000001E-3</v>
      </c>
      <c r="M10" s="24">
        <v>2.5000000000000001E-3</v>
      </c>
      <c r="N10" s="24">
        <v>2.5000000000000001E-3</v>
      </c>
      <c r="O10" s="24">
        <v>2.5000000000000001E-3</v>
      </c>
      <c r="P10" s="24">
        <v>2.5000000000000001E-3</v>
      </c>
      <c r="Q10" s="24">
        <v>2.5000000000000001E-3</v>
      </c>
      <c r="R10" s="24">
        <v>2.5000000000000001E-3</v>
      </c>
      <c r="S10" s="24">
        <v>1.7500000000000002E-2</v>
      </c>
      <c r="T10" s="24">
        <v>2.5000000000000001E-2</v>
      </c>
      <c r="U10" s="24">
        <v>3.2500000000000001E-2</v>
      </c>
      <c r="V10" s="24">
        <v>3.7499999999999999E-2</v>
      </c>
      <c r="W10" s="24">
        <v>0.04</v>
      </c>
      <c r="X10" s="24">
        <v>2.2499999999999999E-2</v>
      </c>
      <c r="Y10" s="24">
        <v>2.2499999999999999E-2</v>
      </c>
      <c r="Z10" s="25">
        <v>0.02</v>
      </c>
      <c r="AA10" s="25">
        <v>0.02</v>
      </c>
      <c r="AB10" s="25">
        <v>0.02</v>
      </c>
      <c r="AC10" s="24">
        <v>1.7500000000000002E-2</v>
      </c>
      <c r="AD10" s="24">
        <v>1.7500000000000002E-2</v>
      </c>
      <c r="AE10" s="24">
        <v>1.7500000000000002E-2</v>
      </c>
      <c r="AF10" s="24">
        <v>1.4999999999999999E-2</v>
      </c>
      <c r="AG10" s="24">
        <v>1.4999999999999999E-2</v>
      </c>
      <c r="AH10" s="24">
        <v>1.4999999999999999E-2</v>
      </c>
      <c r="AI10" s="24">
        <v>1.4999999999999999E-2</v>
      </c>
      <c r="AJ10" s="24">
        <v>1.4999999999999999E-2</v>
      </c>
      <c r="AK10" s="24">
        <v>1.4999999999999999E-2</v>
      </c>
      <c r="AL10" s="24">
        <v>1.4999999999999999E-2</v>
      </c>
      <c r="AM10" s="24">
        <v>1.4999999999999999E-2</v>
      </c>
      <c r="AN10" s="24">
        <v>1.4999999999999999E-2</v>
      </c>
      <c r="AO10" s="24">
        <v>1.4999999999999999E-2</v>
      </c>
      <c r="AP10" s="24">
        <v>1.4999999999999999E-2</v>
      </c>
    </row>
    <row r="11" spans="2:43">
      <c r="C11" s="13"/>
    </row>
    <row r="12" spans="2:43" s="32" customFormat="1" ht="68">
      <c r="B12" s="17" t="s">
        <v>146</v>
      </c>
      <c r="C12" s="30">
        <f>'Income Statement'!C38</f>
        <v>197.25100000000012</v>
      </c>
      <c r="D12" s="30">
        <f>'Income Statement'!D38</f>
        <v>178.67900000000023</v>
      </c>
      <c r="E12" s="30">
        <f>'Income Statement'!E38</f>
        <v>44.749999999999858</v>
      </c>
      <c r="F12" s="30">
        <f>'Income Statement'!F38</f>
        <v>1452.2400000000002</v>
      </c>
      <c r="G12" s="30">
        <f>'Income Statement'!G38</f>
        <v>321.67099999999988</v>
      </c>
      <c r="H12" s="30">
        <f>'Income Statement'!H38</f>
        <v>190.69299999999976</v>
      </c>
      <c r="I12" s="30">
        <f>'Income Statement'!I38</f>
        <v>-29.143999999999835</v>
      </c>
      <c r="J12" s="30">
        <f>'Income Statement'!J38</f>
        <v>901.72599999999977</v>
      </c>
      <c r="K12" s="30">
        <f>'Income Statement'!K38</f>
        <v>647.66999999999962</v>
      </c>
      <c r="L12" s="30">
        <f>'Income Statement'!L38</f>
        <v>491.87800000000016</v>
      </c>
      <c r="M12" s="30">
        <f>'Income Statement'!M38</f>
        <v>394.65399999999966</v>
      </c>
      <c r="N12" s="30">
        <f>'Income Statement'!N38</f>
        <v>747.48400000000004</v>
      </c>
      <c r="O12" s="30">
        <f>'Income Statement'!O38</f>
        <v>685.50900000000024</v>
      </c>
      <c r="P12" s="30">
        <f>'Income Statement'!P38</f>
        <v>247.79099999999988</v>
      </c>
      <c r="Q12" s="30">
        <f>'Income Statement'!Q38</f>
        <v>561.08399999999961</v>
      </c>
      <c r="R12" s="30">
        <f>'Income Statement'!R38</f>
        <v>577.97500000000025</v>
      </c>
      <c r="S12" s="30">
        <f>'Income Statement'!S38</f>
        <v>880.99999999999989</v>
      </c>
      <c r="T12" s="30">
        <f>'Income Statement'!T38</f>
        <v>517.70000000000027</v>
      </c>
      <c r="U12" s="30">
        <f>'Income Statement'!U38</f>
        <v>339.4999999999992</v>
      </c>
      <c r="V12" s="30">
        <f>'Income Statement'!V8</f>
        <v>2435.9654999999993</v>
      </c>
      <c r="W12" s="30">
        <f>'Income Statement'!W8</f>
        <v>2545.5307304999997</v>
      </c>
      <c r="X12" s="30">
        <f>'Income Statement'!X8</f>
        <v>2663.3598033794997</v>
      </c>
      <c r="Y12" s="30">
        <f>'Income Statement'!Y8</f>
        <v>2789.8438946542897</v>
      </c>
      <c r="Z12" s="30">
        <f>'Income Statement'!Z8</f>
        <v>2925.4025283790147</v>
      </c>
      <c r="AA12" s="30">
        <f>'Income Statement'!AA8</f>
        <v>3046.3844357380935</v>
      </c>
      <c r="AB12" s="30">
        <f>'Income Statement'!AB8</f>
        <v>3174.743630127819</v>
      </c>
      <c r="AC12" s="30">
        <f>'Income Statement'!AC8</f>
        <v>3310.7781016669069</v>
      </c>
      <c r="AD12" s="30">
        <f>'Income Statement'!AD8</f>
        <v>3454.8045962171327</v>
      </c>
      <c r="AE12" s="30">
        <f>'Income Statement'!AE8</f>
        <v>3607.1593384818352</v>
      </c>
      <c r="AF12" s="30">
        <f>'Income Statement'!AF8</f>
        <v>3768.1988035251693</v>
      </c>
      <c r="AG12" s="30">
        <f>'Income Statement'!AG8</f>
        <v>3938.3005384126295</v>
      </c>
      <c r="AH12" s="30">
        <f>'Income Statement'!AH8</f>
        <v>4117.8640358019711</v>
      </c>
      <c r="AI12" s="30">
        <f>'Income Statement'!AI8</f>
        <v>4307.3116614458968</v>
      </c>
      <c r="AJ12" s="30">
        <f>'Income Statement'!AJ8</f>
        <v>4507.0896377042827</v>
      </c>
      <c r="AK12" s="30">
        <f>'Income Statement'!AK8</f>
        <v>4717.6690853044893</v>
      </c>
      <c r="AL12" s="30">
        <f>'Income Statement'!AL8</f>
        <v>4939.5471257339905</v>
      </c>
      <c r="AM12" s="30">
        <f>'Income Statement'!AM8</f>
        <v>5173.2480468003341</v>
      </c>
      <c r="AN12" s="30">
        <f>'Income Statement'!AN8</f>
        <v>5419.3245340499407</v>
      </c>
      <c r="AO12" s="30">
        <f>'Income Statement'!AO8</f>
        <v>5678.3589708996533</v>
      </c>
      <c r="AP12" s="30">
        <f>'Income Statement'!AP8</f>
        <v>5950.9648105037795</v>
      </c>
      <c r="AQ12" s="31"/>
    </row>
    <row r="13" spans="2:43">
      <c r="B13" t="s">
        <v>147</v>
      </c>
      <c r="C13" s="13">
        <f>50%*C11</f>
        <v>0</v>
      </c>
      <c r="D13" s="13">
        <f>50%*D11</f>
        <v>0</v>
      </c>
      <c r="E13" s="13">
        <f t="shared" ref="E13:AP13" si="2">50%*E12</f>
        <v>22.374999999999929</v>
      </c>
      <c r="F13" s="13">
        <f t="shared" si="2"/>
        <v>726.12000000000012</v>
      </c>
      <c r="G13" s="13">
        <f t="shared" si="2"/>
        <v>160.83549999999994</v>
      </c>
      <c r="H13" s="13">
        <f t="shared" si="2"/>
        <v>95.346499999999878</v>
      </c>
      <c r="I13" s="13">
        <f t="shared" si="2"/>
        <v>-14.571999999999917</v>
      </c>
      <c r="J13" s="13">
        <f t="shared" si="2"/>
        <v>450.86299999999989</v>
      </c>
      <c r="K13" s="13">
        <f t="shared" si="2"/>
        <v>323.83499999999981</v>
      </c>
      <c r="L13" s="13">
        <f t="shared" si="2"/>
        <v>245.93900000000008</v>
      </c>
      <c r="M13" s="13">
        <f t="shared" si="2"/>
        <v>197.32699999999983</v>
      </c>
      <c r="N13" s="13">
        <f t="shared" si="2"/>
        <v>373.74200000000002</v>
      </c>
      <c r="O13" s="13">
        <f t="shared" si="2"/>
        <v>342.75450000000012</v>
      </c>
      <c r="P13" s="13">
        <f t="shared" si="2"/>
        <v>123.89549999999994</v>
      </c>
      <c r="Q13" s="13">
        <f t="shared" si="2"/>
        <v>280.5419999999998</v>
      </c>
      <c r="R13" s="13">
        <f t="shared" si="2"/>
        <v>288.98750000000013</v>
      </c>
      <c r="S13" s="13">
        <f t="shared" si="2"/>
        <v>440.49999999999994</v>
      </c>
      <c r="T13" s="13">
        <f t="shared" si="2"/>
        <v>258.85000000000014</v>
      </c>
      <c r="U13" s="13">
        <f t="shared" si="2"/>
        <v>169.7499999999996</v>
      </c>
      <c r="V13" s="13">
        <f t="shared" si="2"/>
        <v>1217.9827499999997</v>
      </c>
      <c r="W13" s="13">
        <f t="shared" si="2"/>
        <v>1272.7653652499998</v>
      </c>
      <c r="X13" s="13">
        <f t="shared" si="2"/>
        <v>1331.6799016897498</v>
      </c>
      <c r="Y13" s="13">
        <f t="shared" si="2"/>
        <v>1394.9219473271448</v>
      </c>
      <c r="Z13" s="13">
        <f t="shared" si="2"/>
        <v>1462.7012641895074</v>
      </c>
      <c r="AA13" s="13">
        <f t="shared" si="2"/>
        <v>1523.1922178690468</v>
      </c>
      <c r="AB13" s="13">
        <f t="shared" si="2"/>
        <v>1587.3718150639095</v>
      </c>
      <c r="AC13" s="13">
        <f t="shared" si="2"/>
        <v>1655.3890508334534</v>
      </c>
      <c r="AD13" s="13">
        <f t="shared" si="2"/>
        <v>1727.4022981085664</v>
      </c>
      <c r="AE13" s="13">
        <f t="shared" si="2"/>
        <v>1803.5796692409176</v>
      </c>
      <c r="AF13" s="13">
        <f t="shared" si="2"/>
        <v>1884.0994017625846</v>
      </c>
      <c r="AG13" s="13">
        <f t="shared" si="2"/>
        <v>1969.1502692063148</v>
      </c>
      <c r="AH13" s="13">
        <f t="shared" si="2"/>
        <v>2058.9320179009856</v>
      </c>
      <c r="AI13" s="13">
        <f t="shared" si="2"/>
        <v>2153.6558307229484</v>
      </c>
      <c r="AJ13" s="13">
        <f t="shared" si="2"/>
        <v>2253.5448188521414</v>
      </c>
      <c r="AK13" s="13">
        <f t="shared" si="2"/>
        <v>2358.8345426522446</v>
      </c>
      <c r="AL13" s="13">
        <f t="shared" si="2"/>
        <v>2469.7735628669952</v>
      </c>
      <c r="AM13" s="13">
        <f t="shared" si="2"/>
        <v>2586.6240234001671</v>
      </c>
      <c r="AN13" s="13">
        <f t="shared" si="2"/>
        <v>2709.6622670249703</v>
      </c>
      <c r="AO13" s="13">
        <f t="shared" si="2"/>
        <v>2839.1794854498266</v>
      </c>
      <c r="AP13" s="13">
        <f t="shared" si="2"/>
        <v>2975.4824052518898</v>
      </c>
    </row>
    <row r="14" spans="2:43">
      <c r="B14" t="s">
        <v>148</v>
      </c>
      <c r="C14" s="13">
        <f>50%*C12</f>
        <v>98.625500000000059</v>
      </c>
      <c r="D14" s="13">
        <f>50%*D12</f>
        <v>89.339500000000115</v>
      </c>
      <c r="E14" s="13">
        <f t="shared" ref="E14:AP14" si="3">50%*E12</f>
        <v>22.374999999999929</v>
      </c>
      <c r="F14" s="13">
        <f t="shared" si="3"/>
        <v>726.12000000000012</v>
      </c>
      <c r="G14" s="13">
        <f t="shared" si="3"/>
        <v>160.83549999999994</v>
      </c>
      <c r="H14" s="13">
        <f t="shared" si="3"/>
        <v>95.346499999999878</v>
      </c>
      <c r="I14" s="13">
        <f t="shared" si="3"/>
        <v>-14.571999999999917</v>
      </c>
      <c r="J14" s="13">
        <f t="shared" si="3"/>
        <v>450.86299999999989</v>
      </c>
      <c r="K14" s="13">
        <f t="shared" si="3"/>
        <v>323.83499999999981</v>
      </c>
      <c r="L14" s="13">
        <f t="shared" si="3"/>
        <v>245.93900000000008</v>
      </c>
      <c r="M14" s="13">
        <f t="shared" si="3"/>
        <v>197.32699999999983</v>
      </c>
      <c r="N14" s="13">
        <f t="shared" si="3"/>
        <v>373.74200000000002</v>
      </c>
      <c r="O14" s="13">
        <f t="shared" si="3"/>
        <v>342.75450000000012</v>
      </c>
      <c r="P14" s="13">
        <f t="shared" si="3"/>
        <v>123.89549999999994</v>
      </c>
      <c r="Q14" s="13">
        <f t="shared" si="3"/>
        <v>280.5419999999998</v>
      </c>
      <c r="R14" s="13">
        <f t="shared" si="3"/>
        <v>288.98750000000013</v>
      </c>
      <c r="S14" s="13">
        <f t="shared" si="3"/>
        <v>440.49999999999994</v>
      </c>
      <c r="T14" s="13">
        <f t="shared" si="3"/>
        <v>258.85000000000014</v>
      </c>
      <c r="U14" s="13">
        <f t="shared" si="3"/>
        <v>169.7499999999996</v>
      </c>
      <c r="V14" s="13">
        <f t="shared" si="3"/>
        <v>1217.9827499999997</v>
      </c>
      <c r="W14" s="13">
        <f t="shared" si="3"/>
        <v>1272.7653652499998</v>
      </c>
      <c r="X14" s="13">
        <f t="shared" si="3"/>
        <v>1331.6799016897498</v>
      </c>
      <c r="Y14" s="13">
        <f t="shared" si="3"/>
        <v>1394.9219473271448</v>
      </c>
      <c r="Z14" s="13">
        <f t="shared" si="3"/>
        <v>1462.7012641895074</v>
      </c>
      <c r="AA14" s="13">
        <f t="shared" si="3"/>
        <v>1523.1922178690468</v>
      </c>
      <c r="AB14" s="13">
        <f t="shared" si="3"/>
        <v>1587.3718150639095</v>
      </c>
      <c r="AC14" s="13">
        <f t="shared" si="3"/>
        <v>1655.3890508334534</v>
      </c>
      <c r="AD14" s="13">
        <f t="shared" si="3"/>
        <v>1727.4022981085664</v>
      </c>
      <c r="AE14" s="13">
        <f t="shared" si="3"/>
        <v>1803.5796692409176</v>
      </c>
      <c r="AF14" s="13">
        <f t="shared" si="3"/>
        <v>1884.0994017625846</v>
      </c>
      <c r="AG14" s="13">
        <f t="shared" si="3"/>
        <v>1969.1502692063148</v>
      </c>
      <c r="AH14" s="13">
        <f t="shared" si="3"/>
        <v>2058.9320179009856</v>
      </c>
      <c r="AI14" s="13">
        <f t="shared" si="3"/>
        <v>2153.6558307229484</v>
      </c>
      <c r="AJ14" s="13">
        <f t="shared" si="3"/>
        <v>2253.5448188521414</v>
      </c>
      <c r="AK14" s="13">
        <f t="shared" si="3"/>
        <v>2358.8345426522446</v>
      </c>
      <c r="AL14" s="13">
        <f t="shared" si="3"/>
        <v>2469.7735628669952</v>
      </c>
      <c r="AM14" s="13">
        <f t="shared" si="3"/>
        <v>2586.6240234001671</v>
      </c>
      <c r="AN14" s="13">
        <f t="shared" si="3"/>
        <v>2709.6622670249703</v>
      </c>
      <c r="AO14" s="13">
        <f t="shared" si="3"/>
        <v>2839.1794854498266</v>
      </c>
      <c r="AP14" s="13">
        <f t="shared" si="3"/>
        <v>2975.4824052518898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7D576-1F7C-DA43-B15A-68F56B9639ED}">
  <dimension ref="B1:AQ25"/>
  <sheetViews>
    <sheetView tabSelected="1" workbookViewId="0">
      <selection activeCell="B1" sqref="B1"/>
    </sheetView>
  </sheetViews>
  <sheetFormatPr baseColWidth="10" defaultRowHeight="16"/>
  <cols>
    <col min="1" max="1" width="3.33203125" customWidth="1"/>
    <col min="3" max="3" width="20.6640625" bestFit="1" customWidth="1"/>
    <col min="4" max="9" width="12.5" hidden="1" customWidth="1"/>
    <col min="10" max="10" width="7.1640625" hidden="1" customWidth="1"/>
    <col min="11" max="12" width="8" hidden="1" customWidth="1"/>
    <col min="13" max="13" width="12.5" hidden="1" customWidth="1"/>
    <col min="14" max="14" width="8.6640625" hidden="1" customWidth="1"/>
    <col min="15" max="15" width="8" hidden="1" customWidth="1"/>
    <col min="16" max="16" width="12.5" hidden="1" customWidth="1"/>
    <col min="17" max="19" width="8" hidden="1" customWidth="1"/>
    <col min="20" max="20" width="6.1640625" hidden="1" customWidth="1"/>
    <col min="21" max="21" width="13.5" bestFit="1" customWidth="1"/>
    <col min="22" max="22" width="12.5" bestFit="1" customWidth="1"/>
    <col min="23" max="23" width="16.83203125" bestFit="1" customWidth="1"/>
    <col min="24" max="34" width="12.5" bestFit="1" customWidth="1"/>
    <col min="35" max="35" width="11.6640625" bestFit="1" customWidth="1"/>
    <col min="36" max="43" width="12.5" bestFit="1" customWidth="1"/>
  </cols>
  <sheetData>
    <row r="1" spans="2:43">
      <c r="B1" t="e" vm="1">
        <v>#VALUE!</v>
      </c>
    </row>
    <row r="3" spans="2:43" ht="17" customHeight="1"/>
    <row r="4" spans="2:43">
      <c r="B4" t="s">
        <v>41</v>
      </c>
      <c r="C4" s="24">
        <v>5.2999999999999999E-2</v>
      </c>
    </row>
    <row r="5" spans="2:43">
      <c r="B5" t="s">
        <v>149</v>
      </c>
      <c r="C5" s="24">
        <v>0.04</v>
      </c>
    </row>
    <row r="6" spans="2:43">
      <c r="V6">
        <v>0</v>
      </c>
      <c r="W6">
        <f t="shared" ref="W6:AQ6" si="0">V6+1</f>
        <v>1</v>
      </c>
      <c r="X6">
        <f t="shared" si="0"/>
        <v>2</v>
      </c>
      <c r="Y6">
        <f t="shared" si="0"/>
        <v>3</v>
      </c>
      <c r="Z6">
        <f t="shared" si="0"/>
        <v>4</v>
      </c>
      <c r="AA6">
        <f t="shared" si="0"/>
        <v>5</v>
      </c>
      <c r="AB6">
        <f t="shared" si="0"/>
        <v>6</v>
      </c>
      <c r="AC6">
        <f t="shared" si="0"/>
        <v>7</v>
      </c>
      <c r="AD6">
        <f t="shared" si="0"/>
        <v>8</v>
      </c>
      <c r="AE6">
        <f t="shared" si="0"/>
        <v>9</v>
      </c>
      <c r="AF6">
        <f t="shared" si="0"/>
        <v>10</v>
      </c>
      <c r="AG6">
        <f t="shared" si="0"/>
        <v>11</v>
      </c>
      <c r="AH6">
        <f t="shared" si="0"/>
        <v>12</v>
      </c>
      <c r="AI6">
        <f t="shared" si="0"/>
        <v>13</v>
      </c>
      <c r="AJ6">
        <f t="shared" si="0"/>
        <v>14</v>
      </c>
      <c r="AK6">
        <f t="shared" si="0"/>
        <v>15</v>
      </c>
      <c r="AL6">
        <f t="shared" si="0"/>
        <v>16</v>
      </c>
      <c r="AM6">
        <f t="shared" si="0"/>
        <v>17</v>
      </c>
      <c r="AN6">
        <f t="shared" si="0"/>
        <v>18</v>
      </c>
      <c r="AO6">
        <f t="shared" si="0"/>
        <v>19</v>
      </c>
      <c r="AP6">
        <f t="shared" si="0"/>
        <v>20</v>
      </c>
      <c r="AQ6">
        <f t="shared" si="0"/>
        <v>21</v>
      </c>
    </row>
    <row r="7" spans="2:43">
      <c r="D7" s="33" t="s">
        <v>1</v>
      </c>
      <c r="E7" s="33" t="s">
        <v>2</v>
      </c>
      <c r="F7" s="33" t="s">
        <v>3</v>
      </c>
      <c r="G7" s="33" t="s">
        <v>4</v>
      </c>
      <c r="H7" s="33" t="s">
        <v>5</v>
      </c>
      <c r="I7" s="33" t="s">
        <v>6</v>
      </c>
      <c r="J7" s="33" t="s">
        <v>7</v>
      </c>
      <c r="K7" s="33" t="s">
        <v>8</v>
      </c>
      <c r="L7" s="33" t="s">
        <v>9</v>
      </c>
      <c r="M7" s="34" t="s">
        <v>10</v>
      </c>
      <c r="N7" s="34" t="s">
        <v>11</v>
      </c>
      <c r="O7" s="33" t="s">
        <v>12</v>
      </c>
      <c r="P7" s="33" t="s">
        <v>13</v>
      </c>
      <c r="Q7" s="33" t="s">
        <v>14</v>
      </c>
      <c r="R7" s="33" t="s">
        <v>15</v>
      </c>
      <c r="S7" s="33" t="s">
        <v>16</v>
      </c>
      <c r="T7" s="33"/>
      <c r="U7" s="33"/>
      <c r="V7" s="33" t="s">
        <v>18</v>
      </c>
      <c r="W7" s="33" t="s">
        <v>19</v>
      </c>
      <c r="X7" s="33" t="s">
        <v>20</v>
      </c>
      <c r="Y7" s="33" t="s">
        <v>21</v>
      </c>
      <c r="Z7" s="33" t="s">
        <v>22</v>
      </c>
      <c r="AA7" s="33" t="s">
        <v>23</v>
      </c>
      <c r="AB7" s="33" t="s">
        <v>24</v>
      </c>
      <c r="AC7" s="33" t="s">
        <v>25</v>
      </c>
      <c r="AD7" s="33" t="s">
        <v>26</v>
      </c>
      <c r="AE7" s="33" t="s">
        <v>27</v>
      </c>
      <c r="AF7" s="33" t="s">
        <v>28</v>
      </c>
      <c r="AG7" s="33" t="s">
        <v>29</v>
      </c>
      <c r="AH7" s="33" t="s">
        <v>30</v>
      </c>
      <c r="AI7" s="33" t="s">
        <v>31</v>
      </c>
      <c r="AJ7" s="33" t="s">
        <v>32</v>
      </c>
      <c r="AK7" s="33" t="s">
        <v>33</v>
      </c>
      <c r="AL7" s="33" t="s">
        <v>34</v>
      </c>
      <c r="AM7" s="33" t="s">
        <v>35</v>
      </c>
      <c r="AN7" s="33" t="s">
        <v>36</v>
      </c>
      <c r="AO7" s="33" t="s">
        <v>37</v>
      </c>
      <c r="AP7" s="33" t="s">
        <v>38</v>
      </c>
      <c r="AQ7" s="33" t="s">
        <v>39</v>
      </c>
    </row>
    <row r="8" spans="2:43">
      <c r="C8" t="s">
        <v>150</v>
      </c>
      <c r="D8" s="4">
        <f>'[2]Income Statement'!D92</f>
        <v>1867</v>
      </c>
      <c r="E8" s="4">
        <f>'[2]Income Statement'!E92</f>
        <v>3947</v>
      </c>
      <c r="F8" s="4">
        <f>'[2]Income Statement'!F92</f>
        <v>2824</v>
      </c>
      <c r="G8" s="4">
        <f>'[2]Income Statement'!G92</f>
        <v>5603</v>
      </c>
      <c r="H8" s="4">
        <f>'[2]Income Statement'!H92</f>
        <v>2795</v>
      </c>
      <c r="I8" s="4">
        <f>'[2]Income Statement'!I92</f>
        <v>3328</v>
      </c>
      <c r="J8" s="4">
        <f>'[2]Income Statement'!J92</f>
        <v>137</v>
      </c>
      <c r="K8" s="4">
        <f>'[2]Income Statement'!K92</f>
        <v>4485</v>
      </c>
      <c r="L8" s="4">
        <f>'[2]Income Statement'!L92</f>
        <v>4359</v>
      </c>
      <c r="M8" s="4">
        <f>'[2]Income Statement'!M92</f>
        <v>5142</v>
      </c>
      <c r="N8" s="4">
        <f>'[2]Income Statement'!N92</f>
        <v>-9053</v>
      </c>
      <c r="O8" s="4">
        <f>'[2]Income Statement'!O92</f>
        <v>3918</v>
      </c>
      <c r="P8" s="4">
        <f>'[2]Income Statement'!P92</f>
        <v>5251</v>
      </c>
      <c r="Q8" s="4">
        <f>'[2]Income Statement'!Q92</f>
        <v>3066</v>
      </c>
      <c r="R8" s="4">
        <f>'[2]Income Statement'!R92</f>
        <v>3704</v>
      </c>
      <c r="S8" s="4">
        <f>'[2]Income Statement'!S92</f>
        <v>7697</v>
      </c>
      <c r="T8" s="4">
        <f>'[2]Income Statement'!T92</f>
        <v>0</v>
      </c>
      <c r="U8" s="4"/>
      <c r="V8" s="4">
        <f>'Income Statement'!U38</f>
        <v>339.4999999999992</v>
      </c>
      <c r="W8" s="4">
        <f>'Income Statement'!V38</f>
        <v>1542.7608992915339</v>
      </c>
      <c r="X8" s="4">
        <f>'Income Statement'!W38</f>
        <v>775.55553967021103</v>
      </c>
      <c r="Y8" s="4">
        <f>'Income Statement'!X38</f>
        <v>930.86084037205933</v>
      </c>
      <c r="Z8" s="4">
        <f>'Income Statement'!Y38</f>
        <v>852.91521488279</v>
      </c>
      <c r="AA8" s="4">
        <f>'Income Statement'!Z38</f>
        <v>1026.0235263126317</v>
      </c>
      <c r="AB8" s="4">
        <f>'Income Statement'!AA38</f>
        <v>960.89976235999575</v>
      </c>
      <c r="AC8" s="4">
        <f>'Income Statement'!AB38</f>
        <v>1133.8330302151253</v>
      </c>
      <c r="AD8" s="4">
        <f>'Income Statement'!AC38</f>
        <v>1098.799847733565</v>
      </c>
      <c r="AE8" s="4">
        <f>'Income Statement'!AD38</f>
        <v>1192.5575827188698</v>
      </c>
      <c r="AF8" s="4">
        <f>'Income Statement'!AE38</f>
        <v>1142.1551957790475</v>
      </c>
      <c r="AG8" s="4">
        <f>'Income Statement'!AF38</f>
        <v>1273.7727970016813</v>
      </c>
      <c r="AH8" s="4">
        <f>'Income Statement'!AG38</f>
        <v>1291.5200390230414</v>
      </c>
      <c r="AI8" s="4">
        <f>'Income Statement'!AH38</f>
        <v>2426.0405304835422</v>
      </c>
      <c r="AJ8" s="4">
        <f>'Income Statement'!AI38</f>
        <v>1524.6309428725147</v>
      </c>
      <c r="AK8" s="4">
        <f>'Income Statement'!AJ38</f>
        <v>1797.011676415359</v>
      </c>
      <c r="AL8" s="4">
        <f>'Income Statement'!AK38</f>
        <v>1771.5172442218047</v>
      </c>
      <c r="AM8" s="4">
        <f>'Income Statement'!AL38</f>
        <v>1941.2863793795477</v>
      </c>
      <c r="AN8" s="4">
        <f>'Income Statement'!AM38</f>
        <v>1935.8824689450114</v>
      </c>
      <c r="AO8" s="4">
        <f>'Income Statement'!AN38</f>
        <v>2034.6850915287193</v>
      </c>
      <c r="AP8" s="4">
        <f>'Income Statement'!AO38</f>
        <v>2062.3560522860371</v>
      </c>
      <c r="AQ8" s="4">
        <f>'Income Statement'!AP38</f>
        <v>2328.3656088178891</v>
      </c>
    </row>
    <row r="10" spans="2:43">
      <c r="C10" t="s">
        <v>151</v>
      </c>
      <c r="U10" s="35"/>
      <c r="V10" s="35">
        <f t="shared" ref="V10:AQ10" si="1">1/(1+$C$4)^V6</f>
        <v>1</v>
      </c>
      <c r="W10" s="35">
        <f t="shared" si="1"/>
        <v>0.94966761633428309</v>
      </c>
      <c r="X10" s="35">
        <f t="shared" si="1"/>
        <v>0.90186858151403904</v>
      </c>
      <c r="Y10" s="35">
        <f t="shared" si="1"/>
        <v>0.85647538605321849</v>
      </c>
      <c r="Z10" s="35">
        <f t="shared" si="1"/>
        <v>0.81336693832214479</v>
      </c>
      <c r="AA10" s="35">
        <f t="shared" si="1"/>
        <v>0.77242824152150513</v>
      </c>
      <c r="AB10" s="35">
        <f t="shared" si="1"/>
        <v>0.73355008691500956</v>
      </c>
      <c r="AC10" s="35">
        <f t="shared" si="1"/>
        <v>0.69662876250238337</v>
      </c>
      <c r="AD10" s="35">
        <f t="shared" si="1"/>
        <v>0.6615657763555397</v>
      </c>
      <c r="AE10" s="35">
        <f t="shared" si="1"/>
        <v>0.62826759387990483</v>
      </c>
      <c r="AF10" s="35">
        <f t="shared" si="1"/>
        <v>0.59664538830000458</v>
      </c>
      <c r="AG10" s="35">
        <f t="shared" si="1"/>
        <v>0.56661480370370809</v>
      </c>
      <c r="AH10" s="35">
        <f t="shared" si="1"/>
        <v>0.53809573001301814</v>
      </c>
      <c r="AI10" s="35">
        <f t="shared" si="1"/>
        <v>0.51101208928111885</v>
      </c>
      <c r="AJ10" s="35">
        <f t="shared" si="1"/>
        <v>0.485291632745602</v>
      </c>
      <c r="AK10" s="35">
        <f t="shared" si="1"/>
        <v>0.46086574809648817</v>
      </c>
      <c r="AL10" s="35">
        <f t="shared" si="1"/>
        <v>0.437669276444908</v>
      </c>
      <c r="AM10" s="35">
        <f t="shared" si="1"/>
        <v>0.41564033850418614</v>
      </c>
      <c r="AN10" s="35">
        <f t="shared" si="1"/>
        <v>0.394720169519645</v>
      </c>
      <c r="AO10" s="35">
        <f t="shared" si="1"/>
        <v>0.3748529625067854</v>
      </c>
      <c r="AP10" s="35">
        <f t="shared" si="1"/>
        <v>0.35598571937966322</v>
      </c>
      <c r="AQ10" s="35">
        <f t="shared" si="1"/>
        <v>0.33806810957232974</v>
      </c>
    </row>
    <row r="11" spans="2:43">
      <c r="C11" t="s">
        <v>152</v>
      </c>
      <c r="U11" s="4"/>
      <c r="V11" s="4">
        <f t="shared" ref="V11:AQ11" si="2">V8*V10</f>
        <v>339.4999999999992</v>
      </c>
      <c r="W11" s="4">
        <f t="shared" si="2"/>
        <v>1465.1100658039259</v>
      </c>
      <c r="X11" s="4">
        <f t="shared" si="2"/>
        <v>699.4491744477283</v>
      </c>
      <c r="Y11" s="4">
        <f t="shared" si="2"/>
        <v>797.25939761948291</v>
      </c>
      <c r="Z11" s="4">
        <f t="shared" si="2"/>
        <v>693.73303697758911</v>
      </c>
      <c r="AA11" s="4">
        <f t="shared" si="2"/>
        <v>792.52954818935984</v>
      </c>
      <c r="AB11" s="4">
        <f t="shared" si="2"/>
        <v>704.86810419578694</v>
      </c>
      <c r="AC11" s="4">
        <f t="shared" si="2"/>
        <v>789.86070072309019</v>
      </c>
      <c r="AD11" s="4">
        <f t="shared" si="2"/>
        <v>726.9283743252048</v>
      </c>
      <c r="AE11" s="4">
        <f t="shared" si="2"/>
        <v>749.24528305801982</v>
      </c>
      <c r="AF11" s="4">
        <f t="shared" si="2"/>
        <v>681.46163028445756</v>
      </c>
      <c r="AG11" s="4">
        <f t="shared" si="2"/>
        <v>721.73852333623086</v>
      </c>
      <c r="AH11" s="4">
        <f t="shared" si="2"/>
        <v>694.96141822454513</v>
      </c>
      <c r="AI11" s="4">
        <f t="shared" si="2"/>
        <v>1239.7360401630688</v>
      </c>
      <c r="AJ11" s="4">
        <f t="shared" si="2"/>
        <v>739.89063960106932</v>
      </c>
      <c r="AK11" s="4">
        <f t="shared" si="2"/>
        <v>828.18113058928873</v>
      </c>
      <c r="AL11" s="4">
        <f t="shared" si="2"/>
        <v>775.3386704882347</v>
      </c>
      <c r="AM11" s="4">
        <f t="shared" si="2"/>
        <v>806.87692785888112</v>
      </c>
      <c r="AN11" s="4">
        <f t="shared" si="2"/>
        <v>764.13185631208376</v>
      </c>
      <c r="AO11" s="4">
        <f t="shared" si="2"/>
        <v>762.70773432793021</v>
      </c>
      <c r="AP11" s="4">
        <f t="shared" si="2"/>
        <v>734.16930289004722</v>
      </c>
      <c r="AQ11" s="4">
        <f t="shared" si="2"/>
        <v>787.14615976629034</v>
      </c>
    </row>
    <row r="13" spans="2:43" ht="17" thickBot="1"/>
    <row r="14" spans="2:43">
      <c r="C14" s="36" t="s">
        <v>153</v>
      </c>
      <c r="D14" s="37"/>
      <c r="E14" s="37"/>
      <c r="F14" s="37"/>
      <c r="G14" s="37"/>
      <c r="H14" s="37"/>
      <c r="I14" s="37"/>
      <c r="J14" s="37"/>
      <c r="K14" s="37"/>
      <c r="L14" s="37"/>
      <c r="M14" s="37"/>
      <c r="N14" s="37"/>
      <c r="O14" s="37"/>
      <c r="P14" s="37"/>
      <c r="Q14" s="37"/>
      <c r="R14" s="37"/>
      <c r="S14" s="37"/>
      <c r="T14" s="37"/>
      <c r="U14" s="38">
        <f>SUM(U11:AQ11)</f>
        <v>17294.823719182314</v>
      </c>
      <c r="W14" s="39"/>
      <c r="X14" s="40"/>
    </row>
    <row r="15" spans="2:43">
      <c r="C15" s="41" t="s">
        <v>154</v>
      </c>
      <c r="U15" s="42">
        <f>AQ8*(1+C5)/(C4-C5)</f>
        <v>186269.24870543115</v>
      </c>
      <c r="W15" s="43"/>
      <c r="X15" s="40"/>
    </row>
    <row r="16" spans="2:43">
      <c r="C16" s="41" t="s">
        <v>155</v>
      </c>
      <c r="U16" s="42">
        <f>U15*AQ10</f>
        <v>62971.692781303238</v>
      </c>
      <c r="W16" s="39"/>
      <c r="X16" s="40"/>
    </row>
    <row r="17" spans="3:27">
      <c r="C17" s="41" t="s">
        <v>156</v>
      </c>
      <c r="U17" s="42">
        <f>SUM(U16,U14)</f>
        <v>80266.516500485552</v>
      </c>
      <c r="W17" s="39"/>
      <c r="X17" s="40"/>
    </row>
    <row r="18" spans="3:27">
      <c r="C18" s="41" t="s">
        <v>157</v>
      </c>
      <c r="U18" s="44" t="e">
        <f>'Balance Sheet'!T29+'Balance Sheet'!T32-'Balance Sheet'!T9-'Balance Sheet'!T10-'Balance Sheet'!#REF!-'Balance Sheet'!T13</f>
        <v>#REF!</v>
      </c>
      <c r="W18" s="43"/>
      <c r="X18" s="40"/>
      <c r="Z18" s="45"/>
      <c r="AA18" s="45"/>
    </row>
    <row r="19" spans="3:27">
      <c r="C19" s="41" t="s">
        <v>74</v>
      </c>
      <c r="U19" s="42">
        <f>'Balance Sheet'!T9</f>
        <v>8702.2000000000007</v>
      </c>
      <c r="W19" s="39"/>
      <c r="X19" s="40"/>
    </row>
    <row r="20" spans="3:27">
      <c r="C20" s="41" t="s">
        <v>158</v>
      </c>
      <c r="U20" s="42" t="e">
        <f>SUM(U17:U19)</f>
        <v>#REF!</v>
      </c>
      <c r="W20" s="39"/>
      <c r="X20" s="40"/>
    </row>
    <row r="21" spans="3:27">
      <c r="C21" s="41"/>
      <c r="U21" s="46"/>
      <c r="W21" s="39"/>
      <c r="X21" s="39"/>
      <c r="AA21" s="45"/>
    </row>
    <row r="22" spans="3:27">
      <c r="C22" s="41" t="s">
        <v>159</v>
      </c>
      <c r="U22" s="47">
        <f>'Income Statement'!T32</f>
        <v>258.7</v>
      </c>
      <c r="W22" s="39"/>
      <c r="X22" s="48"/>
      <c r="AA22" s="49"/>
    </row>
    <row r="23" spans="3:27" ht="17" thickBot="1">
      <c r="C23" s="50" t="s">
        <v>55</v>
      </c>
      <c r="D23" s="9"/>
      <c r="E23" s="9"/>
      <c r="F23" s="9"/>
      <c r="G23" s="9"/>
      <c r="H23" s="9"/>
      <c r="I23" s="9"/>
      <c r="J23" s="9"/>
      <c r="K23" s="9"/>
      <c r="L23" s="9"/>
      <c r="M23" s="9"/>
      <c r="N23" s="9"/>
      <c r="O23" s="9"/>
      <c r="P23" s="9"/>
      <c r="Q23" s="9"/>
      <c r="R23" s="9"/>
      <c r="S23" s="9"/>
      <c r="T23" s="9"/>
      <c r="U23" s="51" t="e">
        <f>U20/U22</f>
        <v>#REF!</v>
      </c>
      <c r="W23" s="39"/>
      <c r="X23" s="52"/>
    </row>
    <row r="24" spans="3:27">
      <c r="X24" s="12"/>
    </row>
    <row r="25" spans="3:27">
      <c r="X25" s="29"/>
    </row>
  </sheetData>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Vertex Info</vt:lpstr>
      <vt:lpstr>Income Statement</vt:lpstr>
      <vt:lpstr>Balance Sheet</vt:lpstr>
      <vt:lpstr>Cash Flow Statement</vt:lpstr>
      <vt:lpstr>D&amp;A and Capex</vt:lpstr>
      <vt:lpstr>Days</vt:lpstr>
      <vt:lpstr>Interest Financing</vt:lpstr>
      <vt:lpstr>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2022-07-25T10:13:59Z</dcterms:created>
  <dcterms:modified xsi:type="dcterms:W3CDTF">2022-11-24T08:07:18Z</dcterms:modified>
</cp:coreProperties>
</file>