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Christopher Brant\Google Drive\Clemson Year 3\Clemson Fall 2017\ECE 3110 Electrical Engineering III Lab\Lab Reports\Lab Report Excel Data\"/>
    </mc:Choice>
  </mc:AlternateContent>
  <bookViews>
    <workbookView xWindow="0" yWindow="0" windowWidth="23040" windowHeight="94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6" i="1" l="1"/>
  <c r="E36" i="1" s="1"/>
  <c r="D35" i="1"/>
  <c r="E35" i="1" s="1"/>
  <c r="D34" i="1"/>
  <c r="E34" i="1" s="1"/>
  <c r="H19" i="1"/>
  <c r="K17" i="1" s="1"/>
  <c r="K18" i="1" s="1"/>
  <c r="K19" i="1" s="1"/>
  <c r="H17" i="1"/>
  <c r="D18" i="1"/>
  <c r="D19" i="1"/>
  <c r="D20" i="1"/>
  <c r="D21" i="1"/>
  <c r="D22" i="1"/>
  <c r="D23" i="1"/>
  <c r="D24" i="1"/>
  <c r="D17" i="1"/>
  <c r="I8" i="1"/>
  <c r="I12" i="1"/>
  <c r="G13" i="1"/>
  <c r="C24" i="1" s="1"/>
  <c r="E24" i="1" s="1"/>
  <c r="F13" i="1"/>
  <c r="D13" i="1"/>
  <c r="K13" i="1" s="1"/>
  <c r="F12" i="1"/>
  <c r="G12" i="1"/>
  <c r="H13" i="1" s="1"/>
  <c r="D12" i="1"/>
  <c r="G11" i="1"/>
  <c r="C22" i="1" s="1"/>
  <c r="E22" i="1" s="1"/>
  <c r="F11" i="1"/>
  <c r="D11" i="1"/>
  <c r="I11" i="1" s="1"/>
  <c r="F10" i="1"/>
  <c r="G10" i="1"/>
  <c r="C21" i="1" s="1"/>
  <c r="E21" i="1" s="1"/>
  <c r="D10" i="1"/>
  <c r="G9" i="1"/>
  <c r="C20" i="1" s="1"/>
  <c r="E20" i="1" s="1"/>
  <c r="F9" i="1"/>
  <c r="D9" i="1"/>
  <c r="I10" i="1" s="1"/>
  <c r="F8" i="1"/>
  <c r="G8" i="1"/>
  <c r="C19" i="1" s="1"/>
  <c r="E19" i="1" s="1"/>
  <c r="D8" i="1"/>
  <c r="G7" i="1"/>
  <c r="H7" i="1" s="1"/>
  <c r="F7" i="1"/>
  <c r="D7" i="1"/>
  <c r="J7" i="1"/>
  <c r="J11" i="1"/>
  <c r="G6" i="1"/>
  <c r="C17" i="1" s="1"/>
  <c r="E17" i="1" s="1"/>
  <c r="F6" i="1"/>
  <c r="D6" i="1"/>
  <c r="G35" i="1" l="1"/>
  <c r="G36" i="1"/>
  <c r="I13" i="1"/>
  <c r="L13" i="1" s="1"/>
  <c r="I9" i="1"/>
  <c r="C23" i="1"/>
  <c r="E23" i="1" s="1"/>
  <c r="L12" i="1"/>
  <c r="C18" i="1"/>
  <c r="E18" i="1" s="1"/>
  <c r="J12" i="1"/>
  <c r="H12" i="1"/>
  <c r="K12" i="1"/>
  <c r="J13" i="1"/>
  <c r="H11" i="1"/>
  <c r="L11" i="1" s="1"/>
  <c r="K11" i="1"/>
  <c r="H10" i="1"/>
  <c r="L10" i="1" s="1"/>
  <c r="K10" i="1"/>
  <c r="G34" i="1" s="1"/>
  <c r="H9" i="1"/>
  <c r="L9" i="1" s="1"/>
  <c r="K9" i="1"/>
  <c r="J10" i="1"/>
  <c r="J9" i="1"/>
  <c r="K8" i="1"/>
  <c r="H8" i="1"/>
  <c r="L8" i="1" s="1"/>
  <c r="K7" i="1"/>
  <c r="D29" i="1" s="1"/>
  <c r="F35" i="1" s="1"/>
  <c r="J8" i="1"/>
  <c r="I7" i="1"/>
  <c r="L7" i="1" s="1"/>
  <c r="F36" i="1" l="1"/>
  <c r="F34" i="1"/>
</calcChain>
</file>

<file path=xl/sharedStrings.xml><?xml version="1.0" encoding="utf-8"?>
<sst xmlns="http://schemas.openxmlformats.org/spreadsheetml/2006/main" count="61" uniqueCount="55">
  <si>
    <t>Lab 5</t>
  </si>
  <si>
    <t>N</t>
  </si>
  <si>
    <r>
      <t>I</t>
    </r>
    <r>
      <rPr>
        <b/>
        <sz val="6.5"/>
        <color rgb="FF000000"/>
        <rFont val="Arial"/>
        <family val="2"/>
      </rPr>
      <t>B</t>
    </r>
  </si>
  <si>
    <t>Your value</t>
  </si>
  <si>
    <t>of</t>
  </si>
  <si>
    <r>
      <t>V</t>
    </r>
    <r>
      <rPr>
        <b/>
        <sz val="6.5"/>
        <color rgb="FF000000"/>
        <rFont val="Arial"/>
        <family val="2"/>
      </rPr>
      <t>BE</t>
    </r>
  </si>
  <si>
    <r>
      <t>I</t>
    </r>
    <r>
      <rPr>
        <b/>
        <sz val="6.5"/>
        <color rgb="FF000000"/>
        <rFont val="Arial"/>
        <family val="2"/>
      </rPr>
      <t>C1</t>
    </r>
  </si>
  <si>
    <t>@</t>
  </si>
  <si>
    <r>
      <t>V</t>
    </r>
    <r>
      <rPr>
        <vertAlign val="subscript"/>
        <sz val="7"/>
        <color rgb="FF000000"/>
        <rFont val="Arial"/>
        <family val="2"/>
      </rPr>
      <t>CE</t>
    </r>
    <r>
      <rPr>
        <sz val="6"/>
        <color rgb="FF000000"/>
        <rFont val="Arial"/>
        <family val="2"/>
      </rPr>
      <t>= 2.5V</t>
    </r>
  </si>
  <si>
    <r>
      <t>I</t>
    </r>
    <r>
      <rPr>
        <b/>
        <sz val="6.5"/>
        <color rgb="FF000000"/>
        <rFont val="Arial"/>
        <family val="2"/>
      </rPr>
      <t>C2</t>
    </r>
  </si>
  <si>
    <r>
      <t>V</t>
    </r>
    <r>
      <rPr>
        <vertAlign val="subscript"/>
        <sz val="7"/>
        <color rgb="FF000000"/>
        <rFont val="Arial"/>
        <family val="2"/>
      </rPr>
      <t>CE</t>
    </r>
    <r>
      <rPr>
        <sz val="6"/>
        <color rgb="FF000000"/>
        <rFont val="Arial"/>
        <family val="2"/>
      </rPr>
      <t>= 5.0V</t>
    </r>
  </si>
  <si>
    <r>
      <t>∆I</t>
    </r>
    <r>
      <rPr>
        <b/>
        <vertAlign val="subscript"/>
        <sz val="10"/>
        <color rgb="FF000000"/>
        <rFont val="Arial"/>
        <family val="2"/>
      </rPr>
      <t>C2</t>
    </r>
  </si>
  <si>
    <t>=</t>
  </si>
  <si>
    <r>
      <t>I</t>
    </r>
    <r>
      <rPr>
        <vertAlign val="subscript"/>
        <sz val="9"/>
        <color rgb="FF000000"/>
        <rFont val="Arial"/>
        <family val="2"/>
      </rPr>
      <t>C2</t>
    </r>
    <r>
      <rPr>
        <sz val="8"/>
        <color rgb="FF000000"/>
        <rFont val="Arial"/>
        <family val="2"/>
      </rPr>
      <t>(N)–</t>
    </r>
    <r>
      <rPr>
        <sz val="9"/>
        <color rgb="FF000000"/>
        <rFont val="Arial"/>
        <family val="2"/>
      </rPr>
      <t>I</t>
    </r>
    <r>
      <rPr>
        <vertAlign val="subscript"/>
        <sz val="9"/>
        <color rgb="FF000000"/>
        <rFont val="Arial"/>
        <family val="2"/>
      </rPr>
      <t>C2</t>
    </r>
    <r>
      <rPr>
        <sz val="8"/>
        <color rgb="FF000000"/>
        <rFont val="Arial"/>
        <family val="2"/>
      </rPr>
      <t>(N-1)</t>
    </r>
  </si>
  <si>
    <r>
      <t>∆I</t>
    </r>
    <r>
      <rPr>
        <b/>
        <vertAlign val="subscript"/>
        <sz val="10"/>
        <color rgb="FF000000"/>
        <rFont val="Arial"/>
        <family val="2"/>
      </rPr>
      <t>B</t>
    </r>
  </si>
  <si>
    <r>
      <t>I</t>
    </r>
    <r>
      <rPr>
        <vertAlign val="subscript"/>
        <sz val="9"/>
        <color rgb="FF000000"/>
        <rFont val="Arial"/>
        <family val="2"/>
      </rPr>
      <t>B</t>
    </r>
    <r>
      <rPr>
        <sz val="8"/>
        <color rgb="FF000000"/>
        <rFont val="Arial"/>
        <family val="2"/>
      </rPr>
      <t>(N)–</t>
    </r>
    <r>
      <rPr>
        <sz val="9"/>
        <color rgb="FF000000"/>
        <rFont val="Arial"/>
        <family val="2"/>
      </rPr>
      <t>I</t>
    </r>
    <r>
      <rPr>
        <vertAlign val="subscript"/>
        <sz val="9"/>
        <color rgb="FF000000"/>
        <rFont val="Arial"/>
        <family val="2"/>
      </rPr>
      <t>B</t>
    </r>
    <r>
      <rPr>
        <sz val="8"/>
        <color rgb="FF000000"/>
        <rFont val="Arial"/>
        <family val="2"/>
      </rPr>
      <t>(N-1)</t>
    </r>
  </si>
  <si>
    <r>
      <t>∆V</t>
    </r>
    <r>
      <rPr>
        <b/>
        <vertAlign val="subscript"/>
        <sz val="10"/>
        <color rgb="FF000000"/>
        <rFont val="Arial"/>
        <family val="2"/>
      </rPr>
      <t>BE</t>
    </r>
  </si>
  <si>
    <r>
      <t>V</t>
    </r>
    <r>
      <rPr>
        <vertAlign val="subscript"/>
        <sz val="9"/>
        <color rgb="FF000000"/>
        <rFont val="Arial"/>
        <family val="2"/>
      </rPr>
      <t>BE</t>
    </r>
    <r>
      <rPr>
        <sz val="8"/>
        <color rgb="FF000000"/>
        <rFont val="Arial"/>
        <family val="2"/>
      </rPr>
      <t xml:space="preserve">(N) </t>
    </r>
    <r>
      <rPr>
        <sz val="9"/>
        <color rgb="FF000000"/>
        <rFont val="Arial"/>
        <family val="2"/>
      </rPr>
      <t>–V</t>
    </r>
    <r>
      <rPr>
        <vertAlign val="subscript"/>
        <sz val="9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(N-1)</t>
    </r>
  </si>
  <si>
    <r>
      <t>h</t>
    </r>
    <r>
      <rPr>
        <b/>
        <sz val="6.5"/>
        <color rgb="FF000000"/>
        <rFont val="Arial"/>
        <family val="2"/>
      </rPr>
      <t>FE</t>
    </r>
  </si>
  <si>
    <t>@5V</t>
  </si>
  <si>
    <r>
      <t>h</t>
    </r>
    <r>
      <rPr>
        <vertAlign val="subscript"/>
        <sz val="10"/>
        <color rgb="FF000000"/>
        <rFont val="Arial"/>
        <family val="2"/>
      </rPr>
      <t>fe</t>
    </r>
  </si>
  <si>
    <t>0.5µA</t>
  </si>
  <si>
    <t>5µA</t>
  </si>
  <si>
    <t>10µA</t>
  </si>
  <si>
    <t>50µA</t>
  </si>
  <si>
    <t>75µA</t>
  </si>
  <si>
    <t>100µA</t>
  </si>
  <si>
    <t>150µA</t>
  </si>
  <si>
    <t>200µA</t>
  </si>
  <si>
    <t xml:space="preserve">N </t>
  </si>
  <si>
    <r>
      <t>∆I</t>
    </r>
    <r>
      <rPr>
        <b/>
        <sz val="6.5"/>
        <color rgb="FF000000"/>
        <rFont val="Arial"/>
        <family val="2"/>
      </rPr>
      <t>C</t>
    </r>
    <r>
      <rPr>
        <b/>
        <sz val="10"/>
        <color rgb="FF000000"/>
        <rFont val="Arial"/>
        <family val="2"/>
      </rPr>
      <t>=I</t>
    </r>
    <r>
      <rPr>
        <b/>
        <sz val="6.5"/>
        <color rgb="FF000000"/>
        <rFont val="Arial"/>
        <family val="2"/>
      </rPr>
      <t xml:space="preserve">C2 </t>
    </r>
    <r>
      <rPr>
        <b/>
        <sz val="10"/>
        <color rgb="FF000000"/>
        <rFont val="Arial"/>
        <family val="2"/>
      </rPr>
      <t>- I</t>
    </r>
    <r>
      <rPr>
        <b/>
        <sz val="6.5"/>
        <color rgb="FF000000"/>
        <rFont val="Arial"/>
        <family val="2"/>
      </rPr>
      <t>C1</t>
    </r>
    <r>
      <rPr>
        <b/>
        <sz val="10"/>
        <color rgb="FF000000"/>
        <rFont val="Arial"/>
        <family val="2"/>
      </rPr>
      <t xml:space="preserve"> </t>
    </r>
  </si>
  <si>
    <r>
      <t>∆V</t>
    </r>
    <r>
      <rPr>
        <b/>
        <sz val="6.5"/>
        <color rgb="FF000000"/>
        <rFont val="Arial"/>
        <family val="2"/>
      </rPr>
      <t xml:space="preserve">CE </t>
    </r>
    <r>
      <rPr>
        <b/>
        <sz val="10"/>
        <color rgb="FF000000"/>
        <rFont val="Arial"/>
        <family val="2"/>
      </rPr>
      <t>= V</t>
    </r>
    <r>
      <rPr>
        <b/>
        <sz val="6.5"/>
        <color rgb="FF000000"/>
        <rFont val="Arial"/>
        <family val="2"/>
      </rPr>
      <t xml:space="preserve">CE2 </t>
    </r>
    <r>
      <rPr>
        <b/>
        <sz val="10"/>
        <color rgb="FF000000"/>
        <rFont val="Arial"/>
        <family val="2"/>
      </rPr>
      <t>– V</t>
    </r>
    <r>
      <rPr>
        <b/>
        <sz val="6.5"/>
        <color rgb="FF000000"/>
        <rFont val="Arial"/>
        <family val="2"/>
      </rPr>
      <t>CE1</t>
    </r>
  </si>
  <si>
    <r>
      <t>h</t>
    </r>
    <r>
      <rPr>
        <b/>
        <vertAlign val="subscript"/>
        <sz val="10"/>
        <color rgb="FF000000"/>
        <rFont val="Arial"/>
        <family val="2"/>
      </rPr>
      <t>oe</t>
    </r>
  </si>
  <si>
    <t>5.1b: hoe Calculations</t>
  </si>
  <si>
    <t>5.1a: Measured Output Characteristics</t>
  </si>
  <si>
    <t xml:space="preserve">Inverse Active </t>
  </si>
  <si>
    <t>Part 3</t>
  </si>
  <si>
    <t>Ic1</t>
  </si>
  <si>
    <t>Vce1</t>
  </si>
  <si>
    <t>Vce (Sat)</t>
  </si>
  <si>
    <t>Ic2</t>
  </si>
  <si>
    <t>Vce2</t>
  </si>
  <si>
    <t>Slope (m)</t>
  </si>
  <si>
    <t>Intercept (b)</t>
  </si>
  <si>
    <t>Vce(0)=VA</t>
  </si>
  <si>
    <t>Breakdown voltage</t>
  </si>
  <si>
    <t>c</t>
  </si>
  <si>
    <t>d</t>
  </si>
  <si>
    <t>Input Charachteristics</t>
  </si>
  <si>
    <t>beta</t>
  </si>
  <si>
    <t>Vbe</t>
  </si>
  <si>
    <t>Ie</t>
  </si>
  <si>
    <t>hib</t>
  </si>
  <si>
    <t>hie(avg beta)</t>
  </si>
  <si>
    <t>hie(accurate beta)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</si>
</sst>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0"/>
      <color rgb="FF000000"/>
      <name val="Arial"/>
      <family val="2"/>
    </font>
    <font>
      <b/>
      <sz val="6.5"/>
      <color rgb="FF000000"/>
      <name val="Arial"/>
      <family val="2"/>
    </font>
    <font>
      <sz val="6"/>
      <color rgb="FF000000"/>
      <name val="Arial"/>
      <family val="2"/>
    </font>
    <font>
      <sz val="7"/>
      <color rgb="FF000000"/>
      <name val="Arial"/>
      <family val="2"/>
    </font>
    <font>
      <vertAlign val="subscript"/>
      <sz val="7"/>
      <color rgb="FF000000"/>
      <name val="Arial"/>
      <family val="2"/>
    </font>
    <font>
      <b/>
      <vertAlign val="subscript"/>
      <sz val="10"/>
      <color rgb="FF000000"/>
      <name val="Arial"/>
      <family val="2"/>
    </font>
    <font>
      <sz val="8"/>
      <color rgb="FF000000"/>
      <name val="Arial"/>
      <family val="2"/>
    </font>
    <font>
      <sz val="9"/>
      <color rgb="FF000000"/>
      <name val="Arial"/>
      <family val="2"/>
    </font>
    <font>
      <vertAlign val="subscript"/>
      <sz val="9"/>
      <color rgb="FF000000"/>
      <name val="Arial"/>
      <family val="2"/>
    </font>
    <font>
      <vertAlign val="subscript"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justify" vertical="center" wrapText="1"/>
    </xf>
    <xf numFmtId="0" fontId="8" fillId="0" borderId="7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left" vertical="center" wrapText="1"/>
    </xf>
    <xf numFmtId="0" fontId="0" fillId="0" borderId="8" xfId="0" applyBorder="1" applyAlignment="1">
      <alignment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justify" vertical="center" wrapText="1"/>
    </xf>
    <xf numFmtId="0" fontId="5" fillId="0" borderId="7" xfId="0" applyFont="1" applyBorder="1" applyAlignment="1">
      <alignment horizontal="left" vertical="center" wrapText="1" indent="1"/>
    </xf>
    <xf numFmtId="0" fontId="0" fillId="0" borderId="7" xfId="0" applyBorder="1" applyAlignment="1">
      <alignment vertical="center" wrapText="1"/>
    </xf>
    <xf numFmtId="0" fontId="2" fillId="0" borderId="4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9" xfId="0" applyBorder="1" applyAlignment="1"/>
    <xf numFmtId="0" fontId="12" fillId="0" borderId="8" xfId="0" applyFont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1"/>
    </xf>
    <xf numFmtId="0" fontId="0" fillId="0" borderId="9" xfId="0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 inden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247594050743664E-2"/>
          <c:y val="7.8703703703703706E-2"/>
          <c:w val="0.89019685039370078"/>
          <c:h val="0.73577136191309422"/>
        </c:manualLayout>
      </c:layout>
      <c:lineChart>
        <c:grouping val="standard"/>
        <c:varyColors val="0"/>
        <c:ser>
          <c:idx val="0"/>
          <c:order val="0"/>
          <c:tx>
            <c:strRef>
              <c:f>Sheet1!$K$3</c:f>
              <c:strCache>
                <c:ptCount val="1"/>
                <c:pt idx="0">
                  <c:v>hFE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Sheet1!$H$7:$H$13</c:f>
              <c:numCache>
                <c:formatCode>General</c:formatCode>
                <c:ptCount val="7"/>
                <c:pt idx="0">
                  <c:v>8.4499999999999994E-4</c:v>
                </c:pt>
                <c:pt idx="1">
                  <c:v>7.8000000000000009E-4</c:v>
                </c:pt>
                <c:pt idx="2">
                  <c:v>7.6500000000000005E-3</c:v>
                </c:pt>
                <c:pt idx="3">
                  <c:v>4.5000000000000005E-3</c:v>
                </c:pt>
                <c:pt idx="4">
                  <c:v>4.7000000000000011E-3</c:v>
                </c:pt>
                <c:pt idx="5">
                  <c:v>1.0200000000000001E-2</c:v>
                </c:pt>
                <c:pt idx="6">
                  <c:v>8.6E-3</c:v>
                </c:pt>
              </c:numCache>
            </c:numRef>
          </c:cat>
          <c:val>
            <c:numRef>
              <c:f>Sheet1!$K$7:$K$13</c:f>
              <c:numCache>
                <c:formatCode>General</c:formatCode>
                <c:ptCount val="7"/>
                <c:pt idx="0">
                  <c:v>186.53846153846152</c:v>
                </c:pt>
                <c:pt idx="1">
                  <c:v>178.57142857142856</c:v>
                </c:pt>
                <c:pt idx="2">
                  <c:v>180.76923076923077</c:v>
                </c:pt>
                <c:pt idx="3">
                  <c:v>185.33333333333337</c:v>
                </c:pt>
                <c:pt idx="4">
                  <c:v>189.79591836734696</c:v>
                </c:pt>
                <c:pt idx="5">
                  <c:v>192.00000000000003</c:v>
                </c:pt>
                <c:pt idx="6">
                  <c:v>190.81632653061226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9A-4455-B8CE-DB051F871E51}"/>
            </c:ext>
          </c:extLst>
        </c:ser>
        <c:ser>
          <c:idx val="1"/>
          <c:order val="1"/>
          <c:tx>
            <c:strRef>
              <c:f>Sheet1!$L$3</c:f>
              <c:strCache>
                <c:ptCount val="1"/>
                <c:pt idx="0">
                  <c:v>hfe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Sheet1!$H$7:$H$13</c:f>
              <c:numCache>
                <c:formatCode>General</c:formatCode>
                <c:ptCount val="7"/>
                <c:pt idx="0">
                  <c:v>8.4499999999999994E-4</c:v>
                </c:pt>
                <c:pt idx="1">
                  <c:v>7.8000000000000009E-4</c:v>
                </c:pt>
                <c:pt idx="2">
                  <c:v>7.6500000000000005E-3</c:v>
                </c:pt>
                <c:pt idx="3">
                  <c:v>4.5000000000000005E-3</c:v>
                </c:pt>
                <c:pt idx="4">
                  <c:v>4.7000000000000011E-3</c:v>
                </c:pt>
                <c:pt idx="5">
                  <c:v>1.0200000000000001E-2</c:v>
                </c:pt>
                <c:pt idx="6">
                  <c:v>8.6E-3</c:v>
                </c:pt>
              </c:numCache>
            </c:numRef>
          </c:cat>
          <c:val>
            <c:numRef>
              <c:f>Sheet1!$L$7:$L$13</c:f>
              <c:numCache>
                <c:formatCode>General</c:formatCode>
                <c:ptCount val="7"/>
                <c:pt idx="0">
                  <c:v>187.77777777777777</c:v>
                </c:pt>
                <c:pt idx="1">
                  <c:v>169.56521739130434</c:v>
                </c:pt>
                <c:pt idx="2">
                  <c:v>181.27962085308059</c:v>
                </c:pt>
                <c:pt idx="3">
                  <c:v>195.65217391304353</c:v>
                </c:pt>
                <c:pt idx="4">
                  <c:v>204.34782608695653</c:v>
                </c:pt>
                <c:pt idx="5">
                  <c:v>196.15384615384622</c:v>
                </c:pt>
                <c:pt idx="6">
                  <c:v>186.95652173913041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9A-4455-B8CE-DB051F871E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6053056"/>
        <c:axId val="308858416"/>
      </c:lineChart>
      <c:catAx>
        <c:axId val="616053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858416"/>
        <c:crosses val="autoZero"/>
        <c:auto val="1"/>
        <c:lblAlgn val="ctr"/>
        <c:lblOffset val="100"/>
        <c:noMultiLvlLbl val="0"/>
      </c:catAx>
      <c:valAx>
        <c:axId val="30885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053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21</xdr:row>
      <xdr:rowOff>0</xdr:rowOff>
    </xdr:from>
    <xdr:to>
      <xdr:col>14</xdr:col>
      <xdr:colOff>133350</xdr:colOff>
      <xdr:row>35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2871732-360D-465D-B199-1C16919DE8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abSelected="1" topLeftCell="A7" workbookViewId="0">
      <selection activeCell="G27" sqref="G27"/>
    </sheetView>
  </sheetViews>
  <sheetFormatPr defaultRowHeight="15" x14ac:dyDescent="0.25"/>
  <cols>
    <col min="2" max="2" width="2.28515625" bestFit="1" customWidth="1"/>
    <col min="3" max="3" width="12.28515625" customWidth="1"/>
    <col min="4" max="4" width="19.28515625" bestFit="1" customWidth="1"/>
    <col min="5" max="6" width="12.7109375" bestFit="1" customWidth="1"/>
    <col min="7" max="7" width="18.28515625" bestFit="1" customWidth="1"/>
    <col min="8" max="8" width="10.140625" bestFit="1" customWidth="1"/>
    <col min="9" max="9" width="11.28515625" bestFit="1" customWidth="1"/>
    <col min="10" max="10" width="12.28515625" bestFit="1" customWidth="1"/>
    <col min="11" max="11" width="12" bestFit="1" customWidth="1"/>
    <col min="12" max="12" width="12.7109375" bestFit="1" customWidth="1"/>
  </cols>
  <sheetData>
    <row r="1" spans="1:17" x14ac:dyDescent="0.25">
      <c r="A1" t="s">
        <v>0</v>
      </c>
    </row>
    <row r="2" spans="1:17" ht="15.75" thickBot="1" x14ac:dyDescent="0.3">
      <c r="D2" s="31" t="s">
        <v>34</v>
      </c>
      <c r="E2" s="31"/>
      <c r="F2" s="31"/>
      <c r="G2" s="18"/>
      <c r="N2" t="s">
        <v>35</v>
      </c>
      <c r="P2" t="s">
        <v>39</v>
      </c>
    </row>
    <row r="3" spans="1:17" x14ac:dyDescent="0.25">
      <c r="B3" s="22" t="s">
        <v>1</v>
      </c>
      <c r="C3" s="25" t="s">
        <v>2</v>
      </c>
      <c r="D3" s="1" t="s">
        <v>3</v>
      </c>
      <c r="E3" s="28" t="s">
        <v>5</v>
      </c>
      <c r="F3" s="1" t="s">
        <v>6</v>
      </c>
      <c r="G3" s="1" t="s">
        <v>9</v>
      </c>
      <c r="H3" s="1" t="s">
        <v>11</v>
      </c>
      <c r="I3" s="1" t="s">
        <v>14</v>
      </c>
      <c r="J3" s="1" t="s">
        <v>16</v>
      </c>
      <c r="K3" s="1" t="s">
        <v>18</v>
      </c>
      <c r="L3" s="25" t="s">
        <v>20</v>
      </c>
      <c r="N3" s="32" t="s">
        <v>18</v>
      </c>
      <c r="P3">
        <v>0.01</v>
      </c>
      <c r="Q3">
        <v>0.05</v>
      </c>
    </row>
    <row r="4" spans="1:17" x14ac:dyDescent="0.25">
      <c r="B4" s="23"/>
      <c r="C4" s="26"/>
      <c r="D4" s="2" t="s">
        <v>4</v>
      </c>
      <c r="E4" s="29"/>
      <c r="F4" s="4" t="s">
        <v>7</v>
      </c>
      <c r="G4" s="4" t="s">
        <v>7</v>
      </c>
      <c r="H4" s="6" t="s">
        <v>12</v>
      </c>
      <c r="I4" s="6" t="s">
        <v>12</v>
      </c>
      <c r="J4" s="6" t="s">
        <v>12</v>
      </c>
      <c r="K4" s="11" t="s">
        <v>19</v>
      </c>
      <c r="L4" s="26"/>
      <c r="N4" s="33" t="s">
        <v>19</v>
      </c>
    </row>
    <row r="5" spans="1:17" ht="25.5" thickBot="1" x14ac:dyDescent="0.3">
      <c r="B5" s="24"/>
      <c r="C5" s="27"/>
      <c r="D5" s="3" t="s">
        <v>2</v>
      </c>
      <c r="E5" s="30"/>
      <c r="F5" s="5" t="s">
        <v>8</v>
      </c>
      <c r="G5" s="5" t="s">
        <v>10</v>
      </c>
      <c r="H5" s="7" t="s">
        <v>13</v>
      </c>
      <c r="I5" s="9" t="s">
        <v>15</v>
      </c>
      <c r="J5" s="10" t="s">
        <v>17</v>
      </c>
      <c r="K5" s="12"/>
      <c r="L5" s="26"/>
      <c r="N5" s="34"/>
    </row>
    <row r="6" spans="1:17" ht="16.5" thickBot="1" x14ac:dyDescent="0.3">
      <c r="B6" s="13">
        <v>0</v>
      </c>
      <c r="C6" s="19" t="s">
        <v>21</v>
      </c>
      <c r="D6" s="14">
        <f>0.7*10^-6</f>
        <v>6.9999999999999997E-7</v>
      </c>
      <c r="E6" s="14">
        <v>0.6</v>
      </c>
      <c r="F6" s="14">
        <f>124*10^-6</f>
        <v>1.2400000000000001E-4</v>
      </c>
      <c r="G6" s="14">
        <f>125*10^-6</f>
        <v>1.25E-4</v>
      </c>
      <c r="H6" s="8"/>
      <c r="I6" s="8"/>
      <c r="J6" s="8"/>
      <c r="K6" s="8"/>
      <c r="L6" s="27"/>
      <c r="N6" s="35">
        <v>8</v>
      </c>
    </row>
    <row r="7" spans="1:17" ht="16.5" thickBot="1" x14ac:dyDescent="0.3">
      <c r="B7" s="13">
        <v>1</v>
      </c>
      <c r="C7" s="19" t="s">
        <v>22</v>
      </c>
      <c r="D7" s="14">
        <f>5.2*10^-6</f>
        <v>5.2000000000000002E-6</v>
      </c>
      <c r="E7" s="14">
        <v>0.65</v>
      </c>
      <c r="F7" s="14">
        <f>960*10^-6</f>
        <v>9.5999999999999992E-4</v>
      </c>
      <c r="G7" s="14">
        <f>970*10^-6</f>
        <v>9.6999999999999994E-4</v>
      </c>
      <c r="H7" s="14">
        <f>G7-G6</f>
        <v>8.4499999999999994E-4</v>
      </c>
      <c r="I7" s="14">
        <f>D7-D6</f>
        <v>4.5000000000000001E-6</v>
      </c>
      <c r="J7" s="14">
        <f>E7-E6</f>
        <v>5.0000000000000044E-2</v>
      </c>
      <c r="K7" s="14">
        <f>G7/D7</f>
        <v>186.53846153846152</v>
      </c>
      <c r="L7" s="14">
        <f>H7/I7</f>
        <v>187.77777777777777</v>
      </c>
      <c r="N7" s="36">
        <v>4</v>
      </c>
    </row>
    <row r="8" spans="1:17" ht="16.5" thickBot="1" x14ac:dyDescent="0.3">
      <c r="B8" s="13">
        <v>2</v>
      </c>
      <c r="C8" s="19" t="s">
        <v>23</v>
      </c>
      <c r="D8" s="14">
        <f>9.8*10^-6</f>
        <v>9.800000000000001E-6</v>
      </c>
      <c r="E8" s="14">
        <v>0.67</v>
      </c>
      <c r="F8" s="14">
        <f>1.74*10^-3</f>
        <v>1.74E-3</v>
      </c>
      <c r="G8" s="14">
        <f>1.75*10^-3</f>
        <v>1.75E-3</v>
      </c>
      <c r="H8" s="14">
        <f t="shared" ref="H8:H13" si="0">G8-G7</f>
        <v>7.8000000000000009E-4</v>
      </c>
      <c r="I8" s="14">
        <f t="shared" ref="I8:I13" si="1">D8-D7</f>
        <v>4.6000000000000009E-6</v>
      </c>
      <c r="J8" s="14">
        <f t="shared" ref="J8:J13" si="2">D8-D7</f>
        <v>4.6000000000000009E-6</v>
      </c>
      <c r="K8" s="14">
        <f t="shared" ref="K8:K13" si="3">G8/D8</f>
        <v>178.57142857142856</v>
      </c>
      <c r="L8" s="14">
        <f t="shared" ref="L8:L13" si="4">H8/I8</f>
        <v>169.56521739130434</v>
      </c>
      <c r="N8" s="36">
        <v>4</v>
      </c>
    </row>
    <row r="9" spans="1:17" ht="16.5" thickBot="1" x14ac:dyDescent="0.3">
      <c r="B9" s="13">
        <v>3</v>
      </c>
      <c r="C9" s="19" t="s">
        <v>24</v>
      </c>
      <c r="D9" s="14">
        <f>52*10^-6</f>
        <v>5.1999999999999997E-5</v>
      </c>
      <c r="E9" s="14">
        <v>0.7</v>
      </c>
      <c r="F9" s="14">
        <f>9.1*10^-3</f>
        <v>9.1000000000000004E-3</v>
      </c>
      <c r="G9" s="14">
        <f>9.4*10^-3</f>
        <v>9.4000000000000004E-3</v>
      </c>
      <c r="H9" s="14">
        <f t="shared" si="0"/>
        <v>7.6500000000000005E-3</v>
      </c>
      <c r="I9" s="14">
        <f t="shared" si="1"/>
        <v>4.2199999999999996E-5</v>
      </c>
      <c r="J9" s="14">
        <f t="shared" si="2"/>
        <v>4.2199999999999996E-5</v>
      </c>
      <c r="K9" s="14">
        <f t="shared" si="3"/>
        <v>180.76923076923077</v>
      </c>
      <c r="L9" s="14">
        <f t="shared" si="4"/>
        <v>181.27962085308059</v>
      </c>
      <c r="N9" s="36">
        <v>4</v>
      </c>
    </row>
    <row r="10" spans="1:17" ht="16.5" thickBot="1" x14ac:dyDescent="0.3">
      <c r="B10" s="13">
        <v>4</v>
      </c>
      <c r="C10" s="19" t="s">
        <v>25</v>
      </c>
      <c r="D10" s="14">
        <f>75*10^-6</f>
        <v>7.4999999999999993E-5</v>
      </c>
      <c r="E10" s="14">
        <v>0.71</v>
      </c>
      <c r="F10" s="14">
        <f>13.7*10^-3</f>
        <v>1.37E-2</v>
      </c>
      <c r="G10" s="14">
        <f>13.9*10^-3</f>
        <v>1.3900000000000001E-2</v>
      </c>
      <c r="H10" s="14">
        <f t="shared" si="0"/>
        <v>4.5000000000000005E-3</v>
      </c>
      <c r="I10" s="14">
        <f t="shared" si="1"/>
        <v>2.2999999999999997E-5</v>
      </c>
      <c r="J10" s="14">
        <f t="shared" si="2"/>
        <v>2.2999999999999997E-5</v>
      </c>
      <c r="K10" s="14">
        <f t="shared" si="3"/>
        <v>185.33333333333337</v>
      </c>
      <c r="L10" s="14">
        <f t="shared" si="4"/>
        <v>195.65217391304353</v>
      </c>
      <c r="N10" s="36">
        <v>4</v>
      </c>
    </row>
    <row r="11" spans="1:17" ht="16.5" thickBot="1" x14ac:dyDescent="0.3">
      <c r="B11" s="13">
        <v>5</v>
      </c>
      <c r="C11" s="19" t="s">
        <v>26</v>
      </c>
      <c r="D11" s="14">
        <f>98*10^-6</f>
        <v>9.7999999999999997E-5</v>
      </c>
      <c r="E11" s="14">
        <v>0.71</v>
      </c>
      <c r="F11" s="14">
        <f>18.3*10^-3</f>
        <v>1.83E-2</v>
      </c>
      <c r="G11" s="14">
        <f>18.6*10^-3</f>
        <v>1.8600000000000002E-2</v>
      </c>
      <c r="H11" s="14">
        <f t="shared" si="0"/>
        <v>4.7000000000000011E-3</v>
      </c>
      <c r="I11" s="14">
        <f t="shared" si="1"/>
        <v>2.3000000000000003E-5</v>
      </c>
      <c r="J11" s="14">
        <f t="shared" si="2"/>
        <v>2.3000000000000003E-5</v>
      </c>
      <c r="K11" s="14">
        <f t="shared" si="3"/>
        <v>189.79591836734696</v>
      </c>
      <c r="L11" s="14">
        <f t="shared" si="4"/>
        <v>204.34782608695653</v>
      </c>
      <c r="N11" s="36">
        <v>5</v>
      </c>
    </row>
    <row r="12" spans="1:17" ht="16.5" thickBot="1" x14ac:dyDescent="0.3">
      <c r="B12" s="13">
        <v>6</v>
      </c>
      <c r="C12" s="19" t="s">
        <v>27</v>
      </c>
      <c r="D12" s="14">
        <f>150*10^-6</f>
        <v>1.4999999999999999E-4</v>
      </c>
      <c r="E12" s="14">
        <v>0.72</v>
      </c>
      <c r="F12" s="14">
        <f>28.4*10^-3</f>
        <v>2.8399999999999998E-2</v>
      </c>
      <c r="G12" s="14">
        <f>28.8*10^-3</f>
        <v>2.8800000000000003E-2</v>
      </c>
      <c r="H12" s="14">
        <f t="shared" si="0"/>
        <v>1.0200000000000001E-2</v>
      </c>
      <c r="I12" s="14">
        <f t="shared" si="1"/>
        <v>5.199999999999999E-5</v>
      </c>
      <c r="J12" s="14">
        <f t="shared" si="2"/>
        <v>5.199999999999999E-5</v>
      </c>
      <c r="K12" s="14">
        <f t="shared" si="3"/>
        <v>192.00000000000003</v>
      </c>
      <c r="L12" s="14">
        <f t="shared" si="4"/>
        <v>196.15384615384622</v>
      </c>
      <c r="N12" s="36">
        <v>7</v>
      </c>
    </row>
    <row r="13" spans="1:17" ht="16.5" thickBot="1" x14ac:dyDescent="0.3">
      <c r="B13" s="13">
        <v>7</v>
      </c>
      <c r="C13" s="19" t="s">
        <v>28</v>
      </c>
      <c r="D13" s="14">
        <f>196*10^-6</f>
        <v>1.9599999999999999E-4</v>
      </c>
      <c r="E13" s="14">
        <v>0.73</v>
      </c>
      <c r="F13" s="14">
        <f>37.2*10^-3</f>
        <v>3.7200000000000004E-2</v>
      </c>
      <c r="G13" s="14">
        <f>37.4*10^-3</f>
        <v>3.7400000000000003E-2</v>
      </c>
      <c r="H13" s="14">
        <f t="shared" si="0"/>
        <v>8.6E-3</v>
      </c>
      <c r="I13" s="14">
        <f t="shared" si="1"/>
        <v>4.6000000000000007E-5</v>
      </c>
      <c r="J13" s="14">
        <f t="shared" si="2"/>
        <v>4.6000000000000007E-5</v>
      </c>
      <c r="K13" s="14">
        <f t="shared" si="3"/>
        <v>190.81632653061226</v>
      </c>
      <c r="L13" s="14">
        <f t="shared" si="4"/>
        <v>186.95652173913041</v>
      </c>
      <c r="N13" s="37">
        <v>8</v>
      </c>
    </row>
    <row r="15" spans="1:17" ht="15.75" thickBot="1" x14ac:dyDescent="0.3">
      <c r="D15" t="s">
        <v>33</v>
      </c>
    </row>
    <row r="16" spans="1:17" ht="15.75" thickBot="1" x14ac:dyDescent="0.3">
      <c r="B16" s="15" t="s">
        <v>29</v>
      </c>
      <c r="C16" s="16" t="s">
        <v>30</v>
      </c>
      <c r="D16" s="16" t="s">
        <v>31</v>
      </c>
      <c r="E16" s="16" t="s">
        <v>32</v>
      </c>
      <c r="G16" s="20" t="s">
        <v>36</v>
      </c>
    </row>
    <row r="17" spans="2:11" ht="16.5" thickBot="1" x14ac:dyDescent="0.3">
      <c r="B17" s="17">
        <v>0</v>
      </c>
      <c r="C17" s="14">
        <f>G6-F6</f>
        <v>9.999999999999972E-7</v>
      </c>
      <c r="D17" s="14">
        <f>4.96-2.45</f>
        <v>2.5099999999999998</v>
      </c>
      <c r="E17" s="14">
        <f>C17/D17</f>
        <v>3.9840637450199096E-7</v>
      </c>
      <c r="G17" t="s">
        <v>37</v>
      </c>
      <c r="H17">
        <f>1677*10^-6</f>
        <v>1.6769999999999999E-3</v>
      </c>
      <c r="J17" t="s">
        <v>42</v>
      </c>
      <c r="K17">
        <f>(H19-H17)/(H20-H18)</f>
        <v>5.2493438320209993E-6</v>
      </c>
    </row>
    <row r="18" spans="2:11" ht="16.5" thickBot="1" x14ac:dyDescent="0.3">
      <c r="B18" s="17">
        <v>1</v>
      </c>
      <c r="C18" s="14">
        <f t="shared" ref="C18:C24" si="5">G7-F7</f>
        <v>1.0000000000000026E-5</v>
      </c>
      <c r="D18" s="14">
        <f t="shared" ref="D18:D24" si="6">4.96-2.45</f>
        <v>2.5099999999999998</v>
      </c>
      <c r="E18" s="14">
        <f t="shared" ref="E18:E24" si="7">C18/D18</f>
        <v>3.9840637450199313E-6</v>
      </c>
      <c r="G18" t="s">
        <v>38</v>
      </c>
      <c r="H18">
        <v>0.5</v>
      </c>
      <c r="J18" t="s">
        <v>43</v>
      </c>
      <c r="K18">
        <f>H17-K17*H18</f>
        <v>1.6743753280839893E-3</v>
      </c>
    </row>
    <row r="19" spans="2:11" ht="16.5" thickBot="1" x14ac:dyDescent="0.3">
      <c r="B19" s="17">
        <v>2</v>
      </c>
      <c r="C19" s="14">
        <f t="shared" si="5"/>
        <v>1.0000000000000026E-5</v>
      </c>
      <c r="D19" s="14">
        <f t="shared" si="6"/>
        <v>2.5099999999999998</v>
      </c>
      <c r="E19" s="14">
        <f t="shared" si="7"/>
        <v>3.9840637450199313E-6</v>
      </c>
      <c r="G19" t="s">
        <v>40</v>
      </c>
      <c r="H19">
        <f>1877*10^-6</f>
        <v>1.877E-3</v>
      </c>
      <c r="J19" t="s">
        <v>44</v>
      </c>
      <c r="K19">
        <f>-1*K18/K17</f>
        <v>-318.96849999999984</v>
      </c>
    </row>
    <row r="20" spans="2:11" ht="16.5" thickBot="1" x14ac:dyDescent="0.3">
      <c r="B20" s="17">
        <v>3</v>
      </c>
      <c r="C20" s="14">
        <f t="shared" si="5"/>
        <v>2.9999999999999992E-4</v>
      </c>
      <c r="D20" s="14">
        <f t="shared" si="6"/>
        <v>2.5099999999999998</v>
      </c>
      <c r="E20" s="14">
        <f t="shared" si="7"/>
        <v>1.1952191235059759E-4</v>
      </c>
      <c r="G20" t="s">
        <v>41</v>
      </c>
      <c r="H20">
        <v>38.6</v>
      </c>
    </row>
    <row r="21" spans="2:11" ht="16.5" thickBot="1" x14ac:dyDescent="0.3">
      <c r="B21" s="17">
        <v>4</v>
      </c>
      <c r="C21" s="14">
        <f t="shared" si="5"/>
        <v>2.0000000000000052E-4</v>
      </c>
      <c r="D21" s="14">
        <f t="shared" si="6"/>
        <v>2.5099999999999998</v>
      </c>
      <c r="E21" s="14">
        <f t="shared" si="7"/>
        <v>7.9681274900398626E-5</v>
      </c>
    </row>
    <row r="22" spans="2:11" ht="16.5" thickBot="1" x14ac:dyDescent="0.3">
      <c r="B22" s="17">
        <v>5</v>
      </c>
      <c r="C22" s="14">
        <f t="shared" si="5"/>
        <v>3.0000000000000165E-4</v>
      </c>
      <c r="D22" s="14">
        <f t="shared" si="6"/>
        <v>2.5099999999999998</v>
      </c>
      <c r="E22" s="14">
        <f t="shared" si="7"/>
        <v>1.1952191235059828E-4</v>
      </c>
      <c r="G22" t="s">
        <v>45</v>
      </c>
    </row>
    <row r="23" spans="2:11" ht="16.5" thickBot="1" x14ac:dyDescent="0.3">
      <c r="B23" s="17">
        <v>6</v>
      </c>
      <c r="C23" s="14">
        <f t="shared" si="5"/>
        <v>4.0000000000000452E-4</v>
      </c>
      <c r="D23" s="14">
        <f t="shared" si="6"/>
        <v>2.5099999999999998</v>
      </c>
      <c r="E23" s="14">
        <f t="shared" si="7"/>
        <v>1.5936254980079863E-4</v>
      </c>
      <c r="F23" s="21" t="s">
        <v>46</v>
      </c>
      <c r="G23">
        <v>5.79</v>
      </c>
    </row>
    <row r="24" spans="2:11" ht="16.5" thickBot="1" x14ac:dyDescent="0.3">
      <c r="B24" s="17">
        <v>7</v>
      </c>
      <c r="C24" s="14">
        <f t="shared" si="5"/>
        <v>1.9999999999999879E-4</v>
      </c>
      <c r="D24" s="14">
        <f t="shared" si="6"/>
        <v>2.5099999999999998</v>
      </c>
      <c r="E24" s="14">
        <f t="shared" si="7"/>
        <v>7.9681274900397935E-5</v>
      </c>
      <c r="F24" s="21" t="s">
        <v>47</v>
      </c>
      <c r="G24">
        <v>5.81</v>
      </c>
    </row>
    <row r="28" spans="2:11" x14ac:dyDescent="0.25">
      <c r="C28" t="s">
        <v>48</v>
      </c>
    </row>
    <row r="29" spans="2:11" x14ac:dyDescent="0.25">
      <c r="C29" t="s">
        <v>49</v>
      </c>
      <c r="D29">
        <f>AVERAGE(K7:K13)</f>
        <v>186.26067130148766</v>
      </c>
    </row>
    <row r="31" spans="2:11" x14ac:dyDescent="0.25">
      <c r="C31" t="s">
        <v>50</v>
      </c>
      <c r="D31" t="s">
        <v>51</v>
      </c>
      <c r="E31" t="s">
        <v>52</v>
      </c>
      <c r="F31" t="s">
        <v>53</v>
      </c>
      <c r="G31" t="s">
        <v>54</v>
      </c>
    </row>
    <row r="32" spans="2:11" x14ac:dyDescent="0.25">
      <c r="C32">
        <v>0.16</v>
      </c>
      <c r="D32">
        <v>0</v>
      </c>
    </row>
    <row r="33" spans="3:7" x14ac:dyDescent="0.25">
      <c r="C33">
        <v>0.59</v>
      </c>
      <c r="D33">
        <v>0</v>
      </c>
    </row>
    <row r="34" spans="3:7" x14ac:dyDescent="0.25">
      <c r="C34">
        <v>0.62</v>
      </c>
      <c r="D34">
        <f>75*10^-6</f>
        <v>7.4999999999999993E-5</v>
      </c>
      <c r="E34">
        <f>(C34-C33)/(D34-D33)</f>
        <v>400.0000000000004</v>
      </c>
      <c r="F34">
        <f>E34*($D$29+1)</f>
        <v>74904.268520595142</v>
      </c>
      <c r="G34">
        <f>E34*(K10+1)</f>
        <v>74533.333333333416</v>
      </c>
    </row>
    <row r="35" spans="3:7" x14ac:dyDescent="0.25">
      <c r="C35">
        <v>0.68</v>
      </c>
      <c r="D35">
        <f>429*10^-6</f>
        <v>4.2899999999999997E-4</v>
      </c>
      <c r="E35">
        <f t="shared" ref="E35:E36" si="8">(C35-C34)/(D35-D34)</f>
        <v>169.49152542372897</v>
      </c>
      <c r="F35">
        <f t="shared" ref="F35:F36" si="9">E35*($D$29+1)</f>
        <v>31739.096830760649</v>
      </c>
      <c r="G35">
        <f>E35*(K13+1)</f>
        <v>32511.241784849564</v>
      </c>
    </row>
    <row r="36" spans="3:7" x14ac:dyDescent="0.25">
      <c r="C36">
        <v>0.71</v>
      </c>
      <c r="D36">
        <f>986*10^-6</f>
        <v>9.859999999999999E-4</v>
      </c>
      <c r="E36">
        <f t="shared" si="8"/>
        <v>53.859964093357121</v>
      </c>
      <c r="F36">
        <f t="shared" si="9"/>
        <v>10085.853032396075</v>
      </c>
      <c r="G36">
        <f>E36*(K13+1)</f>
        <v>10331.220459458442</v>
      </c>
    </row>
  </sheetData>
  <mergeCells count="5">
    <mergeCell ref="B3:B5"/>
    <mergeCell ref="C3:C5"/>
    <mergeCell ref="E3:E5"/>
    <mergeCell ref="L3:L6"/>
    <mergeCell ref="D2:F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Clemson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Christopher Brant</cp:lastModifiedBy>
  <dcterms:created xsi:type="dcterms:W3CDTF">2017-10-23T00:24:24Z</dcterms:created>
  <dcterms:modified xsi:type="dcterms:W3CDTF">2017-10-30T06:39:01Z</dcterms:modified>
</cp:coreProperties>
</file>