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Brant/Google Drive/University of Florida/UF Year 1/UF Fall 2019/EEL 5764 CmpArch/Term Project/"/>
    </mc:Choice>
  </mc:AlternateContent>
  <xr:revisionPtr revIDLastSave="0" documentId="13_ncr:1_{74AE7D8F-3B9E-D14A-9997-0242D5025236}" xr6:coauthVersionLast="41" xr6:coauthVersionMax="41" xr10:uidLastSave="{00000000-0000-0000-0000-000000000000}"/>
  <bookViews>
    <workbookView xWindow="0" yWindow="0" windowWidth="25600" windowHeight="16000" xr2:uid="{DC17F20A-5739-7642-8655-E6D1914C5317}"/>
  </bookViews>
  <sheets>
    <sheet name="Sheet1" sheetId="1" r:id="rId1"/>
  </sheets>
  <definedNames>
    <definedName name="_xlchart.v1.0" hidden="1">Sheet1!#REF!</definedName>
    <definedName name="_xlchart.v1.1" hidden="1">Sheet1!#REF!</definedName>
    <definedName name="_xlchart.v1.2" hidden="1">Sheet1!$H$2</definedName>
    <definedName name="_xlchart.v1.3" hidden="1">Sheet1!$H$3:$H$7</definedName>
    <definedName name="_xlchart.v1.4" hidden="1">Sheet1!$I$2</definedName>
    <definedName name="_xlchart.v1.5" hidden="1">Sheet1!$I$3:$I$7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7" i="1" l="1"/>
  <c r="J27" i="1"/>
  <c r="I27" i="1"/>
  <c r="H27" i="1"/>
  <c r="K26" i="1"/>
  <c r="J26" i="1"/>
  <c r="I26" i="1"/>
  <c r="H26" i="1"/>
  <c r="K25" i="1"/>
  <c r="J25" i="1"/>
  <c r="I25" i="1"/>
  <c r="H25" i="1"/>
  <c r="K24" i="1"/>
  <c r="J24" i="1"/>
  <c r="I24" i="1"/>
  <c r="H24" i="1"/>
  <c r="K23" i="1"/>
  <c r="J23" i="1"/>
  <c r="I23" i="1"/>
  <c r="H23" i="1"/>
  <c r="K22" i="1"/>
  <c r="K21" i="1"/>
  <c r="K20" i="1"/>
  <c r="K19" i="1"/>
  <c r="K18" i="1"/>
  <c r="J22" i="1"/>
  <c r="J21" i="1"/>
  <c r="J20" i="1"/>
  <c r="J19" i="1"/>
  <c r="J18" i="1"/>
  <c r="K17" i="1"/>
  <c r="K16" i="1"/>
  <c r="K15" i="1"/>
  <c r="K14" i="1"/>
  <c r="K13" i="1"/>
  <c r="J12" i="1"/>
  <c r="J11" i="1"/>
  <c r="J10" i="1"/>
  <c r="J9" i="1"/>
  <c r="J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I3" i="1"/>
  <c r="H3" i="1"/>
</calcChain>
</file>

<file path=xl/sharedStrings.xml><?xml version="1.0" encoding="utf-8"?>
<sst xmlns="http://schemas.openxmlformats.org/spreadsheetml/2006/main" count="44" uniqueCount="24">
  <si>
    <t xml:space="preserve">Sim Average CPI </t>
  </si>
  <si>
    <t>test-fmath</t>
  </si>
  <si>
    <t>test-llong</t>
  </si>
  <si>
    <t>test-lswlr</t>
  </si>
  <si>
    <t>test-math</t>
  </si>
  <si>
    <t>test-printf</t>
  </si>
  <si>
    <t>noTLB.config</t>
  </si>
  <si>
    <t>iTLB.config</t>
  </si>
  <si>
    <t>dTLB.config</t>
  </si>
  <si>
    <t>bothTLB.config</t>
  </si>
  <si>
    <t>Test Configs/Binaries</t>
  </si>
  <si>
    <t>*In Cycles</t>
  </si>
  <si>
    <t xml:space="preserve"> DL2 Miss Rate</t>
  </si>
  <si>
    <t>DL1 Miss Rate</t>
  </si>
  <si>
    <t>IL2 Miss Rate</t>
  </si>
  <si>
    <t>Mem Lat.</t>
  </si>
  <si>
    <t>IL1 Miss Rate</t>
  </si>
  <si>
    <t>Total AMAT</t>
  </si>
  <si>
    <t>Data AMAT</t>
  </si>
  <si>
    <t>L1 Hit Lat.</t>
  </si>
  <si>
    <t>L2 Hit Lat.</t>
  </si>
  <si>
    <t>iTLB Utilization</t>
  </si>
  <si>
    <t>dTLB Utilization</t>
  </si>
  <si>
    <t>assocTLB.config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</si>
</sst>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5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/>
    <xf numFmtId="0" fontId="0" fillId="0" borderId="1" xfId="0" applyFill="1" applyBorder="1" applyAlignment="1">
      <alignment horizontal="center"/>
    </xf>
    <xf numFmtId="165" fontId="0" fillId="0" borderId="7" xfId="0" applyNumberFormat="1" applyBorder="1"/>
    <xf numFmtId="165" fontId="0" fillId="0" borderId="13" xfId="0" applyNumberFormat="1" applyBorder="1"/>
    <xf numFmtId="165" fontId="0" fillId="0" borderId="5" xfId="0" applyNumberFormat="1" applyBorder="1"/>
    <xf numFmtId="165" fontId="0" fillId="0" borderId="14" xfId="0" applyNumberFormat="1" applyBorder="1"/>
    <xf numFmtId="165" fontId="0" fillId="0" borderId="6" xfId="0" applyNumberFormat="1" applyBorder="1"/>
    <xf numFmtId="165" fontId="0" fillId="0" borderId="16" xfId="0" applyNumberFormat="1" applyBorder="1"/>
    <xf numFmtId="0" fontId="0" fillId="2" borderId="1" xfId="0" applyFill="1" applyBorder="1" applyAlignment="1">
      <alignment horizontal="center" vertical="center"/>
    </xf>
    <xf numFmtId="165" fontId="0" fillId="2" borderId="4" xfId="0" applyNumberFormat="1" applyFill="1" applyBorder="1"/>
    <xf numFmtId="165" fontId="0" fillId="2" borderId="7" xfId="0" applyNumberFormat="1" applyFill="1" applyBorder="1"/>
    <xf numFmtId="165" fontId="0" fillId="2" borderId="20" xfId="0" applyNumberFormat="1" applyFill="1" applyBorder="1"/>
    <xf numFmtId="0" fontId="0" fillId="2" borderId="15" xfId="0" applyFill="1" applyBorder="1" applyAlignment="1">
      <alignment horizontal="center" vertical="center"/>
    </xf>
    <xf numFmtId="9" fontId="0" fillId="2" borderId="8" xfId="1" applyFont="1" applyFill="1" applyBorder="1"/>
    <xf numFmtId="165" fontId="0" fillId="2" borderId="8" xfId="0" applyNumberFormat="1" applyFill="1" applyBorder="1"/>
    <xf numFmtId="9" fontId="0" fillId="2" borderId="2" xfId="1" applyFont="1" applyFill="1" applyBorder="1"/>
    <xf numFmtId="165" fontId="0" fillId="2" borderId="2" xfId="0" applyNumberFormat="1" applyFill="1" applyBorder="1"/>
    <xf numFmtId="9" fontId="0" fillId="2" borderId="18" xfId="1" applyFont="1" applyFill="1" applyBorder="1"/>
    <xf numFmtId="9" fontId="0" fillId="2" borderId="3" xfId="1" applyFont="1" applyFill="1" applyBorder="1"/>
    <xf numFmtId="165" fontId="0" fillId="2" borderId="3" xfId="0" applyNumberFormat="1" applyFill="1" applyBorder="1"/>
    <xf numFmtId="9" fontId="0" fillId="2" borderId="9" xfId="1" applyFont="1" applyFill="1" applyBorder="1"/>
    <xf numFmtId="165" fontId="0" fillId="2" borderId="9" xfId="0" applyNumberFormat="1" applyFill="1" applyBorder="1"/>
    <xf numFmtId="0" fontId="2" fillId="0" borderId="7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2" fillId="0" borderId="6" xfId="0" applyFont="1" applyBorder="1" applyAlignment="1">
      <alignment horizontal="center" vertical="center" textRotation="9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Memory Access Times Agnostic of TLB</a:t>
            </a:r>
          </a:p>
        </c:rich>
      </c:tx>
      <c:layout>
        <c:manualLayout>
          <c:xMode val="edge"/>
          <c:yMode val="edge"/>
          <c:x val="0.15072900262467193"/>
          <c:y val="4.8565121412803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99999999999999"/>
          <c:y val="0.16373085814604299"/>
          <c:w val="0.82344444444444431"/>
          <c:h val="0.632007439467417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Total AMAT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Sheet1!$C$3:$C$7</c:f>
              <c:strCache>
                <c:ptCount val="5"/>
                <c:pt idx="0">
                  <c:v>test-fmath</c:v>
                </c:pt>
                <c:pt idx="1">
                  <c:v>test-llong</c:v>
                </c:pt>
                <c:pt idx="2">
                  <c:v>test-lswlr</c:v>
                </c:pt>
                <c:pt idx="3">
                  <c:v>test-math</c:v>
                </c:pt>
                <c:pt idx="4">
                  <c:v>test-printf</c:v>
                </c:pt>
              </c:strCache>
            </c:strRef>
          </c:cat>
          <c:val>
            <c:numRef>
              <c:f>Sheet1!$H$3:$H$7</c:f>
              <c:numCache>
                <c:formatCode>0.0000</c:formatCode>
                <c:ptCount val="5"/>
                <c:pt idx="0">
                  <c:v>1.62973966</c:v>
                </c:pt>
                <c:pt idx="1">
                  <c:v>1.37590816</c:v>
                </c:pt>
                <c:pt idx="2">
                  <c:v>1.744</c:v>
                </c:pt>
                <c:pt idx="3">
                  <c:v>1.4600506</c:v>
                </c:pt>
                <c:pt idx="4">
                  <c:v>1.18539868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2-8A48-8414-9AB224CC6422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Data AMAT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Sheet1!$C$3:$C$7</c:f>
              <c:strCache>
                <c:ptCount val="5"/>
                <c:pt idx="0">
                  <c:v>test-fmath</c:v>
                </c:pt>
                <c:pt idx="1">
                  <c:v>test-llong</c:v>
                </c:pt>
                <c:pt idx="2">
                  <c:v>test-lswlr</c:v>
                </c:pt>
                <c:pt idx="3">
                  <c:v>test-math</c:v>
                </c:pt>
                <c:pt idx="4">
                  <c:v>test-printf</c:v>
                </c:pt>
              </c:strCache>
            </c:strRef>
          </c:cat>
          <c:val>
            <c:numRef>
              <c:f>Sheet1!$I$3:$I$7</c:f>
              <c:numCache>
                <c:formatCode>0.0000</c:formatCode>
                <c:ptCount val="5"/>
                <c:pt idx="0">
                  <c:v>1.2673858</c:v>
                </c:pt>
                <c:pt idx="1">
                  <c:v>1.40015668</c:v>
                </c:pt>
                <c:pt idx="2">
                  <c:v>1.8639327400000001</c:v>
                </c:pt>
                <c:pt idx="3">
                  <c:v>1.08943594</c:v>
                </c:pt>
                <c:pt idx="4">
                  <c:v>1.0101422200000001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2-8A48-8414-9AB224CC6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811728"/>
        <c:axId val="2111354816"/>
      </c:barChart>
      <c:catAx>
        <c:axId val="209181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Binary Test</a:t>
                </a:r>
                <a:r>
                  <a:rPr lang="en-US" baseline="0"/>
                  <a:t> File</a:t>
                </a:r>
              </a:p>
            </c:rich>
          </c:tx>
          <c:layout>
            <c:manualLayout>
              <c:xMode val="edge"/>
              <c:yMode val="edge"/>
              <c:x val="0.45274999999999999"/>
              <c:y val="0.88487737046114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354816"/>
        <c:crosses val="autoZero"/>
        <c:auto val="1"/>
        <c:lblAlgn val="ctr"/>
        <c:lblOffset val="100"/>
        <c:noMultiLvlLbl val="0"/>
      </c:catAx>
      <c:valAx>
        <c:axId val="2111354816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AMAT</a:t>
                </a:r>
                <a:r>
                  <a:rPr lang="en-US" baseline="0"/>
                  <a:t> (cycles)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81172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937785280366056"/>
          <c:y val="0.16285237524117435"/>
          <c:w val="0.20395566562642289"/>
          <c:h val="0.127986796410274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31</xdr:row>
      <xdr:rowOff>50800</xdr:rowOff>
    </xdr:from>
    <xdr:to>
      <xdr:col>6</xdr:col>
      <xdr:colOff>12700</xdr:colOff>
      <xdr:row>45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A5CDA5-EAA9-0D4C-B40B-30019C21F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E9184-1F48-D747-889F-0A7D4B42A09E}">
  <dimension ref="B1:P27"/>
  <sheetViews>
    <sheetView tabSelected="1" workbookViewId="0">
      <selection activeCell="L23" sqref="L23"/>
    </sheetView>
  </sheetViews>
  <sheetFormatPr baseColWidth="10" defaultRowHeight="16" x14ac:dyDescent="0.2"/>
  <cols>
    <col min="4" max="5" width="12.1640625" bestFit="1" customWidth="1"/>
    <col min="6" max="6" width="12.83203125" bestFit="1" customWidth="1"/>
    <col min="7" max="7" width="13.33203125" bestFit="1" customWidth="1"/>
    <col min="8" max="8" width="10.83203125" bestFit="1" customWidth="1"/>
    <col min="9" max="9" width="10.5" bestFit="1" customWidth="1"/>
    <col min="10" max="10" width="13.6640625" bestFit="1" customWidth="1"/>
    <col min="11" max="11" width="14.1640625" bestFit="1" customWidth="1"/>
    <col min="12" max="12" width="15" bestFit="1" customWidth="1"/>
    <col min="14" max="15" width="9.33203125" bestFit="1" customWidth="1"/>
    <col min="16" max="16" width="9" bestFit="1" customWidth="1"/>
  </cols>
  <sheetData>
    <row r="1" spans="2:16" ht="17" thickBot="1" x14ac:dyDescent="0.25"/>
    <row r="2" spans="2:16" ht="17" thickBot="1" x14ac:dyDescent="0.25">
      <c r="B2" s="11" t="s">
        <v>10</v>
      </c>
      <c r="C2" s="12"/>
      <c r="D2" s="14" t="s">
        <v>16</v>
      </c>
      <c r="E2" s="14" t="s">
        <v>14</v>
      </c>
      <c r="F2" s="14" t="s">
        <v>13</v>
      </c>
      <c r="G2" s="13" t="s">
        <v>12</v>
      </c>
      <c r="H2" s="26" t="s">
        <v>17</v>
      </c>
      <c r="I2" s="26" t="s">
        <v>18</v>
      </c>
      <c r="J2" s="30" t="s">
        <v>21</v>
      </c>
      <c r="K2" s="30" t="s">
        <v>22</v>
      </c>
      <c r="L2" s="30" t="s">
        <v>0</v>
      </c>
      <c r="N2" s="9" t="s">
        <v>19</v>
      </c>
      <c r="O2" s="10" t="s">
        <v>20</v>
      </c>
      <c r="P2" s="19" t="s">
        <v>15</v>
      </c>
    </row>
    <row r="3" spans="2:16" ht="17" thickBot="1" x14ac:dyDescent="0.25">
      <c r="B3" s="6" t="s">
        <v>6</v>
      </c>
      <c r="C3" s="7" t="s">
        <v>1</v>
      </c>
      <c r="D3" s="20">
        <v>6.83E-2</v>
      </c>
      <c r="E3" s="20">
        <v>0.1789</v>
      </c>
      <c r="F3" s="20">
        <v>2.9000000000000001E-2</v>
      </c>
      <c r="G3" s="21">
        <v>0.1789</v>
      </c>
      <c r="H3" s="27">
        <f>$N$3 + ($D3 * ($O$3 + ($E3 * $P$3)))</f>
        <v>1.62973966</v>
      </c>
      <c r="I3" s="27">
        <f>$N$3 + ($F3 * ($O$3 + ($G3 * $P$3)))</f>
        <v>1.2673858</v>
      </c>
      <c r="J3" s="31">
        <v>0</v>
      </c>
      <c r="K3" s="31">
        <v>0</v>
      </c>
      <c r="L3" s="32">
        <v>1.2778</v>
      </c>
      <c r="N3" s="9">
        <v>1</v>
      </c>
      <c r="O3" s="10">
        <v>6</v>
      </c>
      <c r="P3" s="18">
        <v>18</v>
      </c>
    </row>
    <row r="4" spans="2:16" ht="17" thickBot="1" x14ac:dyDescent="0.25">
      <c r="B4" s="4"/>
      <c r="C4" s="1" t="s">
        <v>2</v>
      </c>
      <c r="D4" s="22">
        <v>2.9600000000000001E-2</v>
      </c>
      <c r="E4" s="22">
        <v>0.37219999999999998</v>
      </c>
      <c r="F4" s="22">
        <v>4.3400000000000001E-2</v>
      </c>
      <c r="G4" s="23">
        <v>0.1789</v>
      </c>
      <c r="H4" s="28">
        <f>$N$3 + ($D4 * ($O$3 + ($E4 * $P$3)))</f>
        <v>1.37590816</v>
      </c>
      <c r="I4" s="28">
        <f>$N$3 + ($F4 * ($O$3 + ($G4 * $P$3)))</f>
        <v>1.40015668</v>
      </c>
      <c r="J4" s="31">
        <v>0</v>
      </c>
      <c r="K4" s="33">
        <v>0</v>
      </c>
      <c r="L4" s="34">
        <v>1.0485</v>
      </c>
      <c r="N4" s="15" t="s">
        <v>11</v>
      </c>
      <c r="O4" s="16"/>
      <c r="P4" s="17"/>
    </row>
    <row r="5" spans="2:16" x14ac:dyDescent="0.2">
      <c r="B5" s="4"/>
      <c r="C5" s="1" t="s">
        <v>3</v>
      </c>
      <c r="D5" s="22">
        <v>4.9599999999999998E-2</v>
      </c>
      <c r="E5" s="22">
        <v>0.5</v>
      </c>
      <c r="F5" s="22">
        <v>9.3700000000000006E-2</v>
      </c>
      <c r="G5" s="23">
        <v>0.1789</v>
      </c>
      <c r="H5" s="28">
        <f>$N$3 + ($D5 * ($O$3 + ($E5 * $P$3)))</f>
        <v>1.744</v>
      </c>
      <c r="I5" s="28">
        <f>$N$3 + ($F5 * ($O$3 + ($G5 * $P$3)))</f>
        <v>1.8639327400000001</v>
      </c>
      <c r="J5" s="31">
        <v>0</v>
      </c>
      <c r="K5" s="33">
        <v>0</v>
      </c>
      <c r="L5" s="34">
        <v>1.5807</v>
      </c>
    </row>
    <row r="6" spans="2:16" x14ac:dyDescent="0.2">
      <c r="B6" s="4"/>
      <c r="C6" s="1" t="s">
        <v>4</v>
      </c>
      <c r="D6" s="22">
        <v>6.2899999999999998E-2</v>
      </c>
      <c r="E6" s="22">
        <v>7.2999999999999995E-2</v>
      </c>
      <c r="F6" s="22">
        <v>9.7000000000000003E-3</v>
      </c>
      <c r="G6" s="23">
        <v>0.1789</v>
      </c>
      <c r="H6" s="28">
        <f>$N$3 + ($D6 * ($O$3 + ($E6 * $P$3)))</f>
        <v>1.4600506</v>
      </c>
      <c r="I6" s="28">
        <f>$N$3 + ($F6 * ($O$3 + ($G6 * $P$3)))</f>
        <v>1.08943594</v>
      </c>
      <c r="J6" s="31">
        <v>0</v>
      </c>
      <c r="K6" s="33">
        <v>0</v>
      </c>
      <c r="L6" s="34">
        <v>1.0496000000000001</v>
      </c>
    </row>
    <row r="7" spans="2:16" ht="17" thickBot="1" x14ac:dyDescent="0.25">
      <c r="B7" s="5"/>
      <c r="C7" s="2" t="s">
        <v>5</v>
      </c>
      <c r="D7" s="24">
        <v>2.93E-2</v>
      </c>
      <c r="E7" s="24">
        <v>1.8200000000000001E-2</v>
      </c>
      <c r="F7" s="24">
        <v>1.1000000000000001E-3</v>
      </c>
      <c r="G7" s="25">
        <v>0.1789</v>
      </c>
      <c r="H7" s="29">
        <f>$N$3 + ($D7 * ($O$3 + ($E7 * $P$3)))</f>
        <v>1.18539868</v>
      </c>
      <c r="I7" s="29">
        <f>$N$3 + ($F7 * ($O$3 + ($G7 * $P$3)))</f>
        <v>1.0101422200000001</v>
      </c>
      <c r="J7" s="35">
        <v>0</v>
      </c>
      <c r="K7" s="36">
        <v>0</v>
      </c>
      <c r="L7" s="37">
        <v>0.76939999999999997</v>
      </c>
    </row>
    <row r="8" spans="2:16" x14ac:dyDescent="0.2">
      <c r="B8" s="3" t="s">
        <v>7</v>
      </c>
      <c r="C8" s="8" t="s">
        <v>1</v>
      </c>
      <c r="D8" s="20">
        <v>6.83E-2</v>
      </c>
      <c r="E8" s="20">
        <v>0.1789</v>
      </c>
      <c r="F8" s="20">
        <v>2.9000000000000001E-2</v>
      </c>
      <c r="G8" s="21">
        <v>0.1789</v>
      </c>
      <c r="H8" s="27">
        <f>$N$3 + ($D8 * ($O$3 + ($E8 * $P$3)))</f>
        <v>1.62973966</v>
      </c>
      <c r="I8" s="27">
        <f>$N$3 + ($F8 * ($O$3 + ($G8 * $P$3)))</f>
        <v>1.2673858</v>
      </c>
      <c r="J8" s="38">
        <f>63588/69321</f>
        <v>0.91729778854892452</v>
      </c>
      <c r="K8" s="38">
        <v>0</v>
      </c>
      <c r="L8" s="39">
        <v>1.7025999999999999</v>
      </c>
    </row>
    <row r="9" spans="2:16" x14ac:dyDescent="0.2">
      <c r="B9" s="4"/>
      <c r="C9" s="1" t="s">
        <v>2</v>
      </c>
      <c r="D9" s="22">
        <v>2.9600000000000001E-2</v>
      </c>
      <c r="E9" s="22">
        <v>0.37219999999999998</v>
      </c>
      <c r="F9" s="22">
        <v>4.3400000000000001E-2</v>
      </c>
      <c r="G9" s="23">
        <v>0.1789</v>
      </c>
      <c r="H9" s="28">
        <f>$N$3 + ($D9 * ($O$3 + ($E9 * $P$3)))</f>
        <v>1.37590816</v>
      </c>
      <c r="I9" s="28">
        <f>$N$3 + ($F9 * ($O$3 + ($G9 * $P$3)))</f>
        <v>1.40015668</v>
      </c>
      <c r="J9" s="31">
        <f>33010/37839</f>
        <v>0.87238034831787314</v>
      </c>
      <c r="K9" s="33">
        <v>0</v>
      </c>
      <c r="L9" s="34">
        <v>1.1287</v>
      </c>
    </row>
    <row r="10" spans="2:16" x14ac:dyDescent="0.2">
      <c r="B10" s="4"/>
      <c r="C10" s="1" t="s">
        <v>3</v>
      </c>
      <c r="D10" s="22">
        <v>4.9599999999999998E-2</v>
      </c>
      <c r="E10" s="22">
        <v>0.5</v>
      </c>
      <c r="F10" s="22">
        <v>9.3700000000000006E-2</v>
      </c>
      <c r="G10" s="23">
        <v>0.1789</v>
      </c>
      <c r="H10" s="28">
        <f>$N$3 + ($D10 * ($O$3 + ($E10 * $P$3)))</f>
        <v>1.744</v>
      </c>
      <c r="I10" s="28">
        <f>$N$3 + ($F10 * ($O$3 + ($G10 * $P$3)))</f>
        <v>1.8639327400000001</v>
      </c>
      <c r="J10" s="31">
        <f>10393/11322</f>
        <v>0.91794735912382974</v>
      </c>
      <c r="K10" s="33">
        <v>0</v>
      </c>
      <c r="L10" s="34">
        <v>1.8092999999999999</v>
      </c>
    </row>
    <row r="11" spans="2:16" x14ac:dyDescent="0.2">
      <c r="B11" s="4"/>
      <c r="C11" s="1" t="s">
        <v>4</v>
      </c>
      <c r="D11" s="22">
        <v>6.2899999999999998E-2</v>
      </c>
      <c r="E11" s="22">
        <v>7.2999999999999995E-2</v>
      </c>
      <c r="F11" s="22">
        <v>9.7000000000000003E-3</v>
      </c>
      <c r="G11" s="23">
        <v>0.1789</v>
      </c>
      <c r="H11" s="28">
        <f>$N$3 + ($D11 * ($O$3 + ($E11 * $P$3)))</f>
        <v>1.4600506</v>
      </c>
      <c r="I11" s="28">
        <f>$N$3 + ($F11 * ($O$3 + ($G11 * $P$3)))</f>
        <v>1.08943594</v>
      </c>
      <c r="J11" s="31">
        <f>256524/275836</f>
        <v>0.9299873838077698</v>
      </c>
      <c r="K11" s="33">
        <v>0</v>
      </c>
      <c r="L11" s="34">
        <v>1.6760999999999999</v>
      </c>
    </row>
    <row r="12" spans="2:16" ht="17" thickBot="1" x14ac:dyDescent="0.25">
      <c r="B12" s="5"/>
      <c r="C12" s="2" t="s">
        <v>5</v>
      </c>
      <c r="D12" s="24">
        <v>2.93E-2</v>
      </c>
      <c r="E12" s="24">
        <v>1.8200000000000001E-2</v>
      </c>
      <c r="F12" s="24">
        <v>1.1000000000000001E-3</v>
      </c>
      <c r="G12" s="25">
        <v>0.1789</v>
      </c>
      <c r="H12" s="29">
        <f>$N$3 + ($D12 * ($O$3 + ($E12 * $P$3)))</f>
        <v>1.18539868</v>
      </c>
      <c r="I12" s="29">
        <f>$N$3 + ($F12 * ($O$3 + ($G12 * $P$3)))</f>
        <v>1.0101422200000001</v>
      </c>
      <c r="J12" s="35">
        <f>2116982/2433737</f>
        <v>0.86984830324722839</v>
      </c>
      <c r="K12" s="36">
        <v>0</v>
      </c>
      <c r="L12" s="37">
        <v>0.879</v>
      </c>
    </row>
    <row r="13" spans="2:16" x14ac:dyDescent="0.2">
      <c r="B13" s="3" t="s">
        <v>8</v>
      </c>
      <c r="C13" s="8" t="s">
        <v>1</v>
      </c>
      <c r="D13" s="20">
        <v>6.83E-2</v>
      </c>
      <c r="E13" s="20">
        <v>0.1789</v>
      </c>
      <c r="F13" s="20">
        <v>2.9000000000000001E-2</v>
      </c>
      <c r="G13" s="21">
        <v>0.1789</v>
      </c>
      <c r="H13" s="27">
        <f>$N$3 + ($D13 * ($O$3 + ($E13 * $P$3)))</f>
        <v>1.62973966</v>
      </c>
      <c r="I13" s="27">
        <f>$N$3 + ($F13 * ($O$3 + ($G13 * $P$3)))</f>
        <v>1.2673858</v>
      </c>
      <c r="J13" s="38">
        <v>0</v>
      </c>
      <c r="K13" s="38">
        <f>16599/17478</f>
        <v>0.94970820460006866</v>
      </c>
      <c r="L13" s="39">
        <v>1.2847</v>
      </c>
    </row>
    <row r="14" spans="2:16" x14ac:dyDescent="0.2">
      <c r="B14" s="4"/>
      <c r="C14" s="1" t="s">
        <v>2</v>
      </c>
      <c r="D14" s="22">
        <v>2.9600000000000001E-2</v>
      </c>
      <c r="E14" s="22">
        <v>0.37219999999999998</v>
      </c>
      <c r="F14" s="22">
        <v>4.3400000000000001E-2</v>
      </c>
      <c r="G14" s="23">
        <v>0.1789</v>
      </c>
      <c r="H14" s="28">
        <f>$N$3 + ($D14 * ($O$3 + ($E14 * $P$3)))</f>
        <v>1.37590816</v>
      </c>
      <c r="I14" s="28">
        <f>$N$3 + ($F14 * ($O$3 + ($G14 * $P$3)))</f>
        <v>1.40015668</v>
      </c>
      <c r="J14" s="31">
        <v>0</v>
      </c>
      <c r="K14" s="33">
        <f>10300/10657</f>
        <v>0.966500891432861</v>
      </c>
      <c r="L14" s="34">
        <v>1.0599000000000001</v>
      </c>
    </row>
    <row r="15" spans="2:16" x14ac:dyDescent="0.2">
      <c r="B15" s="4"/>
      <c r="C15" s="1" t="s">
        <v>3</v>
      </c>
      <c r="D15" s="22">
        <v>4.9599999999999998E-2</v>
      </c>
      <c r="E15" s="22">
        <v>0.5</v>
      </c>
      <c r="F15" s="22">
        <v>9.3700000000000006E-2</v>
      </c>
      <c r="G15" s="23">
        <v>0.1789</v>
      </c>
      <c r="H15" s="28">
        <f>$N$3 + ($D15 * ($O$3 + ($E15 * $P$3)))</f>
        <v>1.744</v>
      </c>
      <c r="I15" s="28">
        <f>$N$3 + ($F15 * ($O$3 + ($G15 * $P$3)))</f>
        <v>1.8639327400000001</v>
      </c>
      <c r="J15" s="31">
        <v>0</v>
      </c>
      <c r="K15" s="33">
        <f>4707/4906</f>
        <v>0.95943742356298412</v>
      </c>
      <c r="L15" s="34">
        <v>1.6208</v>
      </c>
    </row>
    <row r="16" spans="2:16" x14ac:dyDescent="0.2">
      <c r="B16" s="4"/>
      <c r="C16" s="1" t="s">
        <v>4</v>
      </c>
      <c r="D16" s="22">
        <v>6.2899999999999998E-2</v>
      </c>
      <c r="E16" s="22">
        <v>7.2999999999999995E-2</v>
      </c>
      <c r="F16" s="22">
        <v>9.7000000000000003E-3</v>
      </c>
      <c r="G16" s="23">
        <v>0.1789</v>
      </c>
      <c r="H16" s="28">
        <f>$N$3 + ($D16 * ($O$3 + ($E16 * $P$3)))</f>
        <v>1.4600506</v>
      </c>
      <c r="I16" s="28">
        <f>$N$3 + ($F16 * ($O$3 + ($G16 * $P$3)))</f>
        <v>1.08943594</v>
      </c>
      <c r="J16" s="31">
        <v>0</v>
      </c>
      <c r="K16" s="33">
        <f>57594/61927</f>
        <v>0.93003051980557749</v>
      </c>
      <c r="L16" s="34">
        <v>1.0513999999999999</v>
      </c>
    </row>
    <row r="17" spans="2:12" ht="17" thickBot="1" x14ac:dyDescent="0.25">
      <c r="B17" s="5"/>
      <c r="C17" s="2" t="s">
        <v>5</v>
      </c>
      <c r="D17" s="24">
        <v>2.93E-2</v>
      </c>
      <c r="E17" s="24">
        <v>1.8200000000000001E-2</v>
      </c>
      <c r="F17" s="24">
        <v>1.1000000000000001E-3</v>
      </c>
      <c r="G17" s="25">
        <v>0.1789</v>
      </c>
      <c r="H17" s="29">
        <f>$N$3 + ($D17 * ($O$3 + ($E17 * $P$3)))</f>
        <v>1.18539868</v>
      </c>
      <c r="I17" s="29">
        <f>$N$3 + ($F17 * ($O$3 + ($G17 * $P$3)))</f>
        <v>1.0101422200000001</v>
      </c>
      <c r="J17" s="35">
        <v>0</v>
      </c>
      <c r="K17" s="36">
        <f>528812/560615</f>
        <v>0.94327122891824156</v>
      </c>
      <c r="L17" s="37">
        <v>0.76959999999999995</v>
      </c>
    </row>
    <row r="18" spans="2:12" x14ac:dyDescent="0.2">
      <c r="B18" s="6" t="s">
        <v>9</v>
      </c>
      <c r="C18" s="7" t="s">
        <v>1</v>
      </c>
      <c r="D18" s="20">
        <v>6.83E-2</v>
      </c>
      <c r="E18" s="20">
        <v>0.1789</v>
      </c>
      <c r="F18" s="20">
        <v>2.9000000000000001E-2</v>
      </c>
      <c r="G18" s="21">
        <v>0.1789</v>
      </c>
      <c r="H18" s="27">
        <f>$N$3 + ($D18 * ($O$3 + ($E18 * $P$3)))</f>
        <v>1.62973966</v>
      </c>
      <c r="I18" s="27">
        <f>$N$3 + ($F18 * ($O$3 + ($G18 * $P$3)))</f>
        <v>1.2673858</v>
      </c>
      <c r="J18" s="31">
        <f>63612/69321</f>
        <v>0.9176440039814775</v>
      </c>
      <c r="K18" s="31">
        <f>16596/17475</f>
        <v>0.94969957081545064</v>
      </c>
      <c r="L18" s="32">
        <v>1.3258000000000001</v>
      </c>
    </row>
    <row r="19" spans="2:12" x14ac:dyDescent="0.2">
      <c r="B19" s="4"/>
      <c r="C19" s="1" t="s">
        <v>2</v>
      </c>
      <c r="D19" s="22">
        <v>2.9600000000000001E-2</v>
      </c>
      <c r="E19" s="22">
        <v>0.37219999999999998</v>
      </c>
      <c r="F19" s="22">
        <v>4.3400000000000001E-2</v>
      </c>
      <c r="G19" s="23">
        <v>0.1789</v>
      </c>
      <c r="H19" s="28">
        <f>$N$3 + ($D19 * ($O$3 + ($E19 * $P$3)))</f>
        <v>1.37590816</v>
      </c>
      <c r="I19" s="28">
        <f>$N$3 + ($F19 * ($O$3 + ($G19 * $P$3)))</f>
        <v>1.40015668</v>
      </c>
      <c r="J19" s="31">
        <f>32979/37839</f>
        <v>0.87156108776659003</v>
      </c>
      <c r="K19" s="33">
        <f>10298/10654</f>
        <v>0.96658532006758024</v>
      </c>
      <c r="L19" s="34">
        <v>1.1023000000000001</v>
      </c>
    </row>
    <row r="20" spans="2:12" x14ac:dyDescent="0.2">
      <c r="B20" s="4"/>
      <c r="C20" s="1" t="s">
        <v>3</v>
      </c>
      <c r="D20" s="22">
        <v>4.9599999999999998E-2</v>
      </c>
      <c r="E20" s="22">
        <v>0.5</v>
      </c>
      <c r="F20" s="22">
        <v>9.3700000000000006E-2</v>
      </c>
      <c r="G20" s="23">
        <v>0.1789</v>
      </c>
      <c r="H20" s="28">
        <f>$N$3 + ($D20 * ($O$3 + ($E20 * $P$3)))</f>
        <v>1.744</v>
      </c>
      <c r="I20" s="28">
        <f>$N$3 + ($F20 * ($O$3 + ($G20 * $P$3)))</f>
        <v>1.8639327400000001</v>
      </c>
      <c r="J20" s="31">
        <f>10395/11322</f>
        <v>0.91812400635930047</v>
      </c>
      <c r="K20" s="33">
        <f>4705/4903</f>
        <v>0.95961656128900674</v>
      </c>
      <c r="L20" s="34">
        <v>1.7544999999999999</v>
      </c>
    </row>
    <row r="21" spans="2:12" x14ac:dyDescent="0.2">
      <c r="B21" s="4"/>
      <c r="C21" s="1" t="s">
        <v>4</v>
      </c>
      <c r="D21" s="22">
        <v>6.2899999999999998E-2</v>
      </c>
      <c r="E21" s="22">
        <v>7.2999999999999995E-2</v>
      </c>
      <c r="F21" s="22">
        <v>9.7000000000000003E-3</v>
      </c>
      <c r="G21" s="23">
        <v>0.1789</v>
      </c>
      <c r="H21" s="28">
        <f>$N$3 + ($D21 * ($O$3 + ($E21 * $P$3)))</f>
        <v>1.4600506</v>
      </c>
      <c r="I21" s="28">
        <f>$N$3 + ($F21 * ($O$3 + ($G21 * $P$3)))</f>
        <v>1.08943594</v>
      </c>
      <c r="J21" s="31">
        <f>256166/275836</f>
        <v>0.92868951115880449</v>
      </c>
      <c r="K21" s="33">
        <f>57588/61918</f>
        <v>0.93006880067185638</v>
      </c>
      <c r="L21" s="34">
        <v>1.1859</v>
      </c>
    </row>
    <row r="22" spans="2:12" ht="17" thickBot="1" x14ac:dyDescent="0.25">
      <c r="B22" s="5"/>
      <c r="C22" s="2" t="s">
        <v>5</v>
      </c>
      <c r="D22" s="24">
        <v>2.93E-2</v>
      </c>
      <c r="E22" s="24">
        <v>1.8200000000000001E-2</v>
      </c>
      <c r="F22" s="24">
        <v>1.1000000000000001E-3</v>
      </c>
      <c r="G22" s="25">
        <v>0.1789</v>
      </c>
      <c r="H22" s="29">
        <f>$N$3 + ($D22 * ($O$3 + ($E22 * $P$3)))</f>
        <v>1.18539868</v>
      </c>
      <c r="I22" s="29">
        <f>$N$3 + ($F22 * ($O$3 + ($G22 * $P$3)))</f>
        <v>1.0101422200000001</v>
      </c>
      <c r="J22" s="35">
        <f>2116705/2433737</f>
        <v>0.86973448651189511</v>
      </c>
      <c r="K22" s="36">
        <f>528810/560612</f>
        <v>0.94327270911075756</v>
      </c>
      <c r="L22" s="37">
        <v>0.77149999999999996</v>
      </c>
    </row>
    <row r="23" spans="2:12" x14ac:dyDescent="0.2">
      <c r="B23" s="40" t="s">
        <v>23</v>
      </c>
      <c r="C23" s="7" t="s">
        <v>1</v>
      </c>
      <c r="D23" s="20">
        <v>6.83E-2</v>
      </c>
      <c r="E23" s="20">
        <v>0.1789</v>
      </c>
      <c r="F23" s="20">
        <v>2.9000000000000001E-2</v>
      </c>
      <c r="G23" s="21">
        <v>0.1789</v>
      </c>
      <c r="H23" s="27">
        <f>$N$3 + ($D23 * ($O$3 + ($E23 * $P$3)))</f>
        <v>1.62973966</v>
      </c>
      <c r="I23" s="27">
        <f>$N$3 + ($F23 * ($O$3 + ($G23 * $P$3)))</f>
        <v>1.2673858</v>
      </c>
      <c r="J23" s="31">
        <f>63612/69321</f>
        <v>0.9176440039814775</v>
      </c>
      <c r="K23" s="31">
        <f>16596/17475</f>
        <v>0.94969957081545064</v>
      </c>
      <c r="L23" s="32">
        <v>1.3258000000000001</v>
      </c>
    </row>
    <row r="24" spans="2:12" x14ac:dyDescent="0.2">
      <c r="B24" s="41"/>
      <c r="C24" s="1" t="s">
        <v>2</v>
      </c>
      <c r="D24" s="22">
        <v>2.9600000000000001E-2</v>
      </c>
      <c r="E24" s="22">
        <v>0.37219999999999998</v>
      </c>
      <c r="F24" s="22">
        <v>4.3400000000000001E-2</v>
      </c>
      <c r="G24" s="23">
        <v>0.1789</v>
      </c>
      <c r="H24" s="28">
        <f>$N$3 + ($D24 * ($O$3 + ($E24 * $P$3)))</f>
        <v>1.37590816</v>
      </c>
      <c r="I24" s="28">
        <f>$N$3 + ($F24 * ($O$3 + ($G24 * $P$3)))</f>
        <v>1.40015668</v>
      </c>
      <c r="J24" s="31">
        <f>32979/37839</f>
        <v>0.87156108776659003</v>
      </c>
      <c r="K24" s="33">
        <f>10298/10654</f>
        <v>0.96658532006758024</v>
      </c>
      <c r="L24" s="34">
        <v>1.1023000000000001</v>
      </c>
    </row>
    <row r="25" spans="2:12" x14ac:dyDescent="0.2">
      <c r="B25" s="41"/>
      <c r="C25" s="1" t="s">
        <v>3</v>
      </c>
      <c r="D25" s="22">
        <v>4.9599999999999998E-2</v>
      </c>
      <c r="E25" s="22">
        <v>0.5</v>
      </c>
      <c r="F25" s="22">
        <v>9.3700000000000006E-2</v>
      </c>
      <c r="G25" s="23">
        <v>0.1789</v>
      </c>
      <c r="H25" s="28">
        <f>$N$3 + ($D25 * ($O$3 + ($E25 * $P$3)))</f>
        <v>1.744</v>
      </c>
      <c r="I25" s="28">
        <f>$N$3 + ($F25 * ($O$3 + ($G25 * $P$3)))</f>
        <v>1.8639327400000001</v>
      </c>
      <c r="J25" s="31">
        <f>10395/11322</f>
        <v>0.91812400635930047</v>
      </c>
      <c r="K25" s="33">
        <f>4705/4903</f>
        <v>0.95961656128900674</v>
      </c>
      <c r="L25" s="34">
        <v>1.7544999999999999</v>
      </c>
    </row>
    <row r="26" spans="2:12" x14ac:dyDescent="0.2">
      <c r="B26" s="41"/>
      <c r="C26" s="1" t="s">
        <v>4</v>
      </c>
      <c r="D26" s="22">
        <v>6.2899999999999998E-2</v>
      </c>
      <c r="E26" s="22">
        <v>7.2999999999999995E-2</v>
      </c>
      <c r="F26" s="22">
        <v>9.7000000000000003E-3</v>
      </c>
      <c r="G26" s="23">
        <v>0.1789</v>
      </c>
      <c r="H26" s="28">
        <f>$N$3 + ($D26 * ($O$3 + ($E26 * $P$3)))</f>
        <v>1.4600506</v>
      </c>
      <c r="I26" s="28">
        <f>$N$3 + ($F26 * ($O$3 + ($G26 * $P$3)))</f>
        <v>1.08943594</v>
      </c>
      <c r="J26" s="31">
        <f>256166/275836</f>
        <v>0.92868951115880449</v>
      </c>
      <c r="K26" s="33">
        <f>57588/61918</f>
        <v>0.93006880067185638</v>
      </c>
      <c r="L26" s="34">
        <v>1.1859</v>
      </c>
    </row>
    <row r="27" spans="2:12" ht="17" thickBot="1" x14ac:dyDescent="0.25">
      <c r="B27" s="42"/>
      <c r="C27" s="2" t="s">
        <v>5</v>
      </c>
      <c r="D27" s="24">
        <v>2.93E-2</v>
      </c>
      <c r="E27" s="24">
        <v>1.8200000000000001E-2</v>
      </c>
      <c r="F27" s="24">
        <v>1.1000000000000001E-3</v>
      </c>
      <c r="G27" s="25">
        <v>0.1789</v>
      </c>
      <c r="H27" s="29">
        <f>$N$3 + ($D27 * ($O$3 + ($E27 * $P$3)))</f>
        <v>1.18539868</v>
      </c>
      <c r="I27" s="29">
        <f>$N$3 + ($F27 * ($O$3 + ($G27 * $P$3)))</f>
        <v>1.0101422200000001</v>
      </c>
      <c r="J27" s="35">
        <f>2116705/2433737</f>
        <v>0.86973448651189511</v>
      </c>
      <c r="K27" s="36">
        <f>528810/560612</f>
        <v>0.94327270911075756</v>
      </c>
      <c r="L27" s="37">
        <v>0.77149999999999996</v>
      </c>
    </row>
  </sheetData>
  <mergeCells count="7">
    <mergeCell ref="B23:B27"/>
    <mergeCell ref="B3:B7"/>
    <mergeCell ref="B8:B12"/>
    <mergeCell ref="B13:B17"/>
    <mergeCell ref="B18:B22"/>
    <mergeCell ref="B2:C2"/>
    <mergeCell ref="N4:P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Daniel Brant</dc:creator>
  <cp:lastModifiedBy>Christopher Daniel Brant</cp:lastModifiedBy>
  <dcterms:created xsi:type="dcterms:W3CDTF">2019-11-08T18:27:49Z</dcterms:created>
  <dcterms:modified xsi:type="dcterms:W3CDTF">2019-11-12T18:36:28Z</dcterms:modified>
</cp:coreProperties>
</file>