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hristopherBrant/Google Drive/University of Florida/BRI/"/>
    </mc:Choice>
  </mc:AlternateContent>
  <xr:revisionPtr revIDLastSave="0" documentId="13_ncr:1_{FD388636-2422-5144-B800-F265C2B212ED}" xr6:coauthVersionLast="41" xr6:coauthVersionMax="41" xr10:uidLastSave="{00000000-0000-0000-0000-000000000000}"/>
  <bookViews>
    <workbookView xWindow="60" yWindow="460" windowWidth="25440" windowHeight="14140" xr2:uid="{1321FA41-AF90-9649-A302-7ABA8FC9B108}"/>
  </bookViews>
  <sheets>
    <sheet name="BRI" sheetId="3" r:id="rId1"/>
    <sheet name="PlaysPerGame" sheetId="17" r:id="rId2"/>
    <sheet name="FPI" sheetId="13" r:id="rId3"/>
    <sheet name="Eff" sheetId="15" r:id="rId4"/>
    <sheet name="FEI" sheetId="12" r:id="rId5"/>
    <sheet name="Billingsley 130" sheetId="4" r:id="rId6"/>
    <sheet name="TeamInfo" sheetId="16" r:id="rId7"/>
    <sheet name="BCS" sheetId="1" r:id="rId8"/>
  </sheets>
  <definedNames>
    <definedName name="_xlnm._FilterDatabase" localSheetId="0" hidden="1">BRI!$A$3:$Q$133</definedName>
    <definedName name="Billingsley" localSheetId="5">'Billingsley 130'!$A$1:$P$133</definedName>
    <definedName name="currColleyMatrix" localSheetId="5">'Billingsley 130'!#REF!</definedName>
    <definedName name="DefPlaysPerGame" localSheetId="1">PlaysPerGame!$AB$2:$AI$132</definedName>
    <definedName name="efficiencies" localSheetId="3">Eff!$A$1:$G$138</definedName>
    <definedName name="efficiencies" localSheetId="4">FEI!#REF!</definedName>
    <definedName name="ESPN" localSheetId="2">FPI!$A$1:$J$138</definedName>
    <definedName name="fei" localSheetId="4">FEI!$A$1:$V$139</definedName>
    <definedName name="FGAPerGame" localSheetId="1">PlaysPerGame!$J$2:$Q$132</definedName>
    <definedName name="oppFGAPerGame" localSheetId="1">PlaysPerGame!$AK$2:$AR$132</definedName>
    <definedName name="oppPuntAttPerGame" localSheetId="1">PlaysPerGame!$AT$2:$BA$132</definedName>
    <definedName name="playsPerGame" localSheetId="1">PlaysPerGame!$A$2:$H$132</definedName>
    <definedName name="puntAttPerGame" localSheetId="1">PlaysPerGame!$S$2:$Z$132</definedName>
    <definedName name="SampleWebQuery01" localSheetId="5">'Billingsley 130'!#REF!</definedName>
    <definedName name="table_1" localSheetId="6">TeamInfo!$A$1:$H$131</definedName>
    <definedName name="testQuery" localSheetId="5">'Billingsley 130'!#REF!</definedName>
    <definedName name="testQuery_1" localSheetId="5">'Billingsley 130'!#REF!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M4" i="17" l="1"/>
  <c r="BM5" i="17"/>
  <c r="BM6" i="17"/>
  <c r="BM7" i="17"/>
  <c r="BM8" i="17"/>
  <c r="BM9" i="17"/>
  <c r="BM10" i="17"/>
  <c r="BM11" i="17"/>
  <c r="BM12" i="17"/>
  <c r="BM13" i="17"/>
  <c r="BM14" i="17"/>
  <c r="BM15" i="17"/>
  <c r="BM16" i="17"/>
  <c r="BM17" i="17"/>
  <c r="BM18" i="17"/>
  <c r="BM19" i="17"/>
  <c r="BM20" i="17"/>
  <c r="BM21" i="17"/>
  <c r="BM22" i="17"/>
  <c r="BM23" i="17"/>
  <c r="BM24" i="17"/>
  <c r="BM25" i="17"/>
  <c r="BM26" i="17"/>
  <c r="BM27" i="17"/>
  <c r="BM28" i="17"/>
  <c r="BM29" i="17"/>
  <c r="BM30" i="17"/>
  <c r="BM31" i="17"/>
  <c r="BM32" i="17"/>
  <c r="BM33" i="17"/>
  <c r="BM34" i="17"/>
  <c r="BM35" i="17"/>
  <c r="BM36" i="17"/>
  <c r="BM37" i="17"/>
  <c r="BM38" i="17"/>
  <c r="BM39" i="17"/>
  <c r="BM40" i="17"/>
  <c r="BM41" i="17"/>
  <c r="BM42" i="17"/>
  <c r="BM43" i="17"/>
  <c r="BM44" i="17"/>
  <c r="BM45" i="17"/>
  <c r="BM46" i="17"/>
  <c r="BM47" i="17"/>
  <c r="BM48" i="17"/>
  <c r="BM49" i="17"/>
  <c r="BM50" i="17"/>
  <c r="BM51" i="17"/>
  <c r="BM52" i="17"/>
  <c r="BM53" i="17"/>
  <c r="BM54" i="17"/>
  <c r="BM55" i="17"/>
  <c r="BM56" i="17"/>
  <c r="BM57" i="17"/>
  <c r="BM58" i="17"/>
  <c r="BM59" i="17"/>
  <c r="BM60" i="17"/>
  <c r="BM61" i="17"/>
  <c r="BM62" i="17"/>
  <c r="BM63" i="17"/>
  <c r="BM64" i="17"/>
  <c r="BM65" i="17"/>
  <c r="BM66" i="17"/>
  <c r="BM67" i="17"/>
  <c r="BM68" i="17"/>
  <c r="BM69" i="17"/>
  <c r="BM70" i="17"/>
  <c r="BM71" i="17"/>
  <c r="BM72" i="17"/>
  <c r="BM73" i="17"/>
  <c r="BM74" i="17"/>
  <c r="BM75" i="17"/>
  <c r="BM76" i="17"/>
  <c r="BM77" i="17"/>
  <c r="BM78" i="17"/>
  <c r="BM79" i="17"/>
  <c r="BM80" i="17"/>
  <c r="BM81" i="17"/>
  <c r="BM82" i="17"/>
  <c r="BM83" i="17"/>
  <c r="BM84" i="17"/>
  <c r="BM85" i="17"/>
  <c r="BM86" i="17"/>
  <c r="BM87" i="17"/>
  <c r="BM88" i="17"/>
  <c r="BM89" i="17"/>
  <c r="BM90" i="17"/>
  <c r="BM91" i="17"/>
  <c r="BM92" i="17"/>
  <c r="BM93" i="17"/>
  <c r="BM94" i="17"/>
  <c r="BM95" i="17"/>
  <c r="BM96" i="17"/>
  <c r="BM97" i="17"/>
  <c r="BM98" i="17"/>
  <c r="BM99" i="17"/>
  <c r="BM100" i="17"/>
  <c r="BM101" i="17"/>
  <c r="BM102" i="17"/>
  <c r="BM103" i="17"/>
  <c r="BM104" i="17"/>
  <c r="BM105" i="17"/>
  <c r="BM106" i="17"/>
  <c r="BM107" i="17"/>
  <c r="BM108" i="17"/>
  <c r="BM109" i="17"/>
  <c r="BM110" i="17"/>
  <c r="BM111" i="17"/>
  <c r="BM112" i="17"/>
  <c r="BM113" i="17"/>
  <c r="BM114" i="17"/>
  <c r="BM115" i="17"/>
  <c r="BM116" i="17"/>
  <c r="BM117" i="17"/>
  <c r="BM118" i="17"/>
  <c r="BM119" i="17"/>
  <c r="BM120" i="17"/>
  <c r="BM121" i="17"/>
  <c r="BM122" i="17"/>
  <c r="BM123" i="17"/>
  <c r="BM124" i="17"/>
  <c r="BM125" i="17"/>
  <c r="BM126" i="17"/>
  <c r="BM127" i="17"/>
  <c r="BM128" i="17"/>
  <c r="BM129" i="17"/>
  <c r="BM130" i="17"/>
  <c r="BM131" i="17"/>
  <c r="BM132" i="17"/>
  <c r="BM3" i="17"/>
  <c r="BL4" i="17"/>
  <c r="BL5" i="17"/>
  <c r="BL6" i="17"/>
  <c r="BL7" i="17"/>
  <c r="BL8" i="17"/>
  <c r="BL9" i="17"/>
  <c r="BL10" i="17"/>
  <c r="BL11" i="17"/>
  <c r="BL12" i="17"/>
  <c r="BL13" i="17"/>
  <c r="BL14" i="17"/>
  <c r="BL15" i="17"/>
  <c r="BL16" i="17"/>
  <c r="BL17" i="17"/>
  <c r="BL18" i="17"/>
  <c r="BL19" i="17"/>
  <c r="BL20" i="17"/>
  <c r="BL21" i="17"/>
  <c r="BL22" i="17"/>
  <c r="BL23" i="17"/>
  <c r="BL24" i="17"/>
  <c r="BL25" i="17"/>
  <c r="BL26" i="17"/>
  <c r="BL27" i="17"/>
  <c r="BL28" i="17"/>
  <c r="BL29" i="17"/>
  <c r="BL30" i="17"/>
  <c r="BL31" i="17"/>
  <c r="BL32" i="17"/>
  <c r="BL33" i="17"/>
  <c r="BL34" i="17"/>
  <c r="BL35" i="17"/>
  <c r="BL36" i="17"/>
  <c r="BL37" i="17"/>
  <c r="BL38" i="17"/>
  <c r="BL39" i="17"/>
  <c r="BL40" i="17"/>
  <c r="BL41" i="17"/>
  <c r="BL42" i="17"/>
  <c r="BL43" i="17"/>
  <c r="BL44" i="17"/>
  <c r="BL45" i="17"/>
  <c r="BL46" i="17"/>
  <c r="BL47" i="17"/>
  <c r="BL48" i="17"/>
  <c r="BL49" i="17"/>
  <c r="BL50" i="17"/>
  <c r="BL51" i="17"/>
  <c r="BL52" i="17"/>
  <c r="BL53" i="17"/>
  <c r="BL54" i="17"/>
  <c r="BL55" i="17"/>
  <c r="BL56" i="17"/>
  <c r="BL57" i="17"/>
  <c r="BL58" i="17"/>
  <c r="BL59" i="17"/>
  <c r="BL60" i="17"/>
  <c r="BL61" i="17"/>
  <c r="BL62" i="17"/>
  <c r="BL63" i="17"/>
  <c r="BL64" i="17"/>
  <c r="BL65" i="17"/>
  <c r="BL66" i="17"/>
  <c r="BL67" i="17"/>
  <c r="BL68" i="17"/>
  <c r="BL69" i="17"/>
  <c r="BL70" i="17"/>
  <c r="BL71" i="17"/>
  <c r="BL72" i="17"/>
  <c r="BL73" i="17"/>
  <c r="BL74" i="17"/>
  <c r="BL75" i="17"/>
  <c r="BL76" i="17"/>
  <c r="BL77" i="17"/>
  <c r="BL78" i="17"/>
  <c r="BL79" i="17"/>
  <c r="BL80" i="17"/>
  <c r="BL81" i="17"/>
  <c r="BL82" i="17"/>
  <c r="BL83" i="17"/>
  <c r="BL84" i="17"/>
  <c r="BL85" i="17"/>
  <c r="BL86" i="17"/>
  <c r="BL87" i="17"/>
  <c r="BL88" i="17"/>
  <c r="BL89" i="17"/>
  <c r="BL90" i="17"/>
  <c r="BL91" i="17"/>
  <c r="BL92" i="17"/>
  <c r="BL93" i="17"/>
  <c r="BL94" i="17"/>
  <c r="BL95" i="17"/>
  <c r="BL96" i="17"/>
  <c r="BL97" i="17"/>
  <c r="BL98" i="17"/>
  <c r="BL99" i="17"/>
  <c r="BL100" i="17"/>
  <c r="BL101" i="17"/>
  <c r="BL102" i="17"/>
  <c r="BL103" i="17"/>
  <c r="BL104" i="17"/>
  <c r="BL105" i="17"/>
  <c r="BL106" i="17"/>
  <c r="BL107" i="17"/>
  <c r="BL108" i="17"/>
  <c r="BL109" i="17"/>
  <c r="BL110" i="17"/>
  <c r="BL111" i="17"/>
  <c r="BL112" i="17"/>
  <c r="BL113" i="17"/>
  <c r="BL114" i="17"/>
  <c r="BL115" i="17"/>
  <c r="BL116" i="17"/>
  <c r="BL117" i="17"/>
  <c r="BL118" i="17"/>
  <c r="BL119" i="17"/>
  <c r="BL120" i="17"/>
  <c r="BL121" i="17"/>
  <c r="BL122" i="17"/>
  <c r="BL123" i="17"/>
  <c r="BL124" i="17"/>
  <c r="BL125" i="17"/>
  <c r="BL126" i="17"/>
  <c r="BL127" i="17"/>
  <c r="BL128" i="17"/>
  <c r="BL129" i="17"/>
  <c r="BL130" i="17"/>
  <c r="BL131" i="17"/>
  <c r="BL132" i="17"/>
  <c r="BL3" i="17"/>
  <c r="BK4" i="17"/>
  <c r="BK5" i="17"/>
  <c r="BK6" i="17"/>
  <c r="BK7" i="17"/>
  <c r="BK8" i="17"/>
  <c r="BK9" i="17"/>
  <c r="BK10" i="17"/>
  <c r="BK11" i="17"/>
  <c r="BK12" i="17"/>
  <c r="BK13" i="17"/>
  <c r="BK14" i="17"/>
  <c r="BK15" i="17"/>
  <c r="BK16" i="17"/>
  <c r="BK17" i="17"/>
  <c r="BK18" i="17"/>
  <c r="BK19" i="17"/>
  <c r="BK20" i="17"/>
  <c r="BK21" i="17"/>
  <c r="BK22" i="17"/>
  <c r="BK23" i="17"/>
  <c r="BK24" i="17"/>
  <c r="BK25" i="17"/>
  <c r="BK26" i="17"/>
  <c r="BK27" i="17"/>
  <c r="BK28" i="17"/>
  <c r="BK29" i="17"/>
  <c r="BK30" i="17"/>
  <c r="BK31" i="17"/>
  <c r="BK32" i="17"/>
  <c r="BK33" i="17"/>
  <c r="BK34" i="17"/>
  <c r="BK35" i="17"/>
  <c r="BK36" i="17"/>
  <c r="BK37" i="17"/>
  <c r="BK38" i="17"/>
  <c r="BK39" i="17"/>
  <c r="BK40" i="17"/>
  <c r="BK41" i="17"/>
  <c r="BK42" i="17"/>
  <c r="BK43" i="17"/>
  <c r="BK44" i="17"/>
  <c r="BK45" i="17"/>
  <c r="BK46" i="17"/>
  <c r="BK47" i="17"/>
  <c r="BK48" i="17"/>
  <c r="BK49" i="17"/>
  <c r="BK50" i="17"/>
  <c r="BK51" i="17"/>
  <c r="BK52" i="17"/>
  <c r="BK53" i="17"/>
  <c r="BK54" i="17"/>
  <c r="BK55" i="17"/>
  <c r="BK56" i="17"/>
  <c r="BK57" i="17"/>
  <c r="BK58" i="17"/>
  <c r="BK59" i="17"/>
  <c r="BK60" i="17"/>
  <c r="BK61" i="17"/>
  <c r="BK62" i="17"/>
  <c r="BK63" i="17"/>
  <c r="BK64" i="17"/>
  <c r="BK65" i="17"/>
  <c r="BK66" i="17"/>
  <c r="BK67" i="17"/>
  <c r="BK68" i="17"/>
  <c r="BK69" i="17"/>
  <c r="BK70" i="17"/>
  <c r="BK71" i="17"/>
  <c r="BK72" i="17"/>
  <c r="BK73" i="17"/>
  <c r="BK74" i="17"/>
  <c r="BK75" i="17"/>
  <c r="BK76" i="17"/>
  <c r="BK77" i="17"/>
  <c r="BK78" i="17"/>
  <c r="BK79" i="17"/>
  <c r="BK80" i="17"/>
  <c r="BK81" i="17"/>
  <c r="BK82" i="17"/>
  <c r="BK83" i="17"/>
  <c r="BK84" i="17"/>
  <c r="BK85" i="17"/>
  <c r="BK86" i="17"/>
  <c r="BK87" i="17"/>
  <c r="BK88" i="17"/>
  <c r="BK89" i="17"/>
  <c r="BK90" i="17"/>
  <c r="BK91" i="17"/>
  <c r="BK92" i="17"/>
  <c r="BK93" i="17"/>
  <c r="BK94" i="17"/>
  <c r="BK95" i="17"/>
  <c r="BK96" i="17"/>
  <c r="BK97" i="17"/>
  <c r="BK98" i="17"/>
  <c r="BK99" i="17"/>
  <c r="BK100" i="17"/>
  <c r="BK101" i="17"/>
  <c r="BK102" i="17"/>
  <c r="BK103" i="17"/>
  <c r="BK104" i="17"/>
  <c r="BK105" i="17"/>
  <c r="BK106" i="17"/>
  <c r="BK107" i="17"/>
  <c r="BK108" i="17"/>
  <c r="BK109" i="17"/>
  <c r="BK110" i="17"/>
  <c r="BK111" i="17"/>
  <c r="BK112" i="17"/>
  <c r="BK113" i="17"/>
  <c r="BK114" i="17"/>
  <c r="BK115" i="17"/>
  <c r="BK116" i="17"/>
  <c r="BK117" i="17"/>
  <c r="BK118" i="17"/>
  <c r="BK119" i="17"/>
  <c r="BK120" i="17"/>
  <c r="BK121" i="17"/>
  <c r="BK122" i="17"/>
  <c r="BK123" i="17"/>
  <c r="BK124" i="17"/>
  <c r="BK125" i="17"/>
  <c r="BK126" i="17"/>
  <c r="BK127" i="17"/>
  <c r="BK128" i="17"/>
  <c r="BK129" i="17"/>
  <c r="BK130" i="17"/>
  <c r="BK131" i="17"/>
  <c r="BK132" i="17"/>
  <c r="BK3" i="17"/>
  <c r="BJ4" i="17"/>
  <c r="BJ5" i="17"/>
  <c r="BJ6" i="17"/>
  <c r="BJ7" i="17"/>
  <c r="BJ8" i="17"/>
  <c r="BJ9" i="17"/>
  <c r="BJ10" i="17"/>
  <c r="BJ11" i="17"/>
  <c r="BJ12" i="17"/>
  <c r="BJ13" i="17"/>
  <c r="BJ14" i="17"/>
  <c r="BJ15" i="17"/>
  <c r="BJ16" i="17"/>
  <c r="BJ17" i="17"/>
  <c r="BJ18" i="17"/>
  <c r="BJ19" i="17"/>
  <c r="BJ20" i="17"/>
  <c r="BJ21" i="17"/>
  <c r="BJ22" i="17"/>
  <c r="BJ23" i="17"/>
  <c r="BJ24" i="17"/>
  <c r="BJ25" i="17"/>
  <c r="BJ26" i="17"/>
  <c r="BJ27" i="17"/>
  <c r="BJ28" i="17"/>
  <c r="BJ29" i="17"/>
  <c r="BJ30" i="17"/>
  <c r="BJ31" i="17"/>
  <c r="BJ32" i="17"/>
  <c r="BJ33" i="17"/>
  <c r="BJ34" i="17"/>
  <c r="BJ35" i="17"/>
  <c r="BJ36" i="17"/>
  <c r="BJ37" i="17"/>
  <c r="BJ38" i="17"/>
  <c r="BJ39" i="17"/>
  <c r="BJ40" i="17"/>
  <c r="BJ41" i="17"/>
  <c r="BJ42" i="17"/>
  <c r="BJ43" i="17"/>
  <c r="BJ44" i="17"/>
  <c r="BJ45" i="17"/>
  <c r="BJ46" i="17"/>
  <c r="BJ47" i="17"/>
  <c r="BJ48" i="17"/>
  <c r="BJ49" i="17"/>
  <c r="BJ50" i="17"/>
  <c r="BJ51" i="17"/>
  <c r="BJ52" i="17"/>
  <c r="BJ53" i="17"/>
  <c r="BJ54" i="17"/>
  <c r="BJ55" i="17"/>
  <c r="BJ56" i="17"/>
  <c r="BJ57" i="17"/>
  <c r="BJ58" i="17"/>
  <c r="BJ59" i="17"/>
  <c r="BJ60" i="17"/>
  <c r="BJ61" i="17"/>
  <c r="BJ62" i="17"/>
  <c r="BJ63" i="17"/>
  <c r="BJ64" i="17"/>
  <c r="BJ65" i="17"/>
  <c r="BJ66" i="17"/>
  <c r="BJ67" i="17"/>
  <c r="BJ68" i="17"/>
  <c r="BJ69" i="17"/>
  <c r="BJ70" i="17"/>
  <c r="BJ71" i="17"/>
  <c r="BJ72" i="17"/>
  <c r="BJ73" i="17"/>
  <c r="BJ74" i="17"/>
  <c r="BJ75" i="17"/>
  <c r="BJ76" i="17"/>
  <c r="BJ77" i="17"/>
  <c r="BJ78" i="17"/>
  <c r="BJ79" i="17"/>
  <c r="BJ80" i="17"/>
  <c r="BJ81" i="17"/>
  <c r="BJ82" i="17"/>
  <c r="BJ83" i="17"/>
  <c r="BJ84" i="17"/>
  <c r="BJ85" i="17"/>
  <c r="BJ86" i="17"/>
  <c r="BJ87" i="17"/>
  <c r="BJ88" i="17"/>
  <c r="BJ89" i="17"/>
  <c r="BJ90" i="17"/>
  <c r="BJ91" i="17"/>
  <c r="BJ92" i="17"/>
  <c r="BJ93" i="17"/>
  <c r="BJ94" i="17"/>
  <c r="BJ95" i="17"/>
  <c r="BJ96" i="17"/>
  <c r="BJ97" i="17"/>
  <c r="BJ98" i="17"/>
  <c r="BJ99" i="17"/>
  <c r="BJ100" i="17"/>
  <c r="BJ101" i="17"/>
  <c r="BJ102" i="17"/>
  <c r="BJ103" i="17"/>
  <c r="BJ104" i="17"/>
  <c r="BJ105" i="17"/>
  <c r="BJ106" i="17"/>
  <c r="BJ107" i="17"/>
  <c r="BJ108" i="17"/>
  <c r="BJ109" i="17"/>
  <c r="BJ110" i="17"/>
  <c r="BJ111" i="17"/>
  <c r="BJ112" i="17"/>
  <c r="BJ113" i="17"/>
  <c r="BJ114" i="17"/>
  <c r="BJ115" i="17"/>
  <c r="BJ116" i="17"/>
  <c r="BJ117" i="17"/>
  <c r="BJ118" i="17"/>
  <c r="BJ119" i="17"/>
  <c r="BJ120" i="17"/>
  <c r="BJ121" i="17"/>
  <c r="BJ122" i="17"/>
  <c r="BJ123" i="17"/>
  <c r="BJ124" i="17"/>
  <c r="BJ125" i="17"/>
  <c r="BJ126" i="17"/>
  <c r="BJ127" i="17"/>
  <c r="BJ128" i="17"/>
  <c r="BJ129" i="17"/>
  <c r="BJ130" i="17"/>
  <c r="BJ131" i="17"/>
  <c r="BJ132" i="17"/>
  <c r="BJ3" i="17"/>
  <c r="BI4" i="17"/>
  <c r="BI5" i="17"/>
  <c r="BI6" i="17"/>
  <c r="BI7" i="17"/>
  <c r="BI8" i="17"/>
  <c r="BI9" i="17"/>
  <c r="BI10" i="17"/>
  <c r="BI11" i="17"/>
  <c r="BI12" i="17"/>
  <c r="BI13" i="17"/>
  <c r="BI14" i="17"/>
  <c r="BI15" i="17"/>
  <c r="BI16" i="17"/>
  <c r="BI17" i="17"/>
  <c r="BI18" i="17"/>
  <c r="BI19" i="17"/>
  <c r="BI20" i="17"/>
  <c r="BI21" i="17"/>
  <c r="BI22" i="17"/>
  <c r="BI23" i="17"/>
  <c r="BI24" i="17"/>
  <c r="BI25" i="17"/>
  <c r="BI26" i="17"/>
  <c r="BI27" i="17"/>
  <c r="BI28" i="17"/>
  <c r="BI29" i="17"/>
  <c r="BI30" i="17"/>
  <c r="BI31" i="17"/>
  <c r="BI32" i="17"/>
  <c r="BI33" i="17"/>
  <c r="BI34" i="17"/>
  <c r="BI35" i="17"/>
  <c r="BI36" i="17"/>
  <c r="BI37" i="17"/>
  <c r="BI38" i="17"/>
  <c r="BI39" i="17"/>
  <c r="BI40" i="17"/>
  <c r="BI41" i="17"/>
  <c r="BI42" i="17"/>
  <c r="BI43" i="17"/>
  <c r="BI44" i="17"/>
  <c r="BI45" i="17"/>
  <c r="BI46" i="17"/>
  <c r="BI47" i="17"/>
  <c r="BI48" i="17"/>
  <c r="BI49" i="17"/>
  <c r="BI50" i="17"/>
  <c r="BI51" i="17"/>
  <c r="BI52" i="17"/>
  <c r="BI53" i="17"/>
  <c r="BI54" i="17"/>
  <c r="BI55" i="17"/>
  <c r="BI56" i="17"/>
  <c r="BI57" i="17"/>
  <c r="BI58" i="17"/>
  <c r="BI59" i="17"/>
  <c r="BI60" i="17"/>
  <c r="BI61" i="17"/>
  <c r="BI62" i="17"/>
  <c r="BI63" i="17"/>
  <c r="BI64" i="17"/>
  <c r="BI65" i="17"/>
  <c r="BI66" i="17"/>
  <c r="BI67" i="17"/>
  <c r="BI68" i="17"/>
  <c r="BI69" i="17"/>
  <c r="BI70" i="17"/>
  <c r="BI71" i="17"/>
  <c r="BI72" i="17"/>
  <c r="BI73" i="17"/>
  <c r="BI74" i="17"/>
  <c r="BI75" i="17"/>
  <c r="BI76" i="17"/>
  <c r="BI77" i="17"/>
  <c r="BI78" i="17"/>
  <c r="BI79" i="17"/>
  <c r="BI80" i="17"/>
  <c r="BI81" i="17"/>
  <c r="BI82" i="17"/>
  <c r="BI83" i="17"/>
  <c r="BI84" i="17"/>
  <c r="BI85" i="17"/>
  <c r="BI86" i="17"/>
  <c r="BI87" i="17"/>
  <c r="BI88" i="17"/>
  <c r="BI89" i="17"/>
  <c r="BI90" i="17"/>
  <c r="BI91" i="17"/>
  <c r="BI92" i="17"/>
  <c r="BI93" i="17"/>
  <c r="BI94" i="17"/>
  <c r="BI95" i="17"/>
  <c r="BI96" i="17"/>
  <c r="BI97" i="17"/>
  <c r="BI98" i="17"/>
  <c r="BI99" i="17"/>
  <c r="BI100" i="17"/>
  <c r="BI101" i="17"/>
  <c r="BI102" i="17"/>
  <c r="BI103" i="17"/>
  <c r="BI104" i="17"/>
  <c r="BI105" i="17"/>
  <c r="BI106" i="17"/>
  <c r="BI107" i="17"/>
  <c r="BI108" i="17"/>
  <c r="BI109" i="17"/>
  <c r="BI110" i="17"/>
  <c r="BI111" i="17"/>
  <c r="BI112" i="17"/>
  <c r="BI113" i="17"/>
  <c r="BI114" i="17"/>
  <c r="BI115" i="17"/>
  <c r="BI116" i="17"/>
  <c r="BI117" i="17"/>
  <c r="BI118" i="17"/>
  <c r="BI119" i="17"/>
  <c r="BI120" i="17"/>
  <c r="BI121" i="17"/>
  <c r="BI122" i="17"/>
  <c r="BI123" i="17"/>
  <c r="BI124" i="17"/>
  <c r="BI125" i="17"/>
  <c r="BI126" i="17"/>
  <c r="BI127" i="17"/>
  <c r="BI128" i="17"/>
  <c r="BI129" i="17"/>
  <c r="BI130" i="17"/>
  <c r="BI131" i="17"/>
  <c r="BI132" i="17"/>
  <c r="BI3" i="17"/>
  <c r="BH4" i="17"/>
  <c r="BH5" i="17"/>
  <c r="BH6" i="17"/>
  <c r="BH7" i="17"/>
  <c r="BH8" i="17"/>
  <c r="BH9" i="17"/>
  <c r="BH10" i="17"/>
  <c r="BH11" i="17"/>
  <c r="BH12" i="17"/>
  <c r="BH13" i="17"/>
  <c r="BH14" i="17"/>
  <c r="BH15" i="17"/>
  <c r="BH16" i="17"/>
  <c r="BH17" i="17"/>
  <c r="BH18" i="17"/>
  <c r="BH19" i="17"/>
  <c r="BH20" i="17"/>
  <c r="BH21" i="17"/>
  <c r="BH22" i="17"/>
  <c r="BH23" i="17"/>
  <c r="BH24" i="17"/>
  <c r="BH25" i="17"/>
  <c r="BH26" i="17"/>
  <c r="BH27" i="17"/>
  <c r="BH28" i="17"/>
  <c r="BH29" i="17"/>
  <c r="BH30" i="17"/>
  <c r="BH31" i="17"/>
  <c r="BH32" i="17"/>
  <c r="BH33" i="17"/>
  <c r="BH34" i="17"/>
  <c r="BH35" i="17"/>
  <c r="BH36" i="17"/>
  <c r="BH37" i="17"/>
  <c r="BH38" i="17"/>
  <c r="BH39" i="17"/>
  <c r="BH40" i="17"/>
  <c r="BH41" i="17"/>
  <c r="BH42" i="17"/>
  <c r="BH43" i="17"/>
  <c r="BH44" i="17"/>
  <c r="BH45" i="17"/>
  <c r="BH46" i="17"/>
  <c r="BH47" i="17"/>
  <c r="BH48" i="17"/>
  <c r="BH49" i="17"/>
  <c r="BH50" i="17"/>
  <c r="BH51" i="17"/>
  <c r="BH52" i="17"/>
  <c r="BH53" i="17"/>
  <c r="BH54" i="17"/>
  <c r="BH55" i="17"/>
  <c r="BH56" i="17"/>
  <c r="BH57" i="17"/>
  <c r="BH58" i="17"/>
  <c r="BH59" i="17"/>
  <c r="BH60" i="17"/>
  <c r="BH61" i="17"/>
  <c r="BH62" i="17"/>
  <c r="BH63" i="17"/>
  <c r="BH64" i="17"/>
  <c r="BH65" i="17"/>
  <c r="BH66" i="17"/>
  <c r="BH67" i="17"/>
  <c r="BH68" i="17"/>
  <c r="BH69" i="17"/>
  <c r="BH70" i="17"/>
  <c r="BH71" i="17"/>
  <c r="BH72" i="17"/>
  <c r="BH73" i="17"/>
  <c r="BH74" i="17"/>
  <c r="BH75" i="17"/>
  <c r="BH76" i="17"/>
  <c r="BH77" i="17"/>
  <c r="BH78" i="17"/>
  <c r="BH79" i="17"/>
  <c r="BH80" i="17"/>
  <c r="BH81" i="17"/>
  <c r="BH82" i="17"/>
  <c r="BH83" i="17"/>
  <c r="BH84" i="17"/>
  <c r="BH85" i="17"/>
  <c r="BH86" i="17"/>
  <c r="BH87" i="17"/>
  <c r="BH88" i="17"/>
  <c r="BH89" i="17"/>
  <c r="BH90" i="17"/>
  <c r="BH91" i="17"/>
  <c r="BH92" i="17"/>
  <c r="BH93" i="17"/>
  <c r="BH94" i="17"/>
  <c r="BH95" i="17"/>
  <c r="BH96" i="17"/>
  <c r="BH97" i="17"/>
  <c r="BH98" i="17"/>
  <c r="BH99" i="17"/>
  <c r="BH100" i="17"/>
  <c r="BH101" i="17"/>
  <c r="BH102" i="17"/>
  <c r="BH103" i="17"/>
  <c r="BH104" i="17"/>
  <c r="BH105" i="17"/>
  <c r="BH106" i="17"/>
  <c r="BH107" i="17"/>
  <c r="BH108" i="17"/>
  <c r="BH109" i="17"/>
  <c r="BH110" i="17"/>
  <c r="BH111" i="17"/>
  <c r="BH112" i="17"/>
  <c r="BH113" i="17"/>
  <c r="BH114" i="17"/>
  <c r="BH115" i="17"/>
  <c r="BH116" i="17"/>
  <c r="BH117" i="17"/>
  <c r="BH118" i="17"/>
  <c r="BH119" i="17"/>
  <c r="BH120" i="17"/>
  <c r="BH121" i="17"/>
  <c r="BH122" i="17"/>
  <c r="BH123" i="17"/>
  <c r="BH124" i="17"/>
  <c r="BH125" i="17"/>
  <c r="BH126" i="17"/>
  <c r="BH127" i="17"/>
  <c r="BH128" i="17"/>
  <c r="BH129" i="17"/>
  <c r="BH130" i="17"/>
  <c r="BH131" i="17"/>
  <c r="BH132" i="17"/>
  <c r="BH3" i="17"/>
  <c r="BG4" i="17"/>
  <c r="BG5" i="17"/>
  <c r="BG6" i="17"/>
  <c r="BG7" i="17"/>
  <c r="BG8" i="17"/>
  <c r="BG9" i="17"/>
  <c r="BG10" i="17"/>
  <c r="BG11" i="17"/>
  <c r="BG12" i="17"/>
  <c r="BG13" i="17"/>
  <c r="BG14" i="17"/>
  <c r="BG15" i="17"/>
  <c r="BG16" i="17"/>
  <c r="BG17" i="17"/>
  <c r="BG18" i="17"/>
  <c r="BG19" i="17"/>
  <c r="BG20" i="17"/>
  <c r="BG21" i="17"/>
  <c r="BG22" i="17"/>
  <c r="BG23" i="17"/>
  <c r="BG24" i="17"/>
  <c r="BG25" i="17"/>
  <c r="BG26" i="17"/>
  <c r="BG27" i="17"/>
  <c r="BG28" i="17"/>
  <c r="BG29" i="17"/>
  <c r="BG30" i="17"/>
  <c r="BG31" i="17"/>
  <c r="BG32" i="17"/>
  <c r="BG33" i="17"/>
  <c r="BG34" i="17"/>
  <c r="BG35" i="17"/>
  <c r="BG36" i="17"/>
  <c r="BG37" i="17"/>
  <c r="BG38" i="17"/>
  <c r="BG39" i="17"/>
  <c r="BG40" i="17"/>
  <c r="BG41" i="17"/>
  <c r="BG42" i="17"/>
  <c r="BG43" i="17"/>
  <c r="BG44" i="17"/>
  <c r="BG45" i="17"/>
  <c r="BG46" i="17"/>
  <c r="BG47" i="17"/>
  <c r="BG48" i="17"/>
  <c r="BG49" i="17"/>
  <c r="BG50" i="17"/>
  <c r="BG51" i="17"/>
  <c r="BG52" i="17"/>
  <c r="BG53" i="17"/>
  <c r="BG54" i="17"/>
  <c r="BG55" i="17"/>
  <c r="BG56" i="17"/>
  <c r="BG57" i="17"/>
  <c r="BG58" i="17"/>
  <c r="BG59" i="17"/>
  <c r="BG60" i="17"/>
  <c r="BG61" i="17"/>
  <c r="BG62" i="17"/>
  <c r="BG63" i="17"/>
  <c r="BG64" i="17"/>
  <c r="BG65" i="17"/>
  <c r="BG66" i="17"/>
  <c r="BG67" i="17"/>
  <c r="BG68" i="17"/>
  <c r="BG69" i="17"/>
  <c r="BG70" i="17"/>
  <c r="BG71" i="17"/>
  <c r="BG72" i="17"/>
  <c r="BG73" i="17"/>
  <c r="BG74" i="17"/>
  <c r="BG75" i="17"/>
  <c r="BG76" i="17"/>
  <c r="BG77" i="17"/>
  <c r="BG78" i="17"/>
  <c r="BG79" i="17"/>
  <c r="BG80" i="17"/>
  <c r="BG81" i="17"/>
  <c r="BG82" i="17"/>
  <c r="BG83" i="17"/>
  <c r="BG84" i="17"/>
  <c r="BG85" i="17"/>
  <c r="BG86" i="17"/>
  <c r="BG87" i="17"/>
  <c r="BG88" i="17"/>
  <c r="BG89" i="17"/>
  <c r="BG90" i="17"/>
  <c r="BG91" i="17"/>
  <c r="BG92" i="17"/>
  <c r="BG93" i="17"/>
  <c r="BG94" i="17"/>
  <c r="BG95" i="17"/>
  <c r="BG96" i="17"/>
  <c r="BG97" i="17"/>
  <c r="BG98" i="17"/>
  <c r="BG99" i="17"/>
  <c r="BG100" i="17"/>
  <c r="BG101" i="17"/>
  <c r="BG102" i="17"/>
  <c r="BG103" i="17"/>
  <c r="BG104" i="17"/>
  <c r="BG105" i="17"/>
  <c r="BG106" i="17"/>
  <c r="BG107" i="17"/>
  <c r="BG108" i="17"/>
  <c r="BG109" i="17"/>
  <c r="BG110" i="17"/>
  <c r="BG111" i="17"/>
  <c r="BG112" i="17"/>
  <c r="BG113" i="17"/>
  <c r="BG114" i="17"/>
  <c r="BG115" i="17"/>
  <c r="BG116" i="17"/>
  <c r="BG117" i="17"/>
  <c r="BG118" i="17"/>
  <c r="BG119" i="17"/>
  <c r="BG120" i="17"/>
  <c r="BG121" i="17"/>
  <c r="BG122" i="17"/>
  <c r="BG123" i="17"/>
  <c r="BG124" i="17"/>
  <c r="BG125" i="17"/>
  <c r="BG126" i="17"/>
  <c r="BG127" i="17"/>
  <c r="BG128" i="17"/>
  <c r="BG129" i="17"/>
  <c r="BG130" i="17"/>
  <c r="BG131" i="17"/>
  <c r="BG132" i="17"/>
  <c r="BG3" i="17"/>
  <c r="BF4" i="17"/>
  <c r="BF5" i="17"/>
  <c r="BF6" i="17"/>
  <c r="BF7" i="17"/>
  <c r="BF8" i="17"/>
  <c r="BF9" i="17"/>
  <c r="BF10" i="17"/>
  <c r="BF11" i="17"/>
  <c r="BF12" i="17"/>
  <c r="BF13" i="17"/>
  <c r="BF14" i="17"/>
  <c r="BF15" i="17"/>
  <c r="BF16" i="17"/>
  <c r="BF17" i="17"/>
  <c r="BF18" i="17"/>
  <c r="BF19" i="17"/>
  <c r="BF20" i="17"/>
  <c r="BF21" i="17"/>
  <c r="BF22" i="17"/>
  <c r="BF23" i="17"/>
  <c r="BF24" i="17"/>
  <c r="BF25" i="17"/>
  <c r="BF26" i="17"/>
  <c r="BF27" i="17"/>
  <c r="BF28" i="17"/>
  <c r="BF29" i="17"/>
  <c r="BF30" i="17"/>
  <c r="BF31" i="17"/>
  <c r="BF32" i="17"/>
  <c r="BF33" i="17"/>
  <c r="BF34" i="17"/>
  <c r="BF35" i="17"/>
  <c r="BF36" i="17"/>
  <c r="BF37" i="17"/>
  <c r="BF38" i="17"/>
  <c r="BF39" i="17"/>
  <c r="BF40" i="17"/>
  <c r="BF41" i="17"/>
  <c r="BF42" i="17"/>
  <c r="BF43" i="17"/>
  <c r="BF44" i="17"/>
  <c r="BF45" i="17"/>
  <c r="BF46" i="17"/>
  <c r="BF47" i="17"/>
  <c r="BF48" i="17"/>
  <c r="BF49" i="17"/>
  <c r="BF50" i="17"/>
  <c r="BF51" i="17"/>
  <c r="BF52" i="17"/>
  <c r="BF53" i="17"/>
  <c r="BF54" i="17"/>
  <c r="BF55" i="17"/>
  <c r="BF56" i="17"/>
  <c r="BF57" i="17"/>
  <c r="BF58" i="17"/>
  <c r="BF59" i="17"/>
  <c r="BF60" i="17"/>
  <c r="BF61" i="17"/>
  <c r="BF62" i="17"/>
  <c r="BF63" i="17"/>
  <c r="BF64" i="17"/>
  <c r="BF65" i="17"/>
  <c r="BF66" i="17"/>
  <c r="BF67" i="17"/>
  <c r="BF68" i="17"/>
  <c r="BF69" i="17"/>
  <c r="BF70" i="17"/>
  <c r="BF71" i="17"/>
  <c r="BF72" i="17"/>
  <c r="BF73" i="17"/>
  <c r="BF74" i="17"/>
  <c r="BF75" i="17"/>
  <c r="BF76" i="17"/>
  <c r="BF77" i="17"/>
  <c r="BF78" i="17"/>
  <c r="BF79" i="17"/>
  <c r="BF80" i="17"/>
  <c r="BF81" i="17"/>
  <c r="BF82" i="17"/>
  <c r="BF83" i="17"/>
  <c r="BF84" i="17"/>
  <c r="BF85" i="17"/>
  <c r="BF86" i="17"/>
  <c r="BF87" i="17"/>
  <c r="BF88" i="17"/>
  <c r="BF89" i="17"/>
  <c r="BF90" i="17"/>
  <c r="BF91" i="17"/>
  <c r="BF92" i="17"/>
  <c r="BF93" i="17"/>
  <c r="BF94" i="17"/>
  <c r="BF95" i="17"/>
  <c r="BF96" i="17"/>
  <c r="BF97" i="17"/>
  <c r="BF98" i="17"/>
  <c r="BF99" i="17"/>
  <c r="BF100" i="17"/>
  <c r="BF101" i="17"/>
  <c r="BF102" i="17"/>
  <c r="BF103" i="17"/>
  <c r="BF104" i="17"/>
  <c r="BF105" i="17"/>
  <c r="BF106" i="17"/>
  <c r="BF107" i="17"/>
  <c r="BF108" i="17"/>
  <c r="BF109" i="17"/>
  <c r="BF110" i="17"/>
  <c r="BF111" i="17"/>
  <c r="BF112" i="17"/>
  <c r="BF113" i="17"/>
  <c r="BF114" i="17"/>
  <c r="BF115" i="17"/>
  <c r="BF116" i="17"/>
  <c r="BF117" i="17"/>
  <c r="BF118" i="17"/>
  <c r="BF119" i="17"/>
  <c r="BF120" i="17"/>
  <c r="BF121" i="17"/>
  <c r="BF122" i="17"/>
  <c r="BF123" i="17"/>
  <c r="BF124" i="17"/>
  <c r="BF125" i="17"/>
  <c r="BF126" i="17"/>
  <c r="BF127" i="17"/>
  <c r="BF128" i="17"/>
  <c r="BF129" i="17"/>
  <c r="BF130" i="17"/>
  <c r="BF131" i="17"/>
  <c r="BF132" i="17"/>
  <c r="BF3" i="17"/>
  <c r="BE4" i="17"/>
  <c r="BE5" i="17"/>
  <c r="BE6" i="17"/>
  <c r="BE7" i="17"/>
  <c r="BE8" i="17"/>
  <c r="BE9" i="17"/>
  <c r="BE10" i="17"/>
  <c r="BE11" i="17"/>
  <c r="BE12" i="17"/>
  <c r="BE13" i="17"/>
  <c r="BE14" i="17"/>
  <c r="BE15" i="17"/>
  <c r="BE16" i="17"/>
  <c r="BE17" i="17"/>
  <c r="BE18" i="17"/>
  <c r="BE19" i="17"/>
  <c r="BE20" i="17"/>
  <c r="BE21" i="17"/>
  <c r="BE22" i="17"/>
  <c r="BE23" i="17"/>
  <c r="BE24" i="17"/>
  <c r="BE25" i="17"/>
  <c r="BE26" i="17"/>
  <c r="BE27" i="17"/>
  <c r="BE28" i="17"/>
  <c r="BE29" i="17"/>
  <c r="BE30" i="17"/>
  <c r="BE31" i="17"/>
  <c r="BE32" i="17"/>
  <c r="BE33" i="17"/>
  <c r="BE34" i="17"/>
  <c r="BE35" i="17"/>
  <c r="BE36" i="17"/>
  <c r="BE37" i="17"/>
  <c r="BE38" i="17"/>
  <c r="BE39" i="17"/>
  <c r="BE40" i="17"/>
  <c r="BE41" i="17"/>
  <c r="BE42" i="17"/>
  <c r="BE43" i="17"/>
  <c r="BE44" i="17"/>
  <c r="BE45" i="17"/>
  <c r="BE46" i="17"/>
  <c r="BE47" i="17"/>
  <c r="BE48" i="17"/>
  <c r="BE49" i="17"/>
  <c r="BE50" i="17"/>
  <c r="BE51" i="17"/>
  <c r="BE52" i="17"/>
  <c r="BE53" i="17"/>
  <c r="BE54" i="17"/>
  <c r="BE55" i="17"/>
  <c r="BE56" i="17"/>
  <c r="BE57" i="17"/>
  <c r="BE58" i="17"/>
  <c r="BE59" i="17"/>
  <c r="BE60" i="17"/>
  <c r="BE61" i="17"/>
  <c r="BE62" i="17"/>
  <c r="BE63" i="17"/>
  <c r="BE64" i="17"/>
  <c r="BE65" i="17"/>
  <c r="BE66" i="17"/>
  <c r="BE67" i="17"/>
  <c r="BE68" i="17"/>
  <c r="BE69" i="17"/>
  <c r="BE70" i="17"/>
  <c r="BE71" i="17"/>
  <c r="BE72" i="17"/>
  <c r="BE73" i="17"/>
  <c r="BE74" i="17"/>
  <c r="BE75" i="17"/>
  <c r="BE76" i="17"/>
  <c r="BE77" i="17"/>
  <c r="BE78" i="17"/>
  <c r="BE79" i="17"/>
  <c r="BE80" i="17"/>
  <c r="BE81" i="17"/>
  <c r="BE82" i="17"/>
  <c r="BE83" i="17"/>
  <c r="BE84" i="17"/>
  <c r="BE85" i="17"/>
  <c r="BE86" i="17"/>
  <c r="BE87" i="17"/>
  <c r="BE88" i="17"/>
  <c r="BE89" i="17"/>
  <c r="BE90" i="17"/>
  <c r="BE91" i="17"/>
  <c r="BE92" i="17"/>
  <c r="BE93" i="17"/>
  <c r="BE94" i="17"/>
  <c r="BE95" i="17"/>
  <c r="BE96" i="17"/>
  <c r="BE97" i="17"/>
  <c r="BE98" i="17"/>
  <c r="BE99" i="17"/>
  <c r="BE100" i="17"/>
  <c r="BE101" i="17"/>
  <c r="BE102" i="17"/>
  <c r="BE103" i="17"/>
  <c r="BE104" i="17"/>
  <c r="BE105" i="17"/>
  <c r="BE106" i="17"/>
  <c r="BE107" i="17"/>
  <c r="BE108" i="17"/>
  <c r="BE109" i="17"/>
  <c r="BE110" i="17"/>
  <c r="BE111" i="17"/>
  <c r="BE112" i="17"/>
  <c r="BE113" i="17"/>
  <c r="BE114" i="17"/>
  <c r="BE115" i="17"/>
  <c r="BE116" i="17"/>
  <c r="BE117" i="17"/>
  <c r="BE118" i="17"/>
  <c r="BE119" i="17"/>
  <c r="BE120" i="17"/>
  <c r="BE121" i="17"/>
  <c r="BE122" i="17"/>
  <c r="BE123" i="17"/>
  <c r="BE124" i="17"/>
  <c r="BE125" i="17"/>
  <c r="BE126" i="17"/>
  <c r="BE127" i="17"/>
  <c r="BE128" i="17"/>
  <c r="BE129" i="17"/>
  <c r="BE130" i="17"/>
  <c r="BE131" i="17"/>
  <c r="BE132" i="17"/>
  <c r="BE3" i="17"/>
  <c r="BD4" i="17"/>
  <c r="BD5" i="17"/>
  <c r="BD6" i="17"/>
  <c r="BD7" i="17"/>
  <c r="BD8" i="17"/>
  <c r="BD9" i="17"/>
  <c r="BD10" i="17"/>
  <c r="BD11" i="17"/>
  <c r="BD12" i="17"/>
  <c r="BD13" i="17"/>
  <c r="BD14" i="17"/>
  <c r="BD15" i="17"/>
  <c r="BD16" i="17"/>
  <c r="BD17" i="17"/>
  <c r="BD18" i="17"/>
  <c r="BD19" i="17"/>
  <c r="BD20" i="17"/>
  <c r="BD21" i="17"/>
  <c r="BD22" i="17"/>
  <c r="BD23" i="17"/>
  <c r="BD24" i="17"/>
  <c r="BD25" i="17"/>
  <c r="BD26" i="17"/>
  <c r="BD27" i="17"/>
  <c r="BD28" i="17"/>
  <c r="BD29" i="17"/>
  <c r="BD30" i="17"/>
  <c r="BD31" i="17"/>
  <c r="BD32" i="17"/>
  <c r="BD33" i="17"/>
  <c r="BD34" i="17"/>
  <c r="BD35" i="17"/>
  <c r="BD36" i="17"/>
  <c r="BD37" i="17"/>
  <c r="BD38" i="17"/>
  <c r="BD39" i="17"/>
  <c r="BD40" i="17"/>
  <c r="BD41" i="17"/>
  <c r="BD42" i="17"/>
  <c r="BD43" i="17"/>
  <c r="BD44" i="17"/>
  <c r="BD45" i="17"/>
  <c r="BD46" i="17"/>
  <c r="BD47" i="17"/>
  <c r="BD48" i="17"/>
  <c r="BD49" i="17"/>
  <c r="BD50" i="17"/>
  <c r="BD51" i="17"/>
  <c r="BD52" i="17"/>
  <c r="BD53" i="17"/>
  <c r="BD54" i="17"/>
  <c r="BD55" i="17"/>
  <c r="BD56" i="17"/>
  <c r="BD57" i="17"/>
  <c r="BD58" i="17"/>
  <c r="BD59" i="17"/>
  <c r="BD60" i="17"/>
  <c r="BD61" i="17"/>
  <c r="BD62" i="17"/>
  <c r="BD63" i="17"/>
  <c r="BD64" i="17"/>
  <c r="BD65" i="17"/>
  <c r="BD66" i="17"/>
  <c r="BD67" i="17"/>
  <c r="BD68" i="17"/>
  <c r="BD69" i="17"/>
  <c r="BD70" i="17"/>
  <c r="BD71" i="17"/>
  <c r="BD72" i="17"/>
  <c r="BD73" i="17"/>
  <c r="BD74" i="17"/>
  <c r="BD75" i="17"/>
  <c r="BD76" i="17"/>
  <c r="BD77" i="17"/>
  <c r="BD78" i="17"/>
  <c r="BD79" i="17"/>
  <c r="BD80" i="17"/>
  <c r="BD81" i="17"/>
  <c r="BD82" i="17"/>
  <c r="BD83" i="17"/>
  <c r="BD84" i="17"/>
  <c r="BD85" i="17"/>
  <c r="BD86" i="17"/>
  <c r="BD87" i="17"/>
  <c r="BD88" i="17"/>
  <c r="BD89" i="17"/>
  <c r="BD90" i="17"/>
  <c r="BD91" i="17"/>
  <c r="BD92" i="17"/>
  <c r="BD93" i="17"/>
  <c r="BD94" i="17"/>
  <c r="BD95" i="17"/>
  <c r="BD96" i="17"/>
  <c r="BD97" i="17"/>
  <c r="BD98" i="17"/>
  <c r="BD99" i="17"/>
  <c r="BD100" i="17"/>
  <c r="BD101" i="17"/>
  <c r="BD102" i="17"/>
  <c r="BD103" i="17"/>
  <c r="BD104" i="17"/>
  <c r="BD105" i="17"/>
  <c r="BD106" i="17"/>
  <c r="BD107" i="17"/>
  <c r="BD108" i="17"/>
  <c r="BD109" i="17"/>
  <c r="BD110" i="17"/>
  <c r="BD111" i="17"/>
  <c r="BD112" i="17"/>
  <c r="BD113" i="17"/>
  <c r="BD114" i="17"/>
  <c r="BD115" i="17"/>
  <c r="BD116" i="17"/>
  <c r="BD117" i="17"/>
  <c r="BD118" i="17"/>
  <c r="BD119" i="17"/>
  <c r="BD120" i="17"/>
  <c r="BD121" i="17"/>
  <c r="BD122" i="17"/>
  <c r="BD123" i="17"/>
  <c r="BD124" i="17"/>
  <c r="BD125" i="17"/>
  <c r="BD126" i="17"/>
  <c r="BD127" i="17"/>
  <c r="BD128" i="17"/>
  <c r="BD129" i="17"/>
  <c r="BD130" i="17"/>
  <c r="BD131" i="17"/>
  <c r="BD132" i="17"/>
  <c r="BD3" i="17"/>
  <c r="K64" i="3"/>
  <c r="K30" i="3"/>
  <c r="K14" i="3"/>
  <c r="K80" i="3"/>
  <c r="K133" i="3"/>
  <c r="J133" i="3"/>
  <c r="I133" i="3"/>
  <c r="H133" i="3"/>
  <c r="K131" i="3"/>
  <c r="J130" i="3"/>
  <c r="I130" i="3"/>
  <c r="H130" i="3"/>
  <c r="K130" i="3"/>
  <c r="K128" i="3"/>
  <c r="K124" i="3"/>
  <c r="K87" i="3"/>
  <c r="J100" i="3"/>
  <c r="I100" i="3"/>
  <c r="H100" i="3"/>
  <c r="K108" i="3"/>
  <c r="J108" i="3"/>
  <c r="I108" i="3"/>
  <c r="H108" i="3"/>
  <c r="J85" i="3"/>
  <c r="I85" i="3"/>
  <c r="H85" i="3"/>
  <c r="K73" i="3"/>
  <c r="J73" i="3"/>
  <c r="I73" i="3"/>
  <c r="H73" i="3"/>
  <c r="J44" i="3"/>
  <c r="I44" i="3"/>
  <c r="H44" i="3"/>
  <c r="K65" i="3"/>
  <c r="J65" i="3"/>
  <c r="I65" i="3"/>
  <c r="H65" i="3"/>
  <c r="H64" i="3"/>
  <c r="J14" i="3"/>
  <c r="I14" i="3"/>
  <c r="H14" i="3"/>
  <c r="H4" i="3"/>
  <c r="H8" i="3"/>
  <c r="H6" i="3"/>
  <c r="H7" i="3"/>
  <c r="H9" i="3"/>
  <c r="H11" i="3"/>
  <c r="H12" i="3"/>
  <c r="H13" i="3"/>
  <c r="H10" i="3"/>
  <c r="H17" i="3"/>
  <c r="H15" i="3"/>
  <c r="H32" i="3"/>
  <c r="H20" i="3"/>
  <c r="H23" i="3"/>
  <c r="H39" i="3"/>
  <c r="H19" i="3"/>
  <c r="H22" i="3"/>
  <c r="H27" i="3"/>
  <c r="H18" i="3"/>
  <c r="H21" i="3"/>
  <c r="H30" i="3"/>
  <c r="H16" i="3"/>
  <c r="H48" i="3"/>
  <c r="H28" i="3"/>
  <c r="H36" i="3"/>
  <c r="H25" i="3"/>
  <c r="H46" i="3"/>
  <c r="H29" i="3"/>
  <c r="H57" i="3"/>
  <c r="H43" i="3"/>
  <c r="H35" i="3"/>
  <c r="H33" i="3"/>
  <c r="H41" i="3"/>
  <c r="H38" i="3"/>
  <c r="H50" i="3"/>
  <c r="H24" i="3"/>
  <c r="H59" i="3"/>
  <c r="H26" i="3"/>
  <c r="H62" i="3"/>
  <c r="H42" i="3"/>
  <c r="H51" i="3"/>
  <c r="H34" i="3"/>
  <c r="H45" i="3"/>
  <c r="H40" i="3"/>
  <c r="H31" i="3"/>
  <c r="H58" i="3"/>
  <c r="H53" i="3"/>
  <c r="H99" i="3"/>
  <c r="H72" i="3"/>
  <c r="H49" i="3"/>
  <c r="H47" i="3"/>
  <c r="H69" i="3"/>
  <c r="H80" i="3"/>
  <c r="H37" i="3"/>
  <c r="H88" i="3"/>
  <c r="H70" i="3"/>
  <c r="H79" i="3"/>
  <c r="H66" i="3"/>
  <c r="H52" i="3"/>
  <c r="H68" i="3"/>
  <c r="H55" i="3"/>
  <c r="H71" i="3"/>
  <c r="H61" i="3"/>
  <c r="H76" i="3"/>
  <c r="H63" i="3"/>
  <c r="H56" i="3"/>
  <c r="H83" i="3"/>
  <c r="H67" i="3"/>
  <c r="H60" i="3"/>
  <c r="H54" i="3"/>
  <c r="H75" i="3"/>
  <c r="H84" i="3"/>
  <c r="H97" i="3"/>
  <c r="H74" i="3"/>
  <c r="H77" i="3"/>
  <c r="H103" i="3"/>
  <c r="H78" i="3"/>
  <c r="H104" i="3"/>
  <c r="H92" i="3"/>
  <c r="H82" i="3"/>
  <c r="H107" i="3"/>
  <c r="H98" i="3"/>
  <c r="H89" i="3"/>
  <c r="H109" i="3"/>
  <c r="H81" i="3"/>
  <c r="H101" i="3"/>
  <c r="H90" i="3"/>
  <c r="H110" i="3"/>
  <c r="H105" i="3"/>
  <c r="H93" i="3"/>
  <c r="H91" i="3"/>
  <c r="H86" i="3"/>
  <c r="H106" i="3"/>
  <c r="H115" i="3"/>
  <c r="H113" i="3"/>
  <c r="H94" i="3"/>
  <c r="H96" i="3"/>
  <c r="H116" i="3"/>
  <c r="H114" i="3"/>
  <c r="H118" i="3"/>
  <c r="H87" i="3"/>
  <c r="H117" i="3"/>
  <c r="H95" i="3"/>
  <c r="H102" i="3"/>
  <c r="H112" i="3"/>
  <c r="H111" i="3"/>
  <c r="H120" i="3"/>
  <c r="H122" i="3"/>
  <c r="H125" i="3"/>
  <c r="H124" i="3"/>
  <c r="H121" i="3"/>
  <c r="H119" i="3"/>
  <c r="H128" i="3"/>
  <c r="H127" i="3"/>
  <c r="H123" i="3"/>
  <c r="H126" i="3"/>
  <c r="H132" i="3"/>
  <c r="H131" i="3"/>
  <c r="H129" i="3"/>
  <c r="I4" i="3"/>
  <c r="I8" i="3"/>
  <c r="I6" i="3"/>
  <c r="I7" i="3"/>
  <c r="I9" i="3"/>
  <c r="I11" i="3"/>
  <c r="I12" i="3"/>
  <c r="I13" i="3"/>
  <c r="I10" i="3"/>
  <c r="I17" i="3"/>
  <c r="I15" i="3"/>
  <c r="I32" i="3"/>
  <c r="I20" i="3"/>
  <c r="I23" i="3"/>
  <c r="I39" i="3"/>
  <c r="I19" i="3"/>
  <c r="I22" i="3"/>
  <c r="I27" i="3"/>
  <c r="I18" i="3"/>
  <c r="I21" i="3"/>
  <c r="I30" i="3"/>
  <c r="I16" i="3"/>
  <c r="I48" i="3"/>
  <c r="I28" i="3"/>
  <c r="I36" i="3"/>
  <c r="I25" i="3"/>
  <c r="I46" i="3"/>
  <c r="I64" i="3"/>
  <c r="I29" i="3"/>
  <c r="I57" i="3"/>
  <c r="I43" i="3"/>
  <c r="I35" i="3"/>
  <c r="I33" i="3"/>
  <c r="I41" i="3"/>
  <c r="I38" i="3"/>
  <c r="I50" i="3"/>
  <c r="I24" i="3"/>
  <c r="I59" i="3"/>
  <c r="I26" i="3"/>
  <c r="I62" i="3"/>
  <c r="I42" i="3"/>
  <c r="I51" i="3"/>
  <c r="I34" i="3"/>
  <c r="I45" i="3"/>
  <c r="I40" i="3"/>
  <c r="I31" i="3"/>
  <c r="I58" i="3"/>
  <c r="I53" i="3"/>
  <c r="I99" i="3"/>
  <c r="I72" i="3"/>
  <c r="I49" i="3"/>
  <c r="I47" i="3"/>
  <c r="I69" i="3"/>
  <c r="I80" i="3"/>
  <c r="I37" i="3"/>
  <c r="I88" i="3"/>
  <c r="I70" i="3"/>
  <c r="I79" i="3"/>
  <c r="I66" i="3"/>
  <c r="I52" i="3"/>
  <c r="I68" i="3"/>
  <c r="I55" i="3"/>
  <c r="I71" i="3"/>
  <c r="I61" i="3"/>
  <c r="I76" i="3"/>
  <c r="I63" i="3"/>
  <c r="I56" i="3"/>
  <c r="I83" i="3"/>
  <c r="I67" i="3"/>
  <c r="I60" i="3"/>
  <c r="I54" i="3"/>
  <c r="I75" i="3"/>
  <c r="I84" i="3"/>
  <c r="I97" i="3"/>
  <c r="I74" i="3"/>
  <c r="I77" i="3"/>
  <c r="I103" i="3"/>
  <c r="I78" i="3"/>
  <c r="I104" i="3"/>
  <c r="I92" i="3"/>
  <c r="I82" i="3"/>
  <c r="I107" i="3"/>
  <c r="I98" i="3"/>
  <c r="I89" i="3"/>
  <c r="I109" i="3"/>
  <c r="I81" i="3"/>
  <c r="I101" i="3"/>
  <c r="I90" i="3"/>
  <c r="I110" i="3"/>
  <c r="I105" i="3"/>
  <c r="I93" i="3"/>
  <c r="I91" i="3"/>
  <c r="I86" i="3"/>
  <c r="I106" i="3"/>
  <c r="I115" i="3"/>
  <c r="I113" i="3"/>
  <c r="I94" i="3"/>
  <c r="I96" i="3"/>
  <c r="I116" i="3"/>
  <c r="I114" i="3"/>
  <c r="I118" i="3"/>
  <c r="I87" i="3"/>
  <c r="I117" i="3"/>
  <c r="I95" i="3"/>
  <c r="I102" i="3"/>
  <c r="I112" i="3"/>
  <c r="I111" i="3"/>
  <c r="I120" i="3"/>
  <c r="I122" i="3"/>
  <c r="I125" i="3"/>
  <c r="I124" i="3"/>
  <c r="I121" i="3"/>
  <c r="I119" i="3"/>
  <c r="I128" i="3"/>
  <c r="I127" i="3"/>
  <c r="I123" i="3"/>
  <c r="I126" i="3"/>
  <c r="I132" i="3"/>
  <c r="I131" i="3"/>
  <c r="I129" i="3"/>
  <c r="J4" i="3"/>
  <c r="J8" i="3"/>
  <c r="J6" i="3"/>
  <c r="J7" i="3"/>
  <c r="J9" i="3"/>
  <c r="J11" i="3"/>
  <c r="J12" i="3"/>
  <c r="J13" i="3"/>
  <c r="J10" i="3"/>
  <c r="J17" i="3"/>
  <c r="J15" i="3"/>
  <c r="J32" i="3"/>
  <c r="J20" i="3"/>
  <c r="J23" i="3"/>
  <c r="J39" i="3"/>
  <c r="J19" i="3"/>
  <c r="J22" i="3"/>
  <c r="J27" i="3"/>
  <c r="J18" i="3"/>
  <c r="J21" i="3"/>
  <c r="J30" i="3"/>
  <c r="J16" i="3"/>
  <c r="J48" i="3"/>
  <c r="J28" i="3"/>
  <c r="J36" i="3"/>
  <c r="J25" i="3"/>
  <c r="J46" i="3"/>
  <c r="J64" i="3"/>
  <c r="J29" i="3"/>
  <c r="J57" i="3"/>
  <c r="J43" i="3"/>
  <c r="J35" i="3"/>
  <c r="J33" i="3"/>
  <c r="J41" i="3"/>
  <c r="J38" i="3"/>
  <c r="J50" i="3"/>
  <c r="J24" i="3"/>
  <c r="J59" i="3"/>
  <c r="J26" i="3"/>
  <c r="J62" i="3"/>
  <c r="J42" i="3"/>
  <c r="J51" i="3"/>
  <c r="J34" i="3"/>
  <c r="J45" i="3"/>
  <c r="J40" i="3"/>
  <c r="J31" i="3"/>
  <c r="J58" i="3"/>
  <c r="J53" i="3"/>
  <c r="J99" i="3"/>
  <c r="J72" i="3"/>
  <c r="J49" i="3"/>
  <c r="J47" i="3"/>
  <c r="J69" i="3"/>
  <c r="J80" i="3"/>
  <c r="J37" i="3"/>
  <c r="J88" i="3"/>
  <c r="J70" i="3"/>
  <c r="J79" i="3"/>
  <c r="J66" i="3"/>
  <c r="J52" i="3"/>
  <c r="J68" i="3"/>
  <c r="J55" i="3"/>
  <c r="J71" i="3"/>
  <c r="J61" i="3"/>
  <c r="J76" i="3"/>
  <c r="J63" i="3"/>
  <c r="J56" i="3"/>
  <c r="J83" i="3"/>
  <c r="J67" i="3"/>
  <c r="J60" i="3"/>
  <c r="J54" i="3"/>
  <c r="J75" i="3"/>
  <c r="J84" i="3"/>
  <c r="J97" i="3"/>
  <c r="J74" i="3"/>
  <c r="J77" i="3"/>
  <c r="J103" i="3"/>
  <c r="J78" i="3"/>
  <c r="J104" i="3"/>
  <c r="J92" i="3"/>
  <c r="J82" i="3"/>
  <c r="J107" i="3"/>
  <c r="J98" i="3"/>
  <c r="J89" i="3"/>
  <c r="J109" i="3"/>
  <c r="J81" i="3"/>
  <c r="J101" i="3"/>
  <c r="J90" i="3"/>
  <c r="J110" i="3"/>
  <c r="J105" i="3"/>
  <c r="J93" i="3"/>
  <c r="J91" i="3"/>
  <c r="J86" i="3"/>
  <c r="J106" i="3"/>
  <c r="J115" i="3"/>
  <c r="J113" i="3"/>
  <c r="J94" i="3"/>
  <c r="J96" i="3"/>
  <c r="J116" i="3"/>
  <c r="J114" i="3"/>
  <c r="J118" i="3"/>
  <c r="J87" i="3"/>
  <c r="J117" i="3"/>
  <c r="J95" i="3"/>
  <c r="J102" i="3"/>
  <c r="J112" i="3"/>
  <c r="J111" i="3"/>
  <c r="J120" i="3"/>
  <c r="J122" i="3"/>
  <c r="J125" i="3"/>
  <c r="J124" i="3"/>
  <c r="J121" i="3"/>
  <c r="J119" i="3"/>
  <c r="J128" i="3"/>
  <c r="J127" i="3"/>
  <c r="J123" i="3"/>
  <c r="J126" i="3"/>
  <c r="J132" i="3"/>
  <c r="J131" i="3"/>
  <c r="J129" i="3"/>
  <c r="K4" i="3"/>
  <c r="K8" i="3"/>
  <c r="K6" i="3"/>
  <c r="K7" i="3"/>
  <c r="K9" i="3"/>
  <c r="K11" i="3"/>
  <c r="K12" i="3"/>
  <c r="K13" i="3"/>
  <c r="K10" i="3"/>
  <c r="K17" i="3"/>
  <c r="K15" i="3"/>
  <c r="K32" i="3"/>
  <c r="K20" i="3"/>
  <c r="K23" i="3"/>
  <c r="K39" i="3"/>
  <c r="K19" i="3"/>
  <c r="K22" i="3"/>
  <c r="K27" i="3"/>
  <c r="K18" i="3"/>
  <c r="K21" i="3"/>
  <c r="K16" i="3"/>
  <c r="K48" i="3"/>
  <c r="K28" i="3"/>
  <c r="K36" i="3"/>
  <c r="K25" i="3"/>
  <c r="K46" i="3"/>
  <c r="K29" i="3"/>
  <c r="K57" i="3"/>
  <c r="K43" i="3"/>
  <c r="K35" i="3"/>
  <c r="K33" i="3"/>
  <c r="K41" i="3"/>
  <c r="K38" i="3"/>
  <c r="K50" i="3"/>
  <c r="K24" i="3"/>
  <c r="K59" i="3"/>
  <c r="K26" i="3"/>
  <c r="K62" i="3"/>
  <c r="K42" i="3"/>
  <c r="K51" i="3"/>
  <c r="K34" i="3"/>
  <c r="K45" i="3"/>
  <c r="K40" i="3"/>
  <c r="K31" i="3"/>
  <c r="K58" i="3"/>
  <c r="K53" i="3"/>
  <c r="K44" i="3"/>
  <c r="K99" i="3"/>
  <c r="K72" i="3"/>
  <c r="K49" i="3"/>
  <c r="K47" i="3"/>
  <c r="K69" i="3"/>
  <c r="K37" i="3"/>
  <c r="K88" i="3"/>
  <c r="K70" i="3"/>
  <c r="K79" i="3"/>
  <c r="K66" i="3"/>
  <c r="K52" i="3"/>
  <c r="K68" i="3"/>
  <c r="K55" i="3"/>
  <c r="K71" i="3"/>
  <c r="K61" i="3"/>
  <c r="K76" i="3"/>
  <c r="K63" i="3"/>
  <c r="K56" i="3"/>
  <c r="K83" i="3"/>
  <c r="K67" i="3"/>
  <c r="K60" i="3"/>
  <c r="K54" i="3"/>
  <c r="K75" i="3"/>
  <c r="K84" i="3"/>
  <c r="K97" i="3"/>
  <c r="K74" i="3"/>
  <c r="K77" i="3"/>
  <c r="K103" i="3"/>
  <c r="K78" i="3"/>
  <c r="K104" i="3"/>
  <c r="K85" i="3"/>
  <c r="K92" i="3"/>
  <c r="K82" i="3"/>
  <c r="K107" i="3"/>
  <c r="K98" i="3"/>
  <c r="K89" i="3"/>
  <c r="K109" i="3"/>
  <c r="K81" i="3"/>
  <c r="K101" i="3"/>
  <c r="K90" i="3"/>
  <c r="K110" i="3"/>
  <c r="K105" i="3"/>
  <c r="K93" i="3"/>
  <c r="K91" i="3"/>
  <c r="K86" i="3"/>
  <c r="K106" i="3"/>
  <c r="K115" i="3"/>
  <c r="K113" i="3"/>
  <c r="K94" i="3"/>
  <c r="K96" i="3"/>
  <c r="K116" i="3"/>
  <c r="K114" i="3"/>
  <c r="K100" i="3"/>
  <c r="K118" i="3"/>
  <c r="K117" i="3"/>
  <c r="K95" i="3"/>
  <c r="K102" i="3"/>
  <c r="K112" i="3"/>
  <c r="K111" i="3"/>
  <c r="K120" i="3"/>
  <c r="K122" i="3"/>
  <c r="K125" i="3"/>
  <c r="K121" i="3"/>
  <c r="K119" i="3"/>
  <c r="K127" i="3"/>
  <c r="K123" i="3"/>
  <c r="K126" i="3"/>
  <c r="K132" i="3"/>
  <c r="K129" i="3"/>
  <c r="K5" i="3"/>
  <c r="J5" i="3"/>
  <c r="I5" i="3"/>
  <c r="H5" i="3"/>
  <c r="C23" i="3"/>
  <c r="C48" i="3"/>
  <c r="C36" i="3"/>
  <c r="C46" i="3"/>
  <c r="C64" i="3"/>
  <c r="C34" i="3"/>
  <c r="C44" i="3"/>
  <c r="C37" i="3"/>
  <c r="C79" i="3"/>
  <c r="C61" i="3"/>
  <c r="C76" i="3"/>
  <c r="C74" i="3"/>
  <c r="C108" i="3"/>
  <c r="C109" i="3"/>
  <c r="C81" i="3"/>
  <c r="C90" i="3"/>
  <c r="C105" i="3"/>
  <c r="C93" i="3"/>
  <c r="C115" i="3"/>
  <c r="C113" i="3"/>
  <c r="C94" i="3"/>
  <c r="C100" i="3"/>
  <c r="C102" i="3"/>
  <c r="C127" i="3"/>
  <c r="C4" i="3"/>
  <c r="C8" i="3"/>
  <c r="C6" i="3"/>
  <c r="C7" i="3"/>
  <c r="C9" i="3"/>
  <c r="C11" i="3"/>
  <c r="C12" i="3"/>
  <c r="C13" i="3"/>
  <c r="C10" i="3"/>
  <c r="C17" i="3"/>
  <c r="C15" i="3"/>
  <c r="C32" i="3"/>
  <c r="C20" i="3"/>
  <c r="C39" i="3"/>
  <c r="C19" i="3"/>
  <c r="C22" i="3"/>
  <c r="C27" i="3"/>
  <c r="C18" i="3"/>
  <c r="C21" i="3"/>
  <c r="C14" i="3"/>
  <c r="C30" i="3"/>
  <c r="C16" i="3"/>
  <c r="C28" i="3"/>
  <c r="C25" i="3"/>
  <c r="C29" i="3"/>
  <c r="C57" i="3"/>
  <c r="C43" i="3"/>
  <c r="C35" i="3"/>
  <c r="C33" i="3"/>
  <c r="C41" i="3"/>
  <c r="C38" i="3"/>
  <c r="C50" i="3"/>
  <c r="C24" i="3"/>
  <c r="C59" i="3"/>
  <c r="C26" i="3"/>
  <c r="C62" i="3"/>
  <c r="C42" i="3"/>
  <c r="C51" i="3"/>
  <c r="C45" i="3"/>
  <c r="C40" i="3"/>
  <c r="C31" i="3"/>
  <c r="C65" i="3"/>
  <c r="C58" i="3"/>
  <c r="C53" i="3"/>
  <c r="C99" i="3"/>
  <c r="C72" i="3"/>
  <c r="C49" i="3"/>
  <c r="C47" i="3"/>
  <c r="C69" i="3"/>
  <c r="C80" i="3"/>
  <c r="C88" i="3"/>
  <c r="C70" i="3"/>
  <c r="C66" i="3"/>
  <c r="C52" i="3"/>
  <c r="C68" i="3"/>
  <c r="C73" i="3"/>
  <c r="C55" i="3"/>
  <c r="C71" i="3"/>
  <c r="C63" i="3"/>
  <c r="C56" i="3"/>
  <c r="C83" i="3"/>
  <c r="C67" i="3"/>
  <c r="C60" i="3"/>
  <c r="C54" i="3"/>
  <c r="C75" i="3"/>
  <c r="C84" i="3"/>
  <c r="C97" i="3"/>
  <c r="C77" i="3"/>
  <c r="C103" i="3"/>
  <c r="C78" i="3"/>
  <c r="C104" i="3"/>
  <c r="C85" i="3"/>
  <c r="C92" i="3"/>
  <c r="C82" i="3"/>
  <c r="C107" i="3"/>
  <c r="C98" i="3"/>
  <c r="C89" i="3"/>
  <c r="C101" i="3"/>
  <c r="C110" i="3"/>
  <c r="C91" i="3"/>
  <c r="C86" i="3"/>
  <c r="C106" i="3"/>
  <c r="C96" i="3"/>
  <c r="C116" i="3"/>
  <c r="C114" i="3"/>
  <c r="C118" i="3"/>
  <c r="C87" i="3"/>
  <c r="C117" i="3"/>
  <c r="C95" i="3"/>
  <c r="C112" i="3"/>
  <c r="C111" i="3"/>
  <c r="C120" i="3"/>
  <c r="C122" i="3"/>
  <c r="C125" i="3"/>
  <c r="C124" i="3"/>
  <c r="C121" i="3"/>
  <c r="C119" i="3"/>
  <c r="C128" i="3"/>
  <c r="C123" i="3"/>
  <c r="C126" i="3"/>
  <c r="C132" i="3"/>
  <c r="C130" i="3"/>
  <c r="C131" i="3"/>
  <c r="C129" i="3"/>
  <c r="C133" i="3"/>
  <c r="C5" i="3"/>
  <c r="D127" i="3"/>
  <c r="D102" i="3"/>
  <c r="D100" i="3"/>
  <c r="D94" i="3"/>
  <c r="D113" i="3"/>
  <c r="D115" i="3"/>
  <c r="D93" i="3"/>
  <c r="D105" i="3"/>
  <c r="D90" i="3"/>
  <c r="D81" i="3"/>
  <c r="D109" i="3"/>
  <c r="D108" i="3"/>
  <c r="D74" i="3"/>
  <c r="D76" i="3"/>
  <c r="D61" i="3"/>
  <c r="D79" i="3"/>
  <c r="D37" i="3"/>
  <c r="D44" i="3"/>
  <c r="D34" i="3"/>
  <c r="D64" i="3"/>
  <c r="D46" i="3"/>
  <c r="E46" i="3"/>
  <c r="D36" i="3"/>
  <c r="E36" i="3"/>
  <c r="D48" i="3"/>
  <c r="E48" i="3"/>
  <c r="D23" i="3"/>
  <c r="E23" i="3"/>
  <c r="D4" i="3"/>
  <c r="D8" i="3"/>
  <c r="D6" i="3"/>
  <c r="D7" i="3"/>
  <c r="D9" i="3"/>
  <c r="D11" i="3"/>
  <c r="D12" i="3"/>
  <c r="D13" i="3"/>
  <c r="D10" i="3"/>
  <c r="D17" i="3"/>
  <c r="D15" i="3"/>
  <c r="D32" i="3"/>
  <c r="D20" i="3"/>
  <c r="D39" i="3"/>
  <c r="D19" i="3"/>
  <c r="D22" i="3"/>
  <c r="D27" i="3"/>
  <c r="D18" i="3"/>
  <c r="D21" i="3"/>
  <c r="D14" i="3"/>
  <c r="D30" i="3"/>
  <c r="D16" i="3"/>
  <c r="D28" i="3"/>
  <c r="D25" i="3"/>
  <c r="D29" i="3"/>
  <c r="D57" i="3"/>
  <c r="D43" i="3"/>
  <c r="D35" i="3"/>
  <c r="D33" i="3"/>
  <c r="D41" i="3"/>
  <c r="D38" i="3"/>
  <c r="D50" i="3"/>
  <c r="D24" i="3"/>
  <c r="D59" i="3"/>
  <c r="D26" i="3"/>
  <c r="D62" i="3"/>
  <c r="D42" i="3"/>
  <c r="D51" i="3"/>
  <c r="D45" i="3"/>
  <c r="D40" i="3"/>
  <c r="D31" i="3"/>
  <c r="D65" i="3"/>
  <c r="D58" i="3"/>
  <c r="D53" i="3"/>
  <c r="D99" i="3"/>
  <c r="D72" i="3"/>
  <c r="D49" i="3"/>
  <c r="D47" i="3"/>
  <c r="D69" i="3"/>
  <c r="D80" i="3"/>
  <c r="D88" i="3"/>
  <c r="D70" i="3"/>
  <c r="D66" i="3"/>
  <c r="D52" i="3"/>
  <c r="D68" i="3"/>
  <c r="D73" i="3"/>
  <c r="D55" i="3"/>
  <c r="D71" i="3"/>
  <c r="D63" i="3"/>
  <c r="D56" i="3"/>
  <c r="D83" i="3"/>
  <c r="D67" i="3"/>
  <c r="D60" i="3"/>
  <c r="D54" i="3"/>
  <c r="D75" i="3"/>
  <c r="D84" i="3"/>
  <c r="D97" i="3"/>
  <c r="D77" i="3"/>
  <c r="D103" i="3"/>
  <c r="D78" i="3"/>
  <c r="D104" i="3"/>
  <c r="D85" i="3"/>
  <c r="D92" i="3"/>
  <c r="D82" i="3"/>
  <c r="D107" i="3"/>
  <c r="D98" i="3"/>
  <c r="D89" i="3"/>
  <c r="D101" i="3"/>
  <c r="D110" i="3"/>
  <c r="D91" i="3"/>
  <c r="D86" i="3"/>
  <c r="D106" i="3"/>
  <c r="D96" i="3"/>
  <c r="D116" i="3"/>
  <c r="D114" i="3"/>
  <c r="D118" i="3"/>
  <c r="D87" i="3"/>
  <c r="D117" i="3"/>
  <c r="D95" i="3"/>
  <c r="D112" i="3"/>
  <c r="D111" i="3"/>
  <c r="D120" i="3"/>
  <c r="D122" i="3"/>
  <c r="D125" i="3"/>
  <c r="D124" i="3"/>
  <c r="D121" i="3"/>
  <c r="D119" i="3"/>
  <c r="D128" i="3"/>
  <c r="D123" i="3"/>
  <c r="D126" i="3"/>
  <c r="D132" i="3"/>
  <c r="D130" i="3"/>
  <c r="D131" i="3"/>
  <c r="D129" i="3"/>
  <c r="D133" i="3"/>
  <c r="D5" i="3"/>
  <c r="G127" i="3"/>
  <c r="F127" i="3"/>
  <c r="E127" i="3"/>
  <c r="G102" i="3"/>
  <c r="F102" i="3"/>
  <c r="E102" i="3"/>
  <c r="G100" i="3"/>
  <c r="F100" i="3"/>
  <c r="E100" i="3"/>
  <c r="G94" i="3"/>
  <c r="F94" i="3"/>
  <c r="E94" i="3"/>
  <c r="G113" i="3"/>
  <c r="F113" i="3"/>
  <c r="E113" i="3"/>
  <c r="G115" i="3"/>
  <c r="F115" i="3"/>
  <c r="E115" i="3"/>
  <c r="G93" i="3"/>
  <c r="F93" i="3"/>
  <c r="E93" i="3"/>
  <c r="G105" i="3"/>
  <c r="F105" i="3"/>
  <c r="E105" i="3"/>
  <c r="G90" i="3"/>
  <c r="F90" i="3"/>
  <c r="E90" i="3"/>
  <c r="G81" i="3"/>
  <c r="F81" i="3"/>
  <c r="E81" i="3"/>
  <c r="G109" i="3"/>
  <c r="F109" i="3"/>
  <c r="E109" i="3"/>
  <c r="G108" i="3"/>
  <c r="F108" i="3"/>
  <c r="E108" i="3"/>
  <c r="G74" i="3"/>
  <c r="F74" i="3"/>
  <c r="E74" i="3"/>
  <c r="G76" i="3"/>
  <c r="F76" i="3"/>
  <c r="E76" i="3"/>
  <c r="G61" i="3"/>
  <c r="F61" i="3"/>
  <c r="E61" i="3"/>
  <c r="G34" i="3"/>
  <c r="F34" i="3"/>
  <c r="E34" i="3"/>
  <c r="G79" i="3"/>
  <c r="F79" i="3"/>
  <c r="E79" i="3"/>
  <c r="G37" i="3"/>
  <c r="F37" i="3"/>
  <c r="E37" i="3"/>
  <c r="G44" i="3"/>
  <c r="F44" i="3"/>
  <c r="E44" i="3"/>
  <c r="G64" i="3"/>
  <c r="F64" i="3"/>
  <c r="E64" i="3"/>
  <c r="G46" i="3"/>
  <c r="F46" i="3"/>
  <c r="G36" i="3"/>
  <c r="F36" i="3"/>
  <c r="G48" i="3"/>
  <c r="F48" i="3"/>
  <c r="G23" i="3"/>
  <c r="F23" i="3"/>
  <c r="G4" i="3"/>
  <c r="G8" i="3"/>
  <c r="G6" i="3"/>
  <c r="G7" i="3"/>
  <c r="G9" i="3"/>
  <c r="G11" i="3"/>
  <c r="G12" i="3"/>
  <c r="G13" i="3"/>
  <c r="G10" i="3"/>
  <c r="G17" i="3"/>
  <c r="G15" i="3"/>
  <c r="G32" i="3"/>
  <c r="G20" i="3"/>
  <c r="G39" i="3"/>
  <c r="G19" i="3"/>
  <c r="G22" i="3"/>
  <c r="G27" i="3"/>
  <c r="G18" i="3"/>
  <c r="G21" i="3"/>
  <c r="G14" i="3"/>
  <c r="G30" i="3"/>
  <c r="G16" i="3"/>
  <c r="G28" i="3"/>
  <c r="G25" i="3"/>
  <c r="G29" i="3"/>
  <c r="G57" i="3"/>
  <c r="G43" i="3"/>
  <c r="G35" i="3"/>
  <c r="G33" i="3"/>
  <c r="G41" i="3"/>
  <c r="G38" i="3"/>
  <c r="G50" i="3"/>
  <c r="G24" i="3"/>
  <c r="G59" i="3"/>
  <c r="G26" i="3"/>
  <c r="G62" i="3"/>
  <c r="G42" i="3"/>
  <c r="G51" i="3"/>
  <c r="G45" i="3"/>
  <c r="G40" i="3"/>
  <c r="G31" i="3"/>
  <c r="G65" i="3"/>
  <c r="G58" i="3"/>
  <c r="G53" i="3"/>
  <c r="G99" i="3"/>
  <c r="G72" i="3"/>
  <c r="G49" i="3"/>
  <c r="G47" i="3"/>
  <c r="G69" i="3"/>
  <c r="G80" i="3"/>
  <c r="G88" i="3"/>
  <c r="G70" i="3"/>
  <c r="G66" i="3"/>
  <c r="G52" i="3"/>
  <c r="G68" i="3"/>
  <c r="G73" i="3"/>
  <c r="G55" i="3"/>
  <c r="G71" i="3"/>
  <c r="G63" i="3"/>
  <c r="G56" i="3"/>
  <c r="G83" i="3"/>
  <c r="G67" i="3"/>
  <c r="G60" i="3"/>
  <c r="G54" i="3"/>
  <c r="G75" i="3"/>
  <c r="G84" i="3"/>
  <c r="G97" i="3"/>
  <c r="G77" i="3"/>
  <c r="G103" i="3"/>
  <c r="G78" i="3"/>
  <c r="G104" i="3"/>
  <c r="G85" i="3"/>
  <c r="G92" i="3"/>
  <c r="G82" i="3"/>
  <c r="G107" i="3"/>
  <c r="G98" i="3"/>
  <c r="G89" i="3"/>
  <c r="G101" i="3"/>
  <c r="G110" i="3"/>
  <c r="G91" i="3"/>
  <c r="G86" i="3"/>
  <c r="G106" i="3"/>
  <c r="G96" i="3"/>
  <c r="G116" i="3"/>
  <c r="G114" i="3"/>
  <c r="G118" i="3"/>
  <c r="G87" i="3"/>
  <c r="G117" i="3"/>
  <c r="G95" i="3"/>
  <c r="G112" i="3"/>
  <c r="G111" i="3"/>
  <c r="G120" i="3"/>
  <c r="G122" i="3"/>
  <c r="G125" i="3"/>
  <c r="G124" i="3"/>
  <c r="G121" i="3"/>
  <c r="G119" i="3"/>
  <c r="G128" i="3"/>
  <c r="G123" i="3"/>
  <c r="G126" i="3"/>
  <c r="G132" i="3"/>
  <c r="G130" i="3"/>
  <c r="G131" i="3"/>
  <c r="G129" i="3"/>
  <c r="G133" i="3"/>
  <c r="G5" i="3"/>
  <c r="F4" i="3"/>
  <c r="F8" i="3"/>
  <c r="F6" i="3"/>
  <c r="F7" i="3"/>
  <c r="F9" i="3"/>
  <c r="F11" i="3"/>
  <c r="F12" i="3"/>
  <c r="F13" i="3"/>
  <c r="F10" i="3"/>
  <c r="F17" i="3"/>
  <c r="F15" i="3"/>
  <c r="F32" i="3"/>
  <c r="F20" i="3"/>
  <c r="F39" i="3"/>
  <c r="F19" i="3"/>
  <c r="F22" i="3"/>
  <c r="F27" i="3"/>
  <c r="F18" i="3"/>
  <c r="F21" i="3"/>
  <c r="F14" i="3"/>
  <c r="F30" i="3"/>
  <c r="F16" i="3"/>
  <c r="F28" i="3"/>
  <c r="F25" i="3"/>
  <c r="F29" i="3"/>
  <c r="F57" i="3"/>
  <c r="F43" i="3"/>
  <c r="F35" i="3"/>
  <c r="F33" i="3"/>
  <c r="F41" i="3"/>
  <c r="F38" i="3"/>
  <c r="F50" i="3"/>
  <c r="F24" i="3"/>
  <c r="F59" i="3"/>
  <c r="F26" i="3"/>
  <c r="F62" i="3"/>
  <c r="F42" i="3"/>
  <c r="F51" i="3"/>
  <c r="F45" i="3"/>
  <c r="F40" i="3"/>
  <c r="F31" i="3"/>
  <c r="F65" i="3"/>
  <c r="F58" i="3"/>
  <c r="F53" i="3"/>
  <c r="F99" i="3"/>
  <c r="F72" i="3"/>
  <c r="F49" i="3"/>
  <c r="F47" i="3"/>
  <c r="F69" i="3"/>
  <c r="F80" i="3"/>
  <c r="F88" i="3"/>
  <c r="F70" i="3"/>
  <c r="F66" i="3"/>
  <c r="F52" i="3"/>
  <c r="F68" i="3"/>
  <c r="F73" i="3"/>
  <c r="F55" i="3"/>
  <c r="F71" i="3"/>
  <c r="F63" i="3"/>
  <c r="F56" i="3"/>
  <c r="F83" i="3"/>
  <c r="F67" i="3"/>
  <c r="F60" i="3"/>
  <c r="F54" i="3"/>
  <c r="F75" i="3"/>
  <c r="F84" i="3"/>
  <c r="F97" i="3"/>
  <c r="F77" i="3"/>
  <c r="F103" i="3"/>
  <c r="F78" i="3"/>
  <c r="F104" i="3"/>
  <c r="F85" i="3"/>
  <c r="F92" i="3"/>
  <c r="F82" i="3"/>
  <c r="F107" i="3"/>
  <c r="F98" i="3"/>
  <c r="F89" i="3"/>
  <c r="F101" i="3"/>
  <c r="F110" i="3"/>
  <c r="F91" i="3"/>
  <c r="F86" i="3"/>
  <c r="F106" i="3"/>
  <c r="F96" i="3"/>
  <c r="F116" i="3"/>
  <c r="F114" i="3"/>
  <c r="F118" i="3"/>
  <c r="F87" i="3"/>
  <c r="F117" i="3"/>
  <c r="F95" i="3"/>
  <c r="F112" i="3"/>
  <c r="F111" i="3"/>
  <c r="F120" i="3"/>
  <c r="F122" i="3"/>
  <c r="F125" i="3"/>
  <c r="F124" i="3"/>
  <c r="F121" i="3"/>
  <c r="F119" i="3"/>
  <c r="F128" i="3"/>
  <c r="F123" i="3"/>
  <c r="F126" i="3"/>
  <c r="F132" i="3"/>
  <c r="F130" i="3"/>
  <c r="F131" i="3"/>
  <c r="F129" i="3"/>
  <c r="F133" i="3"/>
  <c r="F5" i="3"/>
  <c r="E8" i="3"/>
  <c r="E6" i="3"/>
  <c r="E7" i="3"/>
  <c r="E9" i="3"/>
  <c r="E11" i="3"/>
  <c r="E12" i="3"/>
  <c r="E13" i="3"/>
  <c r="E10" i="3"/>
  <c r="E17" i="3"/>
  <c r="E15" i="3"/>
  <c r="E32" i="3"/>
  <c r="E20" i="3"/>
  <c r="E39" i="3"/>
  <c r="E19" i="3"/>
  <c r="E22" i="3"/>
  <c r="E27" i="3"/>
  <c r="E18" i="3"/>
  <c r="E21" i="3"/>
  <c r="E14" i="3"/>
  <c r="E30" i="3"/>
  <c r="E16" i="3"/>
  <c r="E28" i="3"/>
  <c r="E25" i="3"/>
  <c r="E29" i="3"/>
  <c r="E57" i="3"/>
  <c r="E43" i="3"/>
  <c r="E35" i="3"/>
  <c r="E33" i="3"/>
  <c r="E41" i="3"/>
  <c r="E38" i="3"/>
  <c r="E50" i="3"/>
  <c r="E24" i="3"/>
  <c r="E59" i="3"/>
  <c r="E26" i="3"/>
  <c r="E62" i="3"/>
  <c r="E42" i="3"/>
  <c r="E51" i="3"/>
  <c r="E45" i="3"/>
  <c r="E40" i="3"/>
  <c r="E31" i="3"/>
  <c r="E65" i="3"/>
  <c r="E58" i="3"/>
  <c r="E53" i="3"/>
  <c r="E99" i="3"/>
  <c r="E72" i="3"/>
  <c r="E49" i="3"/>
  <c r="E47" i="3"/>
  <c r="E69" i="3"/>
  <c r="E80" i="3"/>
  <c r="E88" i="3"/>
  <c r="E70" i="3"/>
  <c r="E66" i="3"/>
  <c r="E52" i="3"/>
  <c r="E68" i="3"/>
  <c r="E73" i="3"/>
  <c r="E55" i="3"/>
  <c r="E71" i="3"/>
  <c r="E63" i="3"/>
  <c r="E56" i="3"/>
  <c r="E83" i="3"/>
  <c r="E67" i="3"/>
  <c r="E60" i="3"/>
  <c r="E54" i="3"/>
  <c r="E75" i="3"/>
  <c r="E84" i="3"/>
  <c r="E97" i="3"/>
  <c r="E77" i="3"/>
  <c r="E103" i="3"/>
  <c r="E78" i="3"/>
  <c r="E104" i="3"/>
  <c r="E85" i="3"/>
  <c r="E92" i="3"/>
  <c r="E82" i="3"/>
  <c r="E107" i="3"/>
  <c r="E98" i="3"/>
  <c r="E89" i="3"/>
  <c r="E101" i="3"/>
  <c r="E110" i="3"/>
  <c r="E91" i="3"/>
  <c r="E86" i="3"/>
  <c r="E106" i="3"/>
  <c r="E96" i="3"/>
  <c r="E116" i="3"/>
  <c r="E114" i="3"/>
  <c r="E118" i="3"/>
  <c r="E87" i="3"/>
  <c r="E117" i="3"/>
  <c r="E95" i="3"/>
  <c r="E112" i="3"/>
  <c r="E111" i="3"/>
  <c r="E120" i="3"/>
  <c r="E122" i="3"/>
  <c r="E125" i="3"/>
  <c r="E124" i="3"/>
  <c r="E121" i="3"/>
  <c r="E119" i="3"/>
  <c r="E128" i="3"/>
  <c r="E123" i="3"/>
  <c r="E126" i="3"/>
  <c r="E132" i="3"/>
  <c r="E130" i="3"/>
  <c r="E131" i="3"/>
  <c r="E129" i="3"/>
  <c r="E133" i="3"/>
  <c r="E5" i="3"/>
  <c r="E4" i="3"/>
  <c r="L133" i="3" l="1"/>
  <c r="M5" i="3"/>
  <c r="P121" i="3"/>
  <c r="P56" i="3"/>
  <c r="P47" i="3"/>
  <c r="P74" i="3"/>
  <c r="L132" i="3"/>
  <c r="L95" i="3"/>
  <c r="L86" i="3"/>
  <c r="L89" i="3"/>
  <c r="L92" i="3"/>
  <c r="L103" i="3"/>
  <c r="L75" i="3"/>
  <c r="L83" i="3"/>
  <c r="L55" i="3"/>
  <c r="L66" i="3"/>
  <c r="L69" i="3"/>
  <c r="L99" i="3"/>
  <c r="L31" i="3"/>
  <c r="L42" i="3"/>
  <c r="L24" i="3"/>
  <c r="L33" i="3"/>
  <c r="L29" i="3"/>
  <c r="L30" i="3"/>
  <c r="L27" i="3"/>
  <c r="L20" i="3"/>
  <c r="L10" i="3"/>
  <c r="L9" i="3"/>
  <c r="M130" i="3"/>
  <c r="M128" i="3"/>
  <c r="M125" i="3"/>
  <c r="M112" i="3"/>
  <c r="M118" i="3"/>
  <c r="M106" i="3"/>
  <c r="M101" i="3"/>
  <c r="M82" i="3"/>
  <c r="M78" i="3"/>
  <c r="M84" i="3"/>
  <c r="M67" i="3"/>
  <c r="M71" i="3"/>
  <c r="M52" i="3"/>
  <c r="M80" i="3"/>
  <c r="M72" i="3"/>
  <c r="M65" i="3"/>
  <c r="M51" i="3"/>
  <c r="M59" i="3"/>
  <c r="M41" i="3"/>
  <c r="M57" i="3"/>
  <c r="M16" i="3"/>
  <c r="M18" i="3"/>
  <c r="M39" i="3"/>
  <c r="M17" i="3"/>
  <c r="M11" i="3"/>
  <c r="M8" i="3"/>
  <c r="N129" i="3"/>
  <c r="N126" i="3"/>
  <c r="N121" i="3"/>
  <c r="N120" i="3"/>
  <c r="N117" i="3"/>
  <c r="N116" i="3"/>
  <c r="N91" i="3"/>
  <c r="N98" i="3"/>
  <c r="N85" i="3"/>
  <c r="N77" i="3"/>
  <c r="N70" i="3"/>
  <c r="N53" i="3"/>
  <c r="N40" i="3"/>
  <c r="N32" i="3"/>
  <c r="N13" i="3"/>
  <c r="N7" i="3"/>
  <c r="M44" i="3"/>
  <c r="N37" i="3"/>
  <c r="N81" i="3"/>
  <c r="N102" i="3"/>
  <c r="L129" i="3"/>
  <c r="L126" i="3"/>
  <c r="L121" i="3"/>
  <c r="L120" i="3"/>
  <c r="L117" i="3"/>
  <c r="L116" i="3"/>
  <c r="L91" i="3"/>
  <c r="L98" i="3"/>
  <c r="L85" i="3"/>
  <c r="L77" i="3"/>
  <c r="L54" i="3"/>
  <c r="L56" i="3"/>
  <c r="L73" i="3"/>
  <c r="L70" i="3"/>
  <c r="L47" i="3"/>
  <c r="L53" i="3"/>
  <c r="L40" i="3"/>
  <c r="L62" i="3"/>
  <c r="L50" i="3"/>
  <c r="L35" i="3"/>
  <c r="L25" i="3"/>
  <c r="L14" i="3"/>
  <c r="L22" i="3"/>
  <c r="L32" i="3"/>
  <c r="L13" i="3"/>
  <c r="L7" i="3"/>
  <c r="M133" i="3"/>
  <c r="M132" i="3"/>
  <c r="M119" i="3"/>
  <c r="M122" i="3"/>
  <c r="M95" i="3"/>
  <c r="M114" i="3"/>
  <c r="M86" i="3"/>
  <c r="M89" i="3"/>
  <c r="M92" i="3"/>
  <c r="M103" i="3"/>
  <c r="M75" i="3"/>
  <c r="M83" i="3"/>
  <c r="M55" i="3"/>
  <c r="M66" i="3"/>
  <c r="M69" i="3"/>
  <c r="M99" i="3"/>
  <c r="M31" i="3"/>
  <c r="M42" i="3"/>
  <c r="M24" i="3"/>
  <c r="M33" i="3"/>
  <c r="M29" i="3"/>
  <c r="M30" i="3"/>
  <c r="M27" i="3"/>
  <c r="M4" i="3"/>
  <c r="N131" i="3"/>
  <c r="N123" i="3"/>
  <c r="N124" i="3"/>
  <c r="N111" i="3"/>
  <c r="N87" i="3"/>
  <c r="N96" i="3"/>
  <c r="N97" i="3"/>
  <c r="N60" i="3"/>
  <c r="N63" i="3"/>
  <c r="N68" i="3"/>
  <c r="N49" i="3"/>
  <c r="N26" i="3"/>
  <c r="N38" i="3"/>
  <c r="N43" i="3"/>
  <c r="N21" i="3"/>
  <c r="N19" i="3"/>
  <c r="N36" i="3"/>
  <c r="M64" i="3"/>
  <c r="N61" i="3"/>
  <c r="L90" i="3"/>
  <c r="L113" i="3"/>
  <c r="N100" i="3"/>
  <c r="P131" i="3"/>
  <c r="P110" i="3"/>
  <c r="P107" i="3"/>
  <c r="P12" i="3"/>
  <c r="L122" i="3"/>
  <c r="L131" i="3"/>
  <c r="L124" i="3"/>
  <c r="L87" i="3"/>
  <c r="L110" i="3"/>
  <c r="L104" i="3"/>
  <c r="L60" i="3"/>
  <c r="L68" i="3"/>
  <c r="L49" i="3"/>
  <c r="L45" i="3"/>
  <c r="L38" i="3"/>
  <c r="L28" i="3"/>
  <c r="L19" i="3"/>
  <c r="M129" i="3"/>
  <c r="M121" i="3"/>
  <c r="M117" i="3"/>
  <c r="M98" i="3"/>
  <c r="M77" i="3"/>
  <c r="M56" i="3"/>
  <c r="M70" i="3"/>
  <c r="M53" i="3"/>
  <c r="M62" i="3"/>
  <c r="M35" i="3"/>
  <c r="M14" i="3"/>
  <c r="M22" i="3"/>
  <c r="M13" i="3"/>
  <c r="M7" i="3"/>
  <c r="N130" i="3"/>
  <c r="N128" i="3"/>
  <c r="N125" i="3"/>
  <c r="N112" i="3"/>
  <c r="N118" i="3"/>
  <c r="N106" i="3"/>
  <c r="N101" i="3"/>
  <c r="N82" i="3"/>
  <c r="N78" i="3"/>
  <c r="N84" i="3"/>
  <c r="N67" i="3"/>
  <c r="N71" i="3"/>
  <c r="N52" i="3"/>
  <c r="N80" i="3"/>
  <c r="N72" i="3"/>
  <c r="N65" i="3"/>
  <c r="N51" i="3"/>
  <c r="N59" i="3"/>
  <c r="N41" i="3"/>
  <c r="N57" i="3"/>
  <c r="N16" i="3"/>
  <c r="N18" i="3"/>
  <c r="N39" i="3"/>
  <c r="N17" i="3"/>
  <c r="N11" i="3"/>
  <c r="N8" i="3"/>
  <c r="M48" i="3"/>
  <c r="M46" i="3"/>
  <c r="N64" i="3"/>
  <c r="L37" i="3"/>
  <c r="M79" i="3"/>
  <c r="N34" i="3"/>
  <c r="L76" i="3"/>
  <c r="M74" i="3"/>
  <c r="N108" i="3"/>
  <c r="L81" i="3"/>
  <c r="M90" i="3"/>
  <c r="N105" i="3"/>
  <c r="L115" i="3"/>
  <c r="M113" i="3"/>
  <c r="N94" i="3"/>
  <c r="L102" i="3"/>
  <c r="M127" i="3"/>
  <c r="L23" i="3"/>
  <c r="P52" i="3"/>
  <c r="P59" i="3"/>
  <c r="P57" i="3"/>
  <c r="P16" i="3"/>
  <c r="P39" i="3"/>
  <c r="L119" i="3"/>
  <c r="L114" i="3"/>
  <c r="L4" i="3"/>
  <c r="L123" i="3"/>
  <c r="L111" i="3"/>
  <c r="L96" i="3"/>
  <c r="L107" i="3"/>
  <c r="L97" i="3"/>
  <c r="L63" i="3"/>
  <c r="L88" i="3"/>
  <c r="L58" i="3"/>
  <c r="L26" i="3"/>
  <c r="L43" i="3"/>
  <c r="L21" i="3"/>
  <c r="L15" i="3"/>
  <c r="L12" i="3"/>
  <c r="L6" i="3"/>
  <c r="M126" i="3"/>
  <c r="M120" i="3"/>
  <c r="M116" i="3"/>
  <c r="M91" i="3"/>
  <c r="M85" i="3"/>
  <c r="M54" i="3"/>
  <c r="M73" i="3"/>
  <c r="M47" i="3"/>
  <c r="M40" i="3"/>
  <c r="M50" i="3"/>
  <c r="M25" i="3"/>
  <c r="M32" i="3"/>
  <c r="L5" i="3"/>
  <c r="L130" i="3"/>
  <c r="L128" i="3"/>
  <c r="L125" i="3"/>
  <c r="L112" i="3"/>
  <c r="L118" i="3"/>
  <c r="L106" i="3"/>
  <c r="L101" i="3"/>
  <c r="L82" i="3"/>
  <c r="L78" i="3"/>
  <c r="L84" i="3"/>
  <c r="L67" i="3"/>
  <c r="L71" i="3"/>
  <c r="L52" i="3"/>
  <c r="L80" i="3"/>
  <c r="L72" i="3"/>
  <c r="L65" i="3"/>
  <c r="L51" i="3"/>
  <c r="L59" i="3"/>
  <c r="L41" i="3"/>
  <c r="L57" i="3"/>
  <c r="L16" i="3"/>
  <c r="L18" i="3"/>
  <c r="L39" i="3"/>
  <c r="L17" i="3"/>
  <c r="Q17" i="3" s="1"/>
  <c r="L11" i="3"/>
  <c r="L8" i="3"/>
  <c r="M131" i="3"/>
  <c r="M123" i="3"/>
  <c r="M124" i="3"/>
  <c r="M111" i="3"/>
  <c r="M87" i="3"/>
  <c r="M96" i="3"/>
  <c r="M110" i="3"/>
  <c r="M107" i="3"/>
  <c r="M104" i="3"/>
  <c r="M97" i="3"/>
  <c r="M60" i="3"/>
  <c r="M63" i="3"/>
  <c r="M68" i="3"/>
  <c r="M88" i="3"/>
  <c r="M49" i="3"/>
  <c r="M58" i="3"/>
  <c r="M45" i="3"/>
  <c r="M26" i="3"/>
  <c r="M38" i="3"/>
  <c r="M43" i="3"/>
  <c r="M28" i="3"/>
  <c r="M21" i="3"/>
  <c r="N133" i="3"/>
  <c r="N132" i="3"/>
  <c r="N119" i="3"/>
  <c r="N122" i="3"/>
  <c r="N95" i="3"/>
  <c r="N114" i="3"/>
  <c r="N89" i="3"/>
  <c r="N75" i="3"/>
  <c r="N83" i="3"/>
  <c r="N55" i="3"/>
  <c r="N66" i="3"/>
  <c r="N69" i="3"/>
  <c r="N99" i="3"/>
  <c r="N42" i="3"/>
  <c r="N24" i="3"/>
  <c r="N33" i="3"/>
  <c r="N29" i="3"/>
  <c r="N48" i="3"/>
  <c r="N46" i="3"/>
  <c r="N90" i="3"/>
  <c r="N113" i="3"/>
  <c r="N127" i="3"/>
  <c r="P95" i="3"/>
  <c r="P31" i="3"/>
  <c r="P94" i="3"/>
  <c r="L36" i="3"/>
  <c r="P5" i="3"/>
  <c r="P130" i="3"/>
  <c r="P128" i="3"/>
  <c r="P125" i="3"/>
  <c r="P112" i="3"/>
  <c r="P118" i="3"/>
  <c r="P106" i="3"/>
  <c r="P101" i="3"/>
  <c r="P82" i="3"/>
  <c r="P78" i="3"/>
  <c r="P84" i="3"/>
  <c r="P67" i="3"/>
  <c r="P71" i="3"/>
  <c r="P80" i="3"/>
  <c r="P72" i="3"/>
  <c r="P65" i="3"/>
  <c r="P51" i="3"/>
  <c r="P41" i="3"/>
  <c r="P18" i="3"/>
  <c r="P17" i="3"/>
  <c r="P11" i="3"/>
  <c r="P8" i="3"/>
  <c r="P100" i="3"/>
  <c r="P93" i="3"/>
  <c r="P109" i="3"/>
  <c r="P61" i="3"/>
  <c r="P34" i="3"/>
  <c r="P48" i="3"/>
  <c r="M19" i="3"/>
  <c r="M15" i="3"/>
  <c r="M12" i="3"/>
  <c r="M6" i="3"/>
  <c r="N86" i="3"/>
  <c r="N92" i="3"/>
  <c r="N103" i="3"/>
  <c r="N31" i="3"/>
  <c r="N30" i="3"/>
  <c r="N27" i="3"/>
  <c r="N20" i="3"/>
  <c r="N10" i="3"/>
  <c r="N9" i="3"/>
  <c r="L44" i="3"/>
  <c r="M37" i="3"/>
  <c r="N79" i="3"/>
  <c r="L61" i="3"/>
  <c r="M76" i="3"/>
  <c r="N74" i="3"/>
  <c r="L109" i="3"/>
  <c r="M81" i="3"/>
  <c r="L93" i="3"/>
  <c r="M115" i="3"/>
  <c r="L100" i="3"/>
  <c r="M102" i="3"/>
  <c r="P133" i="3"/>
  <c r="P132" i="3"/>
  <c r="P119" i="3"/>
  <c r="P122" i="3"/>
  <c r="P114" i="3"/>
  <c r="P86" i="3"/>
  <c r="P89" i="3"/>
  <c r="P92" i="3"/>
  <c r="P103" i="3"/>
  <c r="P75" i="3"/>
  <c r="P83" i="3"/>
  <c r="P55" i="3"/>
  <c r="P66" i="3"/>
  <c r="P69" i="3"/>
  <c r="P99" i="3"/>
  <c r="P42" i="3"/>
  <c r="P24" i="3"/>
  <c r="P33" i="3"/>
  <c r="P29" i="3"/>
  <c r="P30" i="3"/>
  <c r="P27" i="3"/>
  <c r="P20" i="3"/>
  <c r="P10" i="3"/>
  <c r="P9" i="3"/>
  <c r="P4" i="3"/>
  <c r="P105" i="3"/>
  <c r="P108" i="3"/>
  <c r="P79" i="3"/>
  <c r="P64" i="3"/>
  <c r="P23" i="3"/>
  <c r="N54" i="3"/>
  <c r="N56" i="3"/>
  <c r="N73" i="3"/>
  <c r="N47" i="3"/>
  <c r="N62" i="3"/>
  <c r="N50" i="3"/>
  <c r="N35" i="3"/>
  <c r="N25" i="3"/>
  <c r="N14" i="3"/>
  <c r="N22" i="3"/>
  <c r="M23" i="3"/>
  <c r="M36" i="3"/>
  <c r="L64" i="3"/>
  <c r="L34" i="3"/>
  <c r="M61" i="3"/>
  <c r="N76" i="3"/>
  <c r="L108" i="3"/>
  <c r="M109" i="3"/>
  <c r="L105" i="3"/>
  <c r="M93" i="3"/>
  <c r="N115" i="3"/>
  <c r="L94" i="3"/>
  <c r="M100" i="3"/>
  <c r="L48" i="3"/>
  <c r="L46" i="3"/>
  <c r="P129" i="3"/>
  <c r="P126" i="3"/>
  <c r="P120" i="3"/>
  <c r="P117" i="3"/>
  <c r="P116" i="3"/>
  <c r="P91" i="3"/>
  <c r="P98" i="3"/>
  <c r="P85" i="3"/>
  <c r="P77" i="3"/>
  <c r="P54" i="3"/>
  <c r="P73" i="3"/>
  <c r="P70" i="3"/>
  <c r="P53" i="3"/>
  <c r="P40" i="3"/>
  <c r="P62" i="3"/>
  <c r="P50" i="3"/>
  <c r="P35" i="3"/>
  <c r="P25" i="3"/>
  <c r="P14" i="3"/>
  <c r="P22" i="3"/>
  <c r="P32" i="3"/>
  <c r="P13" i="3"/>
  <c r="P7" i="3"/>
  <c r="P127" i="3"/>
  <c r="P113" i="3"/>
  <c r="P90" i="3"/>
  <c r="P37" i="3"/>
  <c r="P46" i="3"/>
  <c r="M20" i="3"/>
  <c r="M10" i="3"/>
  <c r="M9" i="3"/>
  <c r="N110" i="3"/>
  <c r="N107" i="3"/>
  <c r="N104" i="3"/>
  <c r="N88" i="3"/>
  <c r="N58" i="3"/>
  <c r="N45" i="3"/>
  <c r="N28" i="3"/>
  <c r="N15" i="3"/>
  <c r="N12" i="3"/>
  <c r="N6" i="3"/>
  <c r="N23" i="3"/>
  <c r="N44" i="3"/>
  <c r="L79" i="3"/>
  <c r="M34" i="3"/>
  <c r="L74" i="3"/>
  <c r="Q74" i="3" s="1"/>
  <c r="M108" i="3"/>
  <c r="N109" i="3"/>
  <c r="M105" i="3"/>
  <c r="N93" i="3"/>
  <c r="M94" i="3"/>
  <c r="L127" i="3"/>
  <c r="P123" i="3"/>
  <c r="P124" i="3"/>
  <c r="P111" i="3"/>
  <c r="P87" i="3"/>
  <c r="P96" i="3"/>
  <c r="P104" i="3"/>
  <c r="P97" i="3"/>
  <c r="P60" i="3"/>
  <c r="P63" i="3"/>
  <c r="P68" i="3"/>
  <c r="P88" i="3"/>
  <c r="P49" i="3"/>
  <c r="P58" i="3"/>
  <c r="P45" i="3"/>
  <c r="P26" i="3"/>
  <c r="P38" i="3"/>
  <c r="P43" i="3"/>
  <c r="P28" i="3"/>
  <c r="P21" i="3"/>
  <c r="P19" i="3"/>
  <c r="P15" i="3"/>
  <c r="P6" i="3"/>
  <c r="P102" i="3"/>
  <c r="P115" i="3"/>
  <c r="P81" i="3"/>
  <c r="P76" i="3"/>
  <c r="P44" i="3"/>
  <c r="P36" i="3"/>
  <c r="O129" i="3"/>
  <c r="O127" i="3"/>
  <c r="O100" i="3"/>
  <c r="O94" i="3"/>
  <c r="O86" i="3"/>
  <c r="O110" i="3"/>
  <c r="O109" i="3"/>
  <c r="O82" i="3"/>
  <c r="O78" i="3"/>
  <c r="O97" i="3"/>
  <c r="O60" i="3"/>
  <c r="O63" i="3"/>
  <c r="O55" i="3"/>
  <c r="O31" i="3"/>
  <c r="O51" i="3"/>
  <c r="O59" i="3"/>
  <c r="O41" i="3"/>
  <c r="O57" i="3"/>
  <c r="O36" i="3"/>
  <c r="O120" i="3"/>
  <c r="O95" i="3"/>
  <c r="O114" i="3"/>
  <c r="O113" i="3"/>
  <c r="O91" i="3"/>
  <c r="O90" i="3"/>
  <c r="O89" i="3"/>
  <c r="O47" i="3"/>
  <c r="O44" i="3"/>
  <c r="O40" i="3"/>
  <c r="O42" i="3"/>
  <c r="O24" i="3"/>
  <c r="O33" i="3"/>
  <c r="O29" i="3"/>
  <c r="O18" i="3"/>
  <c r="O39" i="3"/>
  <c r="O15" i="3"/>
  <c r="O12" i="3"/>
  <c r="O6" i="3"/>
  <c r="O124" i="3"/>
  <c r="O121" i="3"/>
  <c r="O111" i="3"/>
  <c r="O117" i="3"/>
  <c r="O52" i="3"/>
  <c r="O88" i="3"/>
  <c r="O49" i="3"/>
  <c r="O53" i="3"/>
  <c r="O27" i="3"/>
  <c r="O23" i="3"/>
  <c r="O17" i="3"/>
  <c r="O11" i="3"/>
  <c r="O8" i="3"/>
  <c r="O30" i="3"/>
  <c r="O5" i="3"/>
  <c r="O123" i="3"/>
  <c r="O107" i="3"/>
  <c r="O104" i="3"/>
  <c r="O74" i="3"/>
  <c r="O54" i="3"/>
  <c r="O56" i="3"/>
  <c r="O71" i="3"/>
  <c r="O66" i="3"/>
  <c r="O37" i="3"/>
  <c r="O25" i="3"/>
  <c r="O16" i="3"/>
  <c r="O4" i="3"/>
  <c r="O130" i="3"/>
  <c r="N5" i="3"/>
  <c r="N4" i="3"/>
  <c r="O122" i="3"/>
  <c r="O102" i="3"/>
  <c r="O79" i="3"/>
  <c r="O69" i="3"/>
  <c r="O99" i="3"/>
  <c r="O21" i="3"/>
  <c r="O19" i="3"/>
  <c r="O32" i="3"/>
  <c r="O13" i="3"/>
  <c r="O7" i="3"/>
  <c r="O108" i="3"/>
  <c r="O87" i="3"/>
  <c r="O80" i="3"/>
  <c r="O131" i="3"/>
  <c r="O132" i="3"/>
  <c r="O119" i="3"/>
  <c r="O92" i="3"/>
  <c r="O103" i="3"/>
  <c r="O84" i="3"/>
  <c r="O67" i="3"/>
  <c r="O76" i="3"/>
  <c r="O68" i="3"/>
  <c r="O70" i="3"/>
  <c r="O28" i="3"/>
  <c r="O73" i="3"/>
  <c r="O14" i="3"/>
  <c r="O126" i="3"/>
  <c r="O116" i="3"/>
  <c r="O115" i="3"/>
  <c r="O93" i="3"/>
  <c r="O101" i="3"/>
  <c r="O98" i="3"/>
  <c r="O85" i="3"/>
  <c r="O77" i="3"/>
  <c r="O75" i="3"/>
  <c r="O83" i="3"/>
  <c r="O61" i="3"/>
  <c r="O45" i="3"/>
  <c r="O62" i="3"/>
  <c r="O50" i="3"/>
  <c r="O35" i="3"/>
  <c r="O46" i="3"/>
  <c r="O48" i="3"/>
  <c r="O65" i="3"/>
  <c r="O128" i="3"/>
  <c r="O125" i="3"/>
  <c r="O112" i="3"/>
  <c r="O118" i="3"/>
  <c r="O96" i="3"/>
  <c r="O106" i="3"/>
  <c r="O105" i="3"/>
  <c r="O81" i="3"/>
  <c r="O72" i="3"/>
  <c r="O58" i="3"/>
  <c r="O34" i="3"/>
  <c r="O26" i="3"/>
  <c r="O38" i="3"/>
  <c r="O43" i="3"/>
  <c r="O22" i="3"/>
  <c r="O20" i="3"/>
  <c r="O10" i="3"/>
  <c r="O9" i="3"/>
  <c r="O133" i="3"/>
  <c r="O64" i="3"/>
  <c r="Q105" i="3" l="1"/>
  <c r="Q44" i="3"/>
  <c r="Q21" i="3"/>
  <c r="Q88" i="3"/>
  <c r="Q96" i="3"/>
  <c r="Q114" i="3"/>
  <c r="Q115" i="3"/>
  <c r="Q45" i="3"/>
  <c r="Q104" i="3"/>
  <c r="Q131" i="3"/>
  <c r="Q90" i="3"/>
  <c r="Q7" i="3"/>
  <c r="Q14" i="3"/>
  <c r="Q62" i="3"/>
  <c r="Q70" i="3"/>
  <c r="Q77" i="3"/>
  <c r="Q116" i="3"/>
  <c r="Q126" i="3"/>
  <c r="Q9" i="3"/>
  <c r="Q30" i="3"/>
  <c r="Q42" i="3"/>
  <c r="Q66" i="3"/>
  <c r="Q103" i="3"/>
  <c r="Q95" i="3"/>
  <c r="Q93" i="3"/>
  <c r="Q57" i="3"/>
  <c r="Q65" i="3"/>
  <c r="Q71" i="3"/>
  <c r="Q82" i="3"/>
  <c r="Q112" i="3"/>
  <c r="Q5" i="3"/>
  <c r="Q94" i="3"/>
  <c r="Q34" i="3"/>
  <c r="Q61" i="3"/>
  <c r="Q39" i="3"/>
  <c r="Q41" i="3"/>
  <c r="Q72" i="3"/>
  <c r="Q67" i="3"/>
  <c r="Q101" i="3"/>
  <c r="Q125" i="3"/>
  <c r="Q6" i="3"/>
  <c r="Q43" i="3"/>
  <c r="Q63" i="3"/>
  <c r="Q111" i="3"/>
  <c r="Q119" i="3"/>
  <c r="Q102" i="3"/>
  <c r="Q37" i="3"/>
  <c r="Q19" i="3"/>
  <c r="Q49" i="3"/>
  <c r="Q110" i="3"/>
  <c r="Q122" i="3"/>
  <c r="Q13" i="3"/>
  <c r="Q25" i="3"/>
  <c r="Q40" i="3"/>
  <c r="Q73" i="3"/>
  <c r="Q85" i="3"/>
  <c r="Q117" i="3"/>
  <c r="Q129" i="3"/>
  <c r="Q10" i="3"/>
  <c r="Q29" i="3"/>
  <c r="Q31" i="3"/>
  <c r="Q55" i="3"/>
  <c r="Q92" i="3"/>
  <c r="Q132" i="3"/>
  <c r="Q127" i="3"/>
  <c r="Q79" i="3"/>
  <c r="Q46" i="3"/>
  <c r="Q108" i="3"/>
  <c r="Q64" i="3"/>
  <c r="Q100" i="3"/>
  <c r="Q109" i="3"/>
  <c r="Q36" i="3"/>
  <c r="Q8" i="3"/>
  <c r="Q18" i="3"/>
  <c r="Q59" i="3"/>
  <c r="Q80" i="3"/>
  <c r="Q84" i="3"/>
  <c r="Q106" i="3"/>
  <c r="Q128" i="3"/>
  <c r="Q12" i="3"/>
  <c r="Q26" i="3"/>
  <c r="Q97" i="3"/>
  <c r="Q123" i="3"/>
  <c r="Q76" i="3"/>
  <c r="Q28" i="3"/>
  <c r="Q68" i="3"/>
  <c r="Q87" i="3"/>
  <c r="Q32" i="3"/>
  <c r="Q35" i="3"/>
  <c r="Q53" i="3"/>
  <c r="Q56" i="3"/>
  <c r="Q98" i="3"/>
  <c r="Q120" i="3"/>
  <c r="Q20" i="3"/>
  <c r="Q33" i="3"/>
  <c r="Q99" i="3"/>
  <c r="Q83" i="3"/>
  <c r="Q89" i="3"/>
  <c r="Q48" i="3"/>
  <c r="Q11" i="3"/>
  <c r="Q16" i="3"/>
  <c r="Q51" i="3"/>
  <c r="Q52" i="3"/>
  <c r="Q78" i="3"/>
  <c r="Q118" i="3"/>
  <c r="Q130" i="3"/>
  <c r="Q15" i="3"/>
  <c r="Q58" i="3"/>
  <c r="Q107" i="3"/>
  <c r="Q4" i="3"/>
  <c r="Q23" i="3"/>
  <c r="Q81" i="3"/>
  <c r="Q38" i="3"/>
  <c r="Q60" i="3"/>
  <c r="Q124" i="3"/>
  <c r="Q113" i="3"/>
  <c r="Q22" i="3"/>
  <c r="Q50" i="3"/>
  <c r="Q47" i="3"/>
  <c r="Q54" i="3"/>
  <c r="Q91" i="3"/>
  <c r="Q121" i="3"/>
  <c r="Q27" i="3"/>
  <c r="Q24" i="3"/>
  <c r="Q69" i="3"/>
  <c r="Q75" i="3"/>
  <c r="Q86" i="3"/>
  <c r="Q133" i="3"/>
  <c r="R33" i="3" l="1"/>
  <c r="R56" i="3"/>
  <c r="R83" i="3"/>
  <c r="R120" i="3"/>
  <c r="R99" i="3"/>
  <c r="R98" i="3"/>
  <c r="R32" i="3"/>
  <c r="R76" i="3"/>
  <c r="R12" i="3"/>
  <c r="R80" i="3"/>
  <c r="R36" i="3"/>
  <c r="R108" i="3"/>
  <c r="R61" i="3"/>
  <c r="R24" i="3"/>
  <c r="R113" i="3"/>
  <c r="R132" i="3"/>
  <c r="R29" i="3"/>
  <c r="R85" i="3"/>
  <c r="R13" i="3"/>
  <c r="R19" i="3"/>
  <c r="R111" i="3"/>
  <c r="R125" i="3"/>
  <c r="R41" i="3"/>
  <c r="R27" i="3"/>
  <c r="R107" i="3"/>
  <c r="R42" i="3"/>
  <c r="R116" i="3"/>
  <c r="R14" i="3"/>
  <c r="R104" i="3"/>
  <c r="R96" i="3"/>
  <c r="R112" i="3"/>
  <c r="R57" i="3"/>
  <c r="R105" i="3"/>
  <c r="R51" i="3"/>
  <c r="R81" i="3"/>
  <c r="R118" i="3"/>
  <c r="R87" i="3"/>
  <c r="R128" i="3"/>
  <c r="R59" i="3"/>
  <c r="R109" i="3"/>
  <c r="R46" i="3"/>
  <c r="R34" i="3"/>
  <c r="R54" i="3"/>
  <c r="R124" i="3"/>
  <c r="R92" i="3"/>
  <c r="R10" i="3"/>
  <c r="R73" i="3"/>
  <c r="R122" i="3"/>
  <c r="R37" i="3"/>
  <c r="R63" i="3"/>
  <c r="R101" i="3"/>
  <c r="R39" i="3"/>
  <c r="R121" i="3"/>
  <c r="R95" i="3"/>
  <c r="R30" i="3"/>
  <c r="R77" i="3"/>
  <c r="R7" i="3"/>
  <c r="R45" i="3"/>
  <c r="R88" i="3"/>
  <c r="R82" i="3"/>
  <c r="R17" i="3"/>
  <c r="R69" i="3"/>
  <c r="R48" i="3"/>
  <c r="R4" i="3"/>
  <c r="R78" i="3"/>
  <c r="R123" i="3"/>
  <c r="R20" i="3"/>
  <c r="R53" i="3"/>
  <c r="R68" i="3"/>
  <c r="R97" i="3"/>
  <c r="R106" i="3"/>
  <c r="R18" i="3"/>
  <c r="R100" i="3"/>
  <c r="R79" i="3"/>
  <c r="R94" i="3"/>
  <c r="R47" i="3"/>
  <c r="R60" i="3"/>
  <c r="R55" i="3"/>
  <c r="R129" i="3"/>
  <c r="R40" i="3"/>
  <c r="R110" i="3"/>
  <c r="R102" i="3"/>
  <c r="R43" i="3"/>
  <c r="R67" i="3"/>
  <c r="R74" i="3"/>
  <c r="R50" i="3"/>
  <c r="R103" i="3"/>
  <c r="R9" i="3"/>
  <c r="R70" i="3"/>
  <c r="R90" i="3"/>
  <c r="R115" i="3"/>
  <c r="R21" i="3"/>
  <c r="R71" i="3"/>
  <c r="R44" i="3"/>
  <c r="R15" i="3"/>
  <c r="R91" i="3"/>
  <c r="R58" i="3"/>
  <c r="R16" i="3"/>
  <c r="R89" i="3"/>
  <c r="R35" i="3"/>
  <c r="R28" i="3"/>
  <c r="R26" i="3"/>
  <c r="R84" i="3"/>
  <c r="R8" i="3"/>
  <c r="R64" i="3"/>
  <c r="R127" i="3"/>
  <c r="R86" i="3"/>
  <c r="R22" i="3"/>
  <c r="R52" i="3"/>
  <c r="R31" i="3"/>
  <c r="R117" i="3"/>
  <c r="R25" i="3"/>
  <c r="R49" i="3"/>
  <c r="R119" i="3"/>
  <c r="R6" i="3"/>
  <c r="R72" i="3"/>
  <c r="R75" i="3"/>
  <c r="R38" i="3"/>
  <c r="R66" i="3"/>
  <c r="R126" i="3"/>
  <c r="R62" i="3"/>
  <c r="R131" i="3"/>
  <c r="R114" i="3"/>
  <c r="R5" i="3"/>
  <c r="R65" i="3"/>
  <c r="R93" i="3"/>
  <c r="R23" i="3"/>
  <c r="R133" i="3"/>
  <c r="R130" i="3"/>
  <c r="R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018A3C-CF37-9D45-B321-248C744C2D96}" name="Connection" type="4" refreshedVersion="6" background="1" saveData="1">
    <webPr sourceData="1" parsePre="1" consecutive="1" xl2000="1" url="https://cfrc.com/ranking/billingsley-report-102/" htmlTables="1">
      <tables count="1">
        <x v="1"/>
      </tables>
    </webPr>
  </connection>
  <connection id="2" xr16:uid="{B229E059-0E34-6E46-8DB7-58EFA627DEC2}" name="Connection1" type="4" refreshedVersion="6" saveData="1">
    <webPr sourceData="1" parsePre="1" firstRow="1" xl2000="1" url="http://www.espn.com/college-football/statistics/teamratings/_/tab/efficiency" htmlTables="1">
      <tables count="1">
        <x v="1"/>
      </tables>
    </webPr>
  </connection>
  <connection id="3" xr16:uid="{5EFDF6BB-5043-CC4E-8681-43AF3AC8446C}" name="Connection10" type="4" refreshedVersion="6" saveData="1">
    <webPr sourceData="1" parsePre="1" firstRow="1" xl2000="1" url="https://www.teamrankings.com/college-football/stat/opponent-punt-attempts-per-game" htmlTables="1">
      <tables count="1">
        <x v="1"/>
      </tables>
    </webPr>
  </connection>
  <connection id="4" xr16:uid="{4872E4EF-A5FF-5A42-97D0-CCE8B759332E}" name="Connection3" type="4" refreshedVersion="6" saveData="1">
    <webPr sourceData="1" parsePre="1" firstRow="1" xl2000="1" url="http://www.espn.com/college-football/statistics/teamratings" htmlTables="1" htmlFormat="rtf">
      <tables count="1">
        <x v="1"/>
      </tables>
    </webPr>
  </connection>
  <connection id="5" xr16:uid="{FCD81A0B-BEF2-3E45-843C-7898A4535DAB}" name="Connection4" type="4" refreshedVersion="6" saveData="1">
    <webPr sourceData="1" parsePre="1" firstRow="1" xl2000="1" url="https://www.footballoutsiders.com/stats/fei/2019" htmlTables="1" htmlFormat="all">
      <tables count="1">
        <x v="1"/>
      </tables>
    </webPr>
  </connection>
  <connection id="6" xr16:uid="{5EC595C3-FF5F-3C42-9713-399206ED27B0}" name="Connection5" type="4" refreshedVersion="6" saveData="1">
    <webPr sourceData="1" parsePre="1" firstRow="1" xl2000="1" url="https://www.teamrankings.com/college-football/stat/plays-per-game" htmlTables="1">
      <tables count="1">
        <x v="1"/>
      </tables>
    </webPr>
  </connection>
  <connection id="7" xr16:uid="{20CA26F0-13C2-BD42-AE47-1B903F83142F}" name="Connection6" type="4" refreshedVersion="6" saveData="1">
    <webPr sourceData="1" parsePre="1" firstRow="1" xl2000="1" url="https://www.teamrankings.com/college-football/stat/field-goal-attempts-per-game" htmlTables="1">
      <tables count="1">
        <x v="1"/>
      </tables>
    </webPr>
  </connection>
  <connection id="8" xr16:uid="{D1709436-4837-034E-8506-0879030C54EB}" name="Connection7" type="4" refreshedVersion="6" saveData="1">
    <webPr sourceData="1" parsePre="1" firstRow="1" xl2000="1" url="https://www.teamrankings.com/college-football/stat/punt-attempts-per-game" htmlTables="1">
      <tables count="1">
        <x v="1"/>
      </tables>
    </webPr>
  </connection>
  <connection id="9" xr16:uid="{193D4FBB-BD90-DD40-90EF-E4991652EAF9}" name="Connection8" type="4" refreshedVersion="6" saveData="1">
    <webPr sourceData="1" parsePre="1" firstRow="1" xl2000="1" url="https://www.teamrankings.com/college-football/stat/opponent-plays-per-game" htmlTables="1">
      <tables count="1">
        <x v="1"/>
      </tables>
    </webPr>
  </connection>
  <connection id="10" xr16:uid="{495AFE99-4A63-114A-AFAD-566B2D236A4C}" name="Connection9" type="4" refreshedVersion="6" saveData="1">
    <webPr sourceData="1" parsePre="1" firstRow="1" xl2000="1" url="https://www.teamrankings.com/college-football/stat/opponent-field-goal-attempts-per-game" htmlTables="1">
      <tables count="1">
        <x v="1"/>
      </tables>
    </webPr>
  </connection>
  <connection id="11" xr16:uid="{CF83D5B9-15F8-9247-839F-52BD5C6E1037}" name="table-1" type="6" refreshedVersion="6" background="1" saveData="1">
    <textPr sourceFile="/Users/ChristopherBrant/Downloads/table-1.csv" comma="1">
      <textFields count="8">
        <textField/>
        <textField/>
        <textField/>
        <textField/>
        <textField/>
        <textField/>
        <textField/>
        <textField/>
      </textFields>
    </textPr>
  </connection>
</connections>
</file>

<file path=xl/sharedStrings.xml><?xml version="1.0" encoding="utf-8"?>
<sst xmlns="http://schemas.openxmlformats.org/spreadsheetml/2006/main" count="4708" uniqueCount="863">
  <si>
    <t>Team</t>
  </si>
  <si>
    <t>Team Name</t>
  </si>
  <si>
    <t>Coaches Poll</t>
  </si>
  <si>
    <t>A+H</t>
  </si>
  <si>
    <t>RB</t>
  </si>
  <si>
    <t>CM</t>
  </si>
  <si>
    <t>PW</t>
  </si>
  <si>
    <t>Coaches %</t>
  </si>
  <si>
    <t>Computer %</t>
  </si>
  <si>
    <t>BCS %</t>
  </si>
  <si>
    <t>AP Poll</t>
  </si>
  <si>
    <t>AP %</t>
  </si>
  <si>
    <t>Nickname</t>
  </si>
  <si>
    <t>City</t>
  </si>
  <si>
    <t>State[1]</t>
  </si>
  <si>
    <t>CurrentConference</t>
  </si>
  <si>
    <t>FormerConferences</t>
  </si>
  <si>
    <t>FirstPlayed</t>
  </si>
  <si>
    <t>JoinedFBS</t>
  </si>
  <si>
    <t>Air Force</t>
  </si>
  <si>
    <t>Falcons</t>
  </si>
  <si>
    <t>Colorado Springs</t>
  </si>
  <si>
    <t>Colorado</t>
  </si>
  <si>
    <t>Mountain West</t>
  </si>
  <si>
    <t>WAC</t>
  </si>
  <si>
    <t>Akron</t>
  </si>
  <si>
    <t>Zips</t>
  </si>
  <si>
    <t>Ohio</t>
  </si>
  <si>
    <t>MAC</t>
  </si>
  <si>
    <t>OAC, MCC, OVC</t>
  </si>
  <si>
    <t>Alabama</t>
  </si>
  <si>
    <t>Crimson Tide</t>
  </si>
  <si>
    <t>Tuscaloosa</t>
  </si>
  <si>
    <t>SEC</t>
  </si>
  <si>
    <t>SIAA, SoCon</t>
  </si>
  <si>
    <t>Appalachian State</t>
  </si>
  <si>
    <t>Mountaineers</t>
  </si>
  <si>
    <t>Boone</t>
  </si>
  <si>
    <t>North Carolina</t>
  </si>
  <si>
    <t>Sun Belt</t>
  </si>
  <si>
    <t>NSC, SoCon</t>
  </si>
  <si>
    <t>2014[n 1]</t>
  </si>
  <si>
    <t>Arizona</t>
  </si>
  <si>
    <t>Wildcats</t>
  </si>
  <si>
    <t>Tucson</t>
  </si>
  <si>
    <t>Pac-12</t>
  </si>
  <si>
    <t>BIAA, WAC</t>
  </si>
  <si>
    <t>Arizona State</t>
  </si>
  <si>
    <t>Sun Devils</t>
  </si>
  <si>
    <t>Tempe</t>
  </si>
  <si>
    <t>Arkansas</t>
  </si>
  <si>
    <t>Razorbacks</t>
  </si>
  <si>
    <t>Fayetteville</t>
  </si>
  <si>
    <t>SWC</t>
  </si>
  <si>
    <t>Arkansas State</t>
  </si>
  <si>
    <t>Red Wolves</t>
  </si>
  <si>
    <t>Jonesboro</t>
  </si>
  <si>
    <t>Arkansas Intercllegiate Conference, Southland, Big West</t>
  </si>
  <si>
    <t>Army</t>
  </si>
  <si>
    <t>Black Knights</t>
  </si>
  <si>
    <t>West Point</t>
  </si>
  <si>
    <t>New York</t>
  </si>
  <si>
    <t>Independent</t>
  </si>
  <si>
    <t>C-USA</t>
  </si>
  <si>
    <t>Auburn</t>
  </si>
  <si>
    <t>Tigers</t>
  </si>
  <si>
    <t>Ball State</t>
  </si>
  <si>
    <t>Cardinals</t>
  </si>
  <si>
    <t>Muncie</t>
  </si>
  <si>
    <t>Indiana</t>
  </si>
  <si>
    <t>IIC, ICC</t>
  </si>
  <si>
    <t>Baylor</t>
  </si>
  <si>
    <t>Bears</t>
  </si>
  <si>
    <t>Waco</t>
  </si>
  <si>
    <t>Texas</t>
  </si>
  <si>
    <t>Big 12</t>
  </si>
  <si>
    <t>TIAA, SWC</t>
  </si>
  <si>
    <t>Boise State</t>
  </si>
  <si>
    <t>Broncos</t>
  </si>
  <si>
    <t>Boise</t>
  </si>
  <si>
    <t>Idaho</t>
  </si>
  <si>
    <t>ICAC, Big Sky, Big West, WAC</t>
  </si>
  <si>
    <t>1933[n 2]</t>
  </si>
  <si>
    <t>Boston College</t>
  </si>
  <si>
    <t>Eagles</t>
  </si>
  <si>
    <t>Chestnut Hill</t>
  </si>
  <si>
    <t>Massachusetts</t>
  </si>
  <si>
    <t>ACC</t>
  </si>
  <si>
    <t>Big East</t>
  </si>
  <si>
    <t>Bowling Green</t>
  </si>
  <si>
    <t>Northwest Ohio Intercollegiate Athletic Association, OAC</t>
  </si>
  <si>
    <t>Buffalo</t>
  </si>
  <si>
    <t>Bulls</t>
  </si>
  <si>
    <t>New York State Conference</t>
  </si>
  <si>
    <t>BYU</t>
  </si>
  <si>
    <t>Cougars</t>
  </si>
  <si>
    <t>Provo</t>
  </si>
  <si>
    <t>Utah</t>
  </si>
  <si>
    <t>Rocky Mountain, Mountain States, WAC, MW</t>
  </si>
  <si>
    <t>California</t>
  </si>
  <si>
    <t>Golden Bears</t>
  </si>
  <si>
    <t>Berkeley</t>
  </si>
  <si>
    <t>PCC</t>
  </si>
  <si>
    <t>Central Michigan</t>
  </si>
  <si>
    <t>Chippewas</t>
  </si>
  <si>
    <t>Mount Pleasant</t>
  </si>
  <si>
    <t>Michigan</t>
  </si>
  <si>
    <t>MCC, IIAC</t>
  </si>
  <si>
    <t>Charlotte</t>
  </si>
  <si>
    <t>49ers</t>
  </si>
  <si>
    <t>Sun Belt, C-USA, A-10</t>
  </si>
  <si>
    <t>Cincinnati</t>
  </si>
  <si>
    <t>Bearcats</t>
  </si>
  <si>
    <t>American</t>
  </si>
  <si>
    <t>OAC, Buckeye Intercollegiate Athletic Association, MAC, MVC, C-USA, Big East</t>
  </si>
  <si>
    <t>Clemson</t>
  </si>
  <si>
    <t>South Carolina</t>
  </si>
  <si>
    <t>SIAA, SAIAA, SoCon</t>
  </si>
  <si>
    <t>Coastal Carolina</t>
  </si>
  <si>
    <t>Chanticleers</t>
  </si>
  <si>
    <t>Conway</t>
  </si>
  <si>
    <t>Big South</t>
  </si>
  <si>
    <t>Buffaloes</t>
  </si>
  <si>
    <t>Boulder</t>
  </si>
  <si>
    <t>Colorado Football Association, Rocky Mountain, Mountain States, Big Eight, Big 12</t>
  </si>
  <si>
    <t>Colorado State</t>
  </si>
  <si>
    <t>Rams</t>
  </si>
  <si>
    <t>Fort Collins</t>
  </si>
  <si>
    <t>Colorado Football Association, Rocky Mountain, Mountain States, WAC</t>
  </si>
  <si>
    <t>Duke</t>
  </si>
  <si>
    <t>Blue Devils</t>
  </si>
  <si>
    <t>Durham</t>
  </si>
  <si>
    <t>SoCon</t>
  </si>
  <si>
    <t>East Carolina</t>
  </si>
  <si>
    <t>Pirates</t>
  </si>
  <si>
    <t>Greenville</t>
  </si>
  <si>
    <t>NSC, Carolinas, SoCon, C-USA</t>
  </si>
  <si>
    <t>Eastern Michigan</t>
  </si>
  <si>
    <t>Ypsilanti</t>
  </si>
  <si>
    <t>MIAA, MCC, IIAC, PAC</t>
  </si>
  <si>
    <t>FIU</t>
  </si>
  <si>
    <t>Panthers</t>
  </si>
  <si>
    <t>Miami</t>
  </si>
  <si>
    <t>Florida</t>
  </si>
  <si>
    <t>Gators</t>
  </si>
  <si>
    <t>Gainesville</t>
  </si>
  <si>
    <t>Florida Atlantic</t>
  </si>
  <si>
    <t>Owls</t>
  </si>
  <si>
    <t>Boca Raton</t>
  </si>
  <si>
    <t>Florida State</t>
  </si>
  <si>
    <t>Seminoles</t>
  </si>
  <si>
    <t>Tallahassee</t>
  </si>
  <si>
    <t>Dixie</t>
  </si>
  <si>
    <t>Fresno State</t>
  </si>
  <si>
    <t>Bulldogs</t>
  </si>
  <si>
    <t>Fresno</t>
  </si>
  <si>
    <t>California Coast Conference, NCAC, CCAA, Big West, WAC</t>
  </si>
  <si>
    <t>Georgia</t>
  </si>
  <si>
    <t>Athens</t>
  </si>
  <si>
    <t>Georgia Southern</t>
  </si>
  <si>
    <t>Statesboro</t>
  </si>
  <si>
    <t>Georgia State</t>
  </si>
  <si>
    <t>Atlanta</t>
  </si>
  <si>
    <t>CAA</t>
  </si>
  <si>
    <t>Georgia Tech</t>
  </si>
  <si>
    <t>Yellow Jackets</t>
  </si>
  <si>
    <t>SIAA, SoCon, SEC</t>
  </si>
  <si>
    <t>Hawaii</t>
  </si>
  <si>
    <t>Rainbow Warriors</t>
  </si>
  <si>
    <t>Honolulu</t>
  </si>
  <si>
    <t>Hawai'i</t>
  </si>
  <si>
    <t>Houston</t>
  </si>
  <si>
    <t>Lone Star, Gulf Coast, MVC, SWC, C-USA[n 3]</t>
  </si>
  <si>
    <t>Illinois</t>
  </si>
  <si>
    <t>Fighting Illini</t>
  </si>
  <si>
    <t>Urbana‚ÄìChampaign</t>
  </si>
  <si>
    <t>Big Ten</t>
  </si>
  <si>
    <t>Illinois Intercollegiate Football League</t>
  </si>
  <si>
    <t>Hoosiers</t>
  </si>
  <si>
    <t>Bloomington</t>
  </si>
  <si>
    <t>IIAA</t>
  </si>
  <si>
    <t>Iowa</t>
  </si>
  <si>
    <t>Hawkeyes</t>
  </si>
  <si>
    <t>Iowa City</t>
  </si>
  <si>
    <t>WIUFA, MVC</t>
  </si>
  <si>
    <t>Iowa State</t>
  </si>
  <si>
    <t>Cyclones</t>
  </si>
  <si>
    <t>Ames</t>
  </si>
  <si>
    <t>MVC, Big 8</t>
  </si>
  <si>
    <t>Kansas</t>
  </si>
  <si>
    <t>Jayhawks</t>
  </si>
  <si>
    <t>Lawrence</t>
  </si>
  <si>
    <t>KCAC, WIUFA, MVC, Big 8</t>
  </si>
  <si>
    <t>Kansas State</t>
  </si>
  <si>
    <t>Manhattan</t>
  </si>
  <si>
    <t>Kent State</t>
  </si>
  <si>
    <t>Golden Flashes</t>
  </si>
  <si>
    <t>Kent</t>
  </si>
  <si>
    <t>OAC</t>
  </si>
  <si>
    <t>Kentucky</t>
  </si>
  <si>
    <t>Lexington</t>
  </si>
  <si>
    <t>Liberty</t>
  </si>
  <si>
    <t>Flames</t>
  </si>
  <si>
    <t>Lynchburg</t>
  </si>
  <si>
    <t>Virginia</t>
  </si>
  <si>
    <t>FBS Independent</t>
  </si>
  <si>
    <t>Louisiana</t>
  </si>
  <si>
    <t>Ragin' Cajuns</t>
  </si>
  <si>
    <t>Lafayette</t>
  </si>
  <si>
    <t>Louisiana Intercollegiate Athletic Association, Louisiana Intercollegiate Conference, Gulf States Conference, SIAA, Southland, Big West</t>
  </si>
  <si>
    <t>Louisiana‚ÄìMonroe</t>
  </si>
  <si>
    <t>Warhawks</t>
  </si>
  <si>
    <t>Monroe</t>
  </si>
  <si>
    <t>Gulf States Conference, Southland, Independent</t>
  </si>
  <si>
    <t>Louisiana Tech</t>
  </si>
  <si>
    <t>Ruston</t>
  </si>
  <si>
    <t>Louisiana Intercollegiate Athletic Association, Louisiana Intercollegiate Conference, Gulf States Conference, SIAA, Southland, Big West, WAC</t>
  </si>
  <si>
    <t>Louisville</t>
  </si>
  <si>
    <t>KIAC, SIAA, KIAC, OVC, MVC, C-USA, Big East, American</t>
  </si>
  <si>
    <t>LSU</t>
  </si>
  <si>
    <t>Baton Rouge</t>
  </si>
  <si>
    <t>Marshall</t>
  </si>
  <si>
    <t>Thundering Herd</t>
  </si>
  <si>
    <t>Huntington</t>
  </si>
  <si>
    <t>West Virginia</t>
  </si>
  <si>
    <t>WVIAC, Buckeye Conference, OVC, MAC, SoCon</t>
  </si>
  <si>
    <t>1997[n 1]</t>
  </si>
  <si>
    <t>Maryland</t>
  </si>
  <si>
    <t>Terrapins</t>
  </si>
  <si>
    <t>College Park</t>
  </si>
  <si>
    <t>MIFA, SAIAA, SoCon, ACC</t>
  </si>
  <si>
    <t>Memphis</t>
  </si>
  <si>
    <t>Tennessee</t>
  </si>
  <si>
    <t>Mississippi Valley Conference, SIAA, MVC, C-USA[n 3]</t>
  </si>
  <si>
    <t>Miami (FL)</t>
  </si>
  <si>
    <t>Hurricanes</t>
  </si>
  <si>
    <t>Coral Gables[n 4]</t>
  </si>
  <si>
    <t>SIAA, Big East</t>
  </si>
  <si>
    <t>1926[2]</t>
  </si>
  <si>
    <t>Miami (OH)</t>
  </si>
  <si>
    <t>RedHawks</t>
  </si>
  <si>
    <t>Oxford</t>
  </si>
  <si>
    <t>OAC, Buckeye Conference</t>
  </si>
  <si>
    <t>Wolverines</t>
  </si>
  <si>
    <t>Ann Arbor</t>
  </si>
  <si>
    <t>Michigan State</t>
  </si>
  <si>
    <t>Spartans</t>
  </si>
  <si>
    <t>East Lansing</t>
  </si>
  <si>
    <t>MIAA</t>
  </si>
  <si>
    <t>Middle Tennessee</t>
  </si>
  <si>
    <t>Blue Raiders</t>
  </si>
  <si>
    <t>Murfreesboro</t>
  </si>
  <si>
    <t>VSAC, SIAA, OVC, Sun Belt</t>
  </si>
  <si>
    <t>Minnesota</t>
  </si>
  <si>
    <t>Golden Gophers</t>
  </si>
  <si>
    <t>Minneapolis</t>
  </si>
  <si>
    <t>Mississippi State</t>
  </si>
  <si>
    <t>Starkville</t>
  </si>
  <si>
    <t>Mississippi</t>
  </si>
  <si>
    <t>Missouri</t>
  </si>
  <si>
    <t>Columbia</t>
  </si>
  <si>
    <t>WIUFA, Big 8, Big 12</t>
  </si>
  <si>
    <t>Navy</t>
  </si>
  <si>
    <t>Midshipmen</t>
  </si>
  <si>
    <t>Annapolis</t>
  </si>
  <si>
    <t>NC State</t>
  </si>
  <si>
    <t>Wolfpack</t>
  </si>
  <si>
    <t>Raleigh</t>
  </si>
  <si>
    <t>SAIAA, SIAA, SoCon</t>
  </si>
  <si>
    <t>Nebraska</t>
  </si>
  <si>
    <t>Cornhuskers</t>
  </si>
  <si>
    <t>Lincoln</t>
  </si>
  <si>
    <t>WIUFA, MVC, Big 8, Big 12</t>
  </si>
  <si>
    <t>Nevada</t>
  </si>
  <si>
    <t>Wolf Pack</t>
  </si>
  <si>
    <t>Reno</t>
  </si>
  <si>
    <t>NCAC, Big Sky, Big West, WAC</t>
  </si>
  <si>
    <t>New Mexico</t>
  </si>
  <si>
    <t>Lobos</t>
  </si>
  <si>
    <t>Albuquerque</t>
  </si>
  <si>
    <t>New Mexico State</t>
  </si>
  <si>
    <t>Aggies</t>
  </si>
  <si>
    <t>Las Cruces</t>
  </si>
  <si>
    <t>BIAA, MVC, Big West, Sun Belt, WAC</t>
  </si>
  <si>
    <t>Tar Heels</t>
  </si>
  <si>
    <t>Chapel Hill</t>
  </si>
  <si>
    <t>North Texas</t>
  </si>
  <si>
    <t>Mean Green</t>
  </si>
  <si>
    <t>Denton</t>
  </si>
  <si>
    <t>TIAA, Lone Star, Gulf Coast Conference, MVC, Southland, Big West, Sun Belt</t>
  </si>
  <si>
    <t>Northern Illinois</t>
  </si>
  <si>
    <t>Huskies</t>
  </si>
  <si>
    <t>DeKalb</t>
  </si>
  <si>
    <t>IIAC, Big West</t>
  </si>
  <si>
    <t>Northwestern</t>
  </si>
  <si>
    <t>Evanston</t>
  </si>
  <si>
    <t>Notre Dame</t>
  </si>
  <si>
    <t>Fighting Irish</t>
  </si>
  <si>
    <t>South Bend</t>
  </si>
  <si>
    <t>Bobcats</t>
  </si>
  <si>
    <t>Ohio State</t>
  </si>
  <si>
    <t>Buckeyes</t>
  </si>
  <si>
    <t>Columbus</t>
  </si>
  <si>
    <t>Oklahoma</t>
  </si>
  <si>
    <t>Sooners</t>
  </si>
  <si>
    <t>Norman</t>
  </si>
  <si>
    <t>Oklahoma Intercollegiate Conference, SWC, MVC, Big 8</t>
  </si>
  <si>
    <t>Oklahoma State</t>
  </si>
  <si>
    <t>Cowboys</t>
  </si>
  <si>
    <t>Stillwater</t>
  </si>
  <si>
    <t>Old Dominion</t>
  </si>
  <si>
    <t>Monarchs</t>
  </si>
  <si>
    <t>Norfolk</t>
  </si>
  <si>
    <t>Ole Miss</t>
  </si>
  <si>
    <t>Rebels</t>
  </si>
  <si>
    <t>Oregon</t>
  </si>
  <si>
    <t>Ducks</t>
  </si>
  <si>
    <t>Eugene</t>
  </si>
  <si>
    <t>PCC, Independent</t>
  </si>
  <si>
    <t>Oregon State</t>
  </si>
  <si>
    <t>Beavers</t>
  </si>
  <si>
    <t>Corvallis</t>
  </si>
  <si>
    <t>Penn State</t>
  </si>
  <si>
    <t>Nittany Lions</t>
  </si>
  <si>
    <t>University Park</t>
  </si>
  <si>
    <t>Pennsylvania</t>
  </si>
  <si>
    <t>Pittsburgh</t>
  </si>
  <si>
    <t>Purdue</t>
  </si>
  <si>
    <t>Boilermakers</t>
  </si>
  <si>
    <t>West Lafayette</t>
  </si>
  <si>
    <t>Rice</t>
  </si>
  <si>
    <t>TIAA, SWC, WAC</t>
  </si>
  <si>
    <t>Rutgers</t>
  </si>
  <si>
    <t>Scarlet Knights</t>
  </si>
  <si>
    <t>Piscataway</t>
  </si>
  <si>
    <t>New Jersey</t>
  </si>
  <si>
    <t>Middle Atlantic, Big East, American</t>
  </si>
  <si>
    <t>San Diego State</t>
  </si>
  <si>
    <t>Aztecs</t>
  </si>
  <si>
    <t>San Diego</t>
  </si>
  <si>
    <t>Southern California Junior College Conference, SCIAC, CCAA, Big West, WAC</t>
  </si>
  <si>
    <t>San Jose State</t>
  </si>
  <si>
    <t>San Jose</t>
  </si>
  <si>
    <t>California Coast Conference, NCAC, California Collegiate, Big West, WAC</t>
  </si>
  <si>
    <t>SMU</t>
  </si>
  <si>
    <t>Mustangs</t>
  </si>
  <si>
    <t>TIAA, SWC, WAC, C-USA[n 3]</t>
  </si>
  <si>
    <t>South Alabama</t>
  </si>
  <si>
    <t>Jaguars</t>
  </si>
  <si>
    <t>Mobile</t>
  </si>
  <si>
    <t>Gamecocks</t>
  </si>
  <si>
    <t>SIAA, SoCon, ACC</t>
  </si>
  <si>
    <t>South Florida</t>
  </si>
  <si>
    <t>Tampa</t>
  </si>
  <si>
    <t>C-USA, Big East</t>
  </si>
  <si>
    <t>Southern Miss</t>
  </si>
  <si>
    <t>Golden Eagles</t>
  </si>
  <si>
    <t>Hattiesburg</t>
  </si>
  <si>
    <t>Gulf States Conference, SIAA</t>
  </si>
  <si>
    <t>Stanford</t>
  </si>
  <si>
    <t>Cardinal</t>
  </si>
  <si>
    <t>Syracuse</t>
  </si>
  <si>
    <t>Orange</t>
  </si>
  <si>
    <t>TCU</t>
  </si>
  <si>
    <t>Horned Frogs</t>
  </si>
  <si>
    <t>Fort Worth</t>
  </si>
  <si>
    <t>TIAA, SWC, WAC, C-USA, MW</t>
  </si>
  <si>
    <t>Temple</t>
  </si>
  <si>
    <t>Philadelphia</t>
  </si>
  <si>
    <t>Middle Atlantic, Big East, MAC, Big East</t>
  </si>
  <si>
    <t>Volunteers</t>
  </si>
  <si>
    <t>Knoxville</t>
  </si>
  <si>
    <t>Longhorns</t>
  </si>
  <si>
    <t>Austin</t>
  </si>
  <si>
    <t>SIAA, TIAA, SWC</t>
  </si>
  <si>
    <t>Texas A&amp;M</t>
  </si>
  <si>
    <t>College Station</t>
  </si>
  <si>
    <t>SIAA, SWC, Big 12</t>
  </si>
  <si>
    <t>Texas State</t>
  </si>
  <si>
    <t>San Marcos</t>
  </si>
  <si>
    <t>TIAA, Lone Star, Gulf Star, Southland, WAC</t>
  </si>
  <si>
    <t>Texas Tech</t>
  </si>
  <si>
    <t>Red Raiders</t>
  </si>
  <si>
    <t>Lubbock</t>
  </si>
  <si>
    <t>BIAA, SWC</t>
  </si>
  <si>
    <t>Toledo</t>
  </si>
  <si>
    <t>Rockets</t>
  </si>
  <si>
    <t>Northwestern Ohio Intercollegiate Athletic Association, OAC</t>
  </si>
  <si>
    <t>Troy</t>
  </si>
  <si>
    <t>Trojans</t>
  </si>
  <si>
    <t>Alabama Intercollegiate Conference, SIAA, Alabama Collegiate Conference, Mid-South Athletic Conference, Gulf South, Southland</t>
  </si>
  <si>
    <t>Tulane</t>
  </si>
  <si>
    <t>Green Wave</t>
  </si>
  <si>
    <t>New Orleans</t>
  </si>
  <si>
    <t>SIAA, SoCon, SEC, C-USA</t>
  </si>
  <si>
    <t>Tulsa</t>
  </si>
  <si>
    <t>Golden Hurricane</t>
  </si>
  <si>
    <t>Oklahoma Intercollegiate Conference, Big 4 Conference, MVC, WAC, C-USA</t>
  </si>
  <si>
    <t>UAB</t>
  </si>
  <si>
    <t>Blazers</t>
  </si>
  <si>
    <t>Birmingham</t>
  </si>
  <si>
    <t>UCF</t>
  </si>
  <si>
    <t>Knights</t>
  </si>
  <si>
    <t>Orlando</t>
  </si>
  <si>
    <t>MAC, C-USA</t>
  </si>
  <si>
    <t>UCLA</t>
  </si>
  <si>
    <t>Bruins</t>
  </si>
  <si>
    <t>Los Angeles</t>
  </si>
  <si>
    <t>SCIAC, PCC</t>
  </si>
  <si>
    <t>UConn</t>
  </si>
  <si>
    <t>Storrs[n 5]</t>
  </si>
  <si>
    <t>Connecticut</t>
  </si>
  <si>
    <t>Yankee, A-10, Big East</t>
  </si>
  <si>
    <t>UMass</t>
  </si>
  <si>
    <t>Minutemen</t>
  </si>
  <si>
    <t>Amherst</t>
  </si>
  <si>
    <t>Yankee, A-10, CAA, MAC</t>
  </si>
  <si>
    <t>UNLV</t>
  </si>
  <si>
    <t>Las Vegas[n 6]</t>
  </si>
  <si>
    <t>Big West, WAC</t>
  </si>
  <si>
    <t>USC</t>
  </si>
  <si>
    <t>UTEP</t>
  </si>
  <si>
    <t>Miners</t>
  </si>
  <si>
    <t>El Paso</t>
  </si>
  <si>
    <t>UTSA</t>
  </si>
  <si>
    <t>Roadrunners</t>
  </si>
  <si>
    <t>San Antonio</t>
  </si>
  <si>
    <t>Utes</t>
  </si>
  <si>
    <t>Salt Lake City</t>
  </si>
  <si>
    <t>Colorado Football Association, RMAC, Mountain States, WAC, MW</t>
  </si>
  <si>
    <t>Utah State</t>
  </si>
  <si>
    <t>Logan</t>
  </si>
  <si>
    <t>Colorado Football Association, RMAC, Mountain States, Big West, Independent, Sun Belt, WAC</t>
  </si>
  <si>
    <t>Vanderbilt</t>
  </si>
  <si>
    <t>Commodores</t>
  </si>
  <si>
    <t>Nashville</t>
  </si>
  <si>
    <t>Cavaliers</t>
  </si>
  <si>
    <t>Charlottesville</t>
  </si>
  <si>
    <t>SAIAA, SoCon</t>
  </si>
  <si>
    <t>Virginia Tech</t>
  </si>
  <si>
    <t>Hokies</t>
  </si>
  <si>
    <t>Blacksburg</t>
  </si>
  <si>
    <t>SAIAA, SIAA, SoCon, Big East</t>
  </si>
  <si>
    <t>Wake Forest</t>
  </si>
  <si>
    <t>Demon Deacons</t>
  </si>
  <si>
    <t>Winston-Salem</t>
  </si>
  <si>
    <t>Big Five Conference, SoCon</t>
  </si>
  <si>
    <t>Washington</t>
  </si>
  <si>
    <t>Seattle</t>
  </si>
  <si>
    <t>Washington State</t>
  </si>
  <si>
    <t>Pullman</t>
  </si>
  <si>
    <t>Morgantown</t>
  </si>
  <si>
    <t>SoCon, WVIAC, Big East</t>
  </si>
  <si>
    <t>Western Kentucky</t>
  </si>
  <si>
    <t>Hilltoppers</t>
  </si>
  <si>
    <t>SIAA, KIAC, OVC, MVFC, Sun Belt</t>
  </si>
  <si>
    <t>Western Michigan</t>
  </si>
  <si>
    <t>Kalamazoo</t>
  </si>
  <si>
    <t>MCC</t>
  </si>
  <si>
    <t>Wisconsin</t>
  </si>
  <si>
    <t>Badgers</t>
  </si>
  <si>
    <t>Madison</t>
  </si>
  <si>
    <t>Wyoming</t>
  </si>
  <si>
    <t>Laramie</t>
  </si>
  <si>
    <t>Colorado Football Association, RMAC, WAC</t>
  </si>
  <si>
    <t>Year</t>
  </si>
  <si>
    <t>WK</t>
  </si>
  <si>
    <t>RK</t>
  </si>
  <si>
    <t>W</t>
  </si>
  <si>
    <t>L</t>
  </si>
  <si>
    <t>Result</t>
  </si>
  <si>
    <t>Opponent</t>
  </si>
  <si>
    <t>PF</t>
  </si>
  <si>
    <t>PA</t>
  </si>
  <si>
    <t>Rating</t>
  </si>
  <si>
    <t>SCH</t>
  </si>
  <si>
    <t>Then #</t>
  </si>
  <si>
    <t>Beat</t>
  </si>
  <si>
    <t>Bye Week</t>
  </si>
  <si>
    <t>Lost To</t>
  </si>
  <si>
    <t>Nevada-Las Vegas</t>
  </si>
  <si>
    <t>Central Florida</t>
  </si>
  <si>
    <t>Southern Cal</t>
  </si>
  <si>
    <t>La. Monroe</t>
  </si>
  <si>
    <t>North Carolina St.</t>
  </si>
  <si>
    <t>La. Lafayette</t>
  </si>
  <si>
    <t>Brigham Young</t>
  </si>
  <si>
    <t>Miami (Fla.)</t>
  </si>
  <si>
    <t>Miami (Ohio)</t>
  </si>
  <si>
    <t>Florida Int.</t>
  </si>
  <si>
    <t>Texas-San Antonio</t>
  </si>
  <si>
    <t>Texas-El Paso</t>
  </si>
  <si>
    <t>_x001A_</t>
  </si>
  <si>
    <t>0-6</t>
  </si>
  <si>
    <t>0-5</t>
  </si>
  <si>
    <t>Louisiana Monroe</t>
  </si>
  <si>
    <t>FEI</t>
  </si>
  <si>
    <t>Rk</t>
  </si>
  <si>
    <t>W-L</t>
  </si>
  <si>
    <t>OFEI</t>
  </si>
  <si>
    <t>DFEI</t>
  </si>
  <si>
    <t>PL</t>
  </si>
  <si>
    <t>0L</t>
  </si>
  <si>
    <t>1L</t>
  </si>
  <si>
    <t>2L</t>
  </si>
  <si>
    <t>3L</t>
  </si>
  <si>
    <t>4L</t>
  </si>
  <si>
    <t>5L</t>
  </si>
  <si>
    <t>6L</t>
  </si>
  <si>
    <t>7L</t>
  </si>
  <si>
    <t>8L</t>
  </si>
  <si>
    <t>9L</t>
  </si>
  <si>
    <t>10L</t>
  </si>
  <si>
    <t>11L</t>
  </si>
  <si>
    <t>12L</t>
  </si>
  <si>
    <t>-</t>
  </si>
  <si>
    <t>Louisiana Lafayette</t>
  </si>
  <si>
    <t>North Carolina State</t>
  </si>
  <si>
    <t>Southern Mississippi</t>
  </si>
  <si>
    <t>Florida International</t>
  </si>
  <si>
    <t>0-4</t>
  </si>
  <si>
    <t>2019 Football Power Index</t>
  </si>
  <si>
    <t>TEAM</t>
  </si>
  <si>
    <t>PROJ W-L</t>
  </si>
  <si>
    <t>WIN OUT%</t>
  </si>
  <si>
    <t>CONF WIN%</t>
  </si>
  <si>
    <t>REM SOS RK</t>
  </si>
  <si>
    <t>FPI</t>
  </si>
  <si>
    <t>Alabama, SEC</t>
  </si>
  <si>
    <t>11.6 - 1.1</t>
  </si>
  <si>
    <t>Ohio State, Big Ten</t>
  </si>
  <si>
    <t>12.0 - 0.8</t>
  </si>
  <si>
    <t>Clemson, ACC</t>
  </si>
  <si>
    <t>12.5 - 0.5</t>
  </si>
  <si>
    <t>Georgia, SEC</t>
  </si>
  <si>
    <t>11.1 - 1.6</t>
  </si>
  <si>
    <t>LSU, SEC</t>
  </si>
  <si>
    <t>10.4 - 1.9</t>
  </si>
  <si>
    <t>Oklahoma, Big 12</t>
  </si>
  <si>
    <t>11.8 - 1.1</t>
  </si>
  <si>
    <t>Penn State, Big Ten</t>
  </si>
  <si>
    <t>10.1 - 2.0</t>
  </si>
  <si>
    <t>Notre Dame, FBS Indep.</t>
  </si>
  <si>
    <t>10.0 - 2.0</t>
  </si>
  <si>
    <t>--</t>
  </si>
  <si>
    <t>Auburn, SEC</t>
  </si>
  <si>
    <t>8.9 - 3.1</t>
  </si>
  <si>
    <t>Wisconsin, Big Ten</t>
  </si>
  <si>
    <t>10.5 - 2.3</t>
  </si>
  <si>
    <t>Oregon, Pac-12</t>
  </si>
  <si>
    <t>10.3 - 2.6</t>
  </si>
  <si>
    <t>Florida, SEC</t>
  </si>
  <si>
    <t>9.6 - 2.6</t>
  </si>
  <si>
    <t>Michigan, Big Ten</t>
  </si>
  <si>
    <t>7.7 - 4.3</t>
  </si>
  <si>
    <t>Washington, Pac-12</t>
  </si>
  <si>
    <t>8.2 - 3.9</t>
  </si>
  <si>
    <t>Mich. St., Big Ten</t>
  </si>
  <si>
    <t>7.8 - 4.3</t>
  </si>
  <si>
    <t>Texas A&amp;M, SEC</t>
  </si>
  <si>
    <t>6.6 - 5.4</t>
  </si>
  <si>
    <t>Missouri, SEC</t>
  </si>
  <si>
    <t>8.7 - 3.4</t>
  </si>
  <si>
    <t>Iowa, Big Ten</t>
  </si>
  <si>
    <t>Iowa State, Big 12</t>
  </si>
  <si>
    <t>7.5 - 4.6</t>
  </si>
  <si>
    <t>Texas, Big 12</t>
  </si>
  <si>
    <t>8.4 - 4.0</t>
  </si>
  <si>
    <t>Utah, Pac-12</t>
  </si>
  <si>
    <t>9.2 - 3.2</t>
  </si>
  <si>
    <t>UCF, American</t>
  </si>
  <si>
    <t>9.3 - 2.9</t>
  </si>
  <si>
    <t>USC, Pac-12</t>
  </si>
  <si>
    <t>7.0 - 5.4</t>
  </si>
  <si>
    <t>Baylor, Big 12</t>
  </si>
  <si>
    <t>9.3 - 3.1</t>
  </si>
  <si>
    <t>S Carolina, SEC</t>
  </si>
  <si>
    <t>5.2 - 6.8</t>
  </si>
  <si>
    <t>Oklahoma State, Big 12</t>
  </si>
  <si>
    <t>Miss St, SEC</t>
  </si>
  <si>
    <t>6.7 - 5.3</t>
  </si>
  <si>
    <t>Cincinnati, American</t>
  </si>
  <si>
    <t>10.0 - 2.7</t>
  </si>
  <si>
    <t>Washington St, Pac-12</t>
  </si>
  <si>
    <t>6.5 - 5.6</t>
  </si>
  <si>
    <t>Miami, ACC</t>
  </si>
  <si>
    <t>Boise State, MW</t>
  </si>
  <si>
    <t>11.0 - 1.7</t>
  </si>
  <si>
    <t>Florida State, ACC</t>
  </si>
  <si>
    <t>TCU, Big 12</t>
  </si>
  <si>
    <t>5.9 - 6.1</t>
  </si>
  <si>
    <t>Virginia, ACC</t>
  </si>
  <si>
    <t>8.6 - 3.8</t>
  </si>
  <si>
    <t>Duke, ACC</t>
  </si>
  <si>
    <t>6.8 - 5.4</t>
  </si>
  <si>
    <t>Minnesota, Big Ten</t>
  </si>
  <si>
    <t>8.4 - 3.7</t>
  </si>
  <si>
    <t>Arizona State, Pac-12</t>
  </si>
  <si>
    <t>7.2 - 4.9</t>
  </si>
  <si>
    <t>North Carolina, ACC</t>
  </si>
  <si>
    <t>6.9 - 5.4</t>
  </si>
  <si>
    <t>SMU, American</t>
  </si>
  <si>
    <t>10.3 - 2.2</t>
  </si>
  <si>
    <t>Stanford, Pac-12</t>
  </si>
  <si>
    <t>6.0 - 6.0</t>
  </si>
  <si>
    <t>Memphis, American</t>
  </si>
  <si>
    <t>9.4 - 2.9</t>
  </si>
  <si>
    <t>Kentucky, SEC</t>
  </si>
  <si>
    <t>6.2 - 5.8</t>
  </si>
  <si>
    <t>Kansas State, Big 12</t>
  </si>
  <si>
    <t>Maryland, Big Ten</t>
  </si>
  <si>
    <t>5.8 - 6.2</t>
  </si>
  <si>
    <t>Cal, Pac-12</t>
  </si>
  <si>
    <t>6.8 - 5.2</t>
  </si>
  <si>
    <t>Arizona, Pac-12</t>
  </si>
  <si>
    <t>6.4 - 5.7</t>
  </si>
  <si>
    <t>Wake Forest, ACC</t>
  </si>
  <si>
    <t>8.6 - 3.5</t>
  </si>
  <si>
    <t>Tulane, American</t>
  </si>
  <si>
    <t>8.1 - 4.1</t>
  </si>
  <si>
    <t>Ole Miss, SEC</t>
  </si>
  <si>
    <t>4.9 - 7.1</t>
  </si>
  <si>
    <t>Indiana, Big Ten</t>
  </si>
  <si>
    <t>6.4 - 5.6</t>
  </si>
  <si>
    <t>Texas Tech, Big 12</t>
  </si>
  <si>
    <t>6.1 - 6.0</t>
  </si>
  <si>
    <t>Louisiana, Sun Belt</t>
  </si>
  <si>
    <t>10.2 - 2.6</t>
  </si>
  <si>
    <t>Tennessee, SEC</t>
  </si>
  <si>
    <t>3.8 - 8.2</t>
  </si>
  <si>
    <t>Nebraska, Big Ten</t>
  </si>
  <si>
    <t>Pittsburgh, ACC</t>
  </si>
  <si>
    <t>Utah State, MW</t>
  </si>
  <si>
    <t>7.6 - 4.7</t>
  </si>
  <si>
    <t>Louisville, ACC</t>
  </si>
  <si>
    <t>5.5 - 6.5</t>
  </si>
  <si>
    <t>BYU, FBS Indep.</t>
  </si>
  <si>
    <t>Appalachian St, Sun Belt</t>
  </si>
  <si>
    <t>9.9 - 2.9</t>
  </si>
  <si>
    <t>UCLA, Pac-12</t>
  </si>
  <si>
    <t>3.2 - 8.8</t>
  </si>
  <si>
    <t>Colorado, Pac-12</t>
  </si>
  <si>
    <t>4.8 - 7.2</t>
  </si>
  <si>
    <t>Oregon St, Pac-12</t>
  </si>
  <si>
    <t>Northwestern, Big Ten</t>
  </si>
  <si>
    <t>4.3 - 7.7</t>
  </si>
  <si>
    <t>Houston, American</t>
  </si>
  <si>
    <t>5.6 - 6.4</t>
  </si>
  <si>
    <t>Toledo, MAC</t>
  </si>
  <si>
    <t>10.3 - 2.5</t>
  </si>
  <si>
    <t>NC State, ACC</t>
  </si>
  <si>
    <t>Air Force, MW</t>
  </si>
  <si>
    <t>7.4 - 4.6</t>
  </si>
  <si>
    <t>Syracuse, ACC</t>
  </si>
  <si>
    <t>Hawai'i, MW</t>
  </si>
  <si>
    <t>9.6 - 4.0</t>
  </si>
  <si>
    <t>W Michigan, MAC</t>
  </si>
  <si>
    <t>7.9 - 4.3</t>
  </si>
  <si>
    <t>West Virginia, Big 12</t>
  </si>
  <si>
    <t>4.7 - 7.3</t>
  </si>
  <si>
    <t>San Diego State, MW</t>
  </si>
  <si>
    <t>8.6 - 3.7</t>
  </si>
  <si>
    <t>Virginia Tech, ACC</t>
  </si>
  <si>
    <t>Fresno State, MW</t>
  </si>
  <si>
    <t>7.0 - 5.2</t>
  </si>
  <si>
    <t>Wyoming, MW</t>
  </si>
  <si>
    <t>7.9 - 4.1</t>
  </si>
  <si>
    <t>Navy, American</t>
  </si>
  <si>
    <t>Temple, American</t>
  </si>
  <si>
    <t>Boston College, ACC</t>
  </si>
  <si>
    <t>4.5 - 7.5</t>
  </si>
  <si>
    <t>Purdue, Big Ten</t>
  </si>
  <si>
    <t>3.3 - 8.7</t>
  </si>
  <si>
    <t>FAU, C-USA</t>
  </si>
  <si>
    <t>8.5 - 4.1</t>
  </si>
  <si>
    <t>Army, FBS Indep.</t>
  </si>
  <si>
    <t>8.0 - 5.0</t>
  </si>
  <si>
    <t>Arkansas, SEC</t>
  </si>
  <si>
    <t>3.4 - 8.6</t>
  </si>
  <si>
    <t>Tulsa, American</t>
  </si>
  <si>
    <t>Vanderbilt, SEC</t>
  </si>
  <si>
    <t>3.7 - 8.3</t>
  </si>
  <si>
    <t>Southern Miss, C-USA</t>
  </si>
  <si>
    <t>7.7 - 4.6</t>
  </si>
  <si>
    <t>North Texas, C-USA</t>
  </si>
  <si>
    <t>Arkansas State, Sun Belt</t>
  </si>
  <si>
    <t>6.9 - 5.2</t>
  </si>
  <si>
    <t>Marshall, C-USA</t>
  </si>
  <si>
    <t>Illinois, Big Ten</t>
  </si>
  <si>
    <t>Florida Intl, C-USA</t>
  </si>
  <si>
    <t>Ohio, MAC</t>
  </si>
  <si>
    <t>6.8 - 5.8</t>
  </si>
  <si>
    <t>USF, American</t>
  </si>
  <si>
    <t>4.2 - 7.8</t>
  </si>
  <si>
    <t>LA Tech, C-USA</t>
  </si>
  <si>
    <t>Troy, Sun Belt</t>
  </si>
  <si>
    <t>5.3 - 6.7</t>
  </si>
  <si>
    <t>W Kentucky, C-USA</t>
  </si>
  <si>
    <t>6.3 - 6.0</t>
  </si>
  <si>
    <t>Ball State, MAC</t>
  </si>
  <si>
    <t>Ga Southern, Sun Belt</t>
  </si>
  <si>
    <t>5.6 - 6.5</t>
  </si>
  <si>
    <t>C. Carolina, Sun Belt</t>
  </si>
  <si>
    <t>6.3 - 5.7</t>
  </si>
  <si>
    <t>Georgia State, Sun Belt</t>
  </si>
  <si>
    <t>UAB, C-USA</t>
  </si>
  <si>
    <t>7.6 - 4.4</t>
  </si>
  <si>
    <t>Kansas, Big 12</t>
  </si>
  <si>
    <t>2.6 - 9.4</t>
  </si>
  <si>
    <t>N Illinois, MAC</t>
  </si>
  <si>
    <t>Mid Tennessee, C-USA</t>
  </si>
  <si>
    <t>5.5 - 6.6</t>
  </si>
  <si>
    <t>Cent Michigan, MAC</t>
  </si>
  <si>
    <t>Liberty, FBS Indep.</t>
  </si>
  <si>
    <t>7.3 - 4.7</t>
  </si>
  <si>
    <t>Kent State, MAC</t>
  </si>
  <si>
    <t>5.4 - 6.8</t>
  </si>
  <si>
    <t>San Jose State, MW</t>
  </si>
  <si>
    <t>5.1 - 6.9</t>
  </si>
  <si>
    <t>UL Monroe, Sun Belt</t>
  </si>
  <si>
    <t>4.5 - 7.6</t>
  </si>
  <si>
    <t>Colorado State, MW</t>
  </si>
  <si>
    <t>3.0 - 9.0</t>
  </si>
  <si>
    <t>Miami (OH), MAC</t>
  </si>
  <si>
    <t>5.6 - 6.6</t>
  </si>
  <si>
    <t>Georgia Tech, ACC</t>
  </si>
  <si>
    <t>2.0 - 10.0</t>
  </si>
  <si>
    <t>Buffalo, MAC</t>
  </si>
  <si>
    <t>E Michigan, MAC</t>
  </si>
  <si>
    <t>Texas State, Sun Belt</t>
  </si>
  <si>
    <t>4.6 - 7.4</t>
  </si>
  <si>
    <t>Charlotte, C-USA</t>
  </si>
  <si>
    <t>East Carolina, American</t>
  </si>
  <si>
    <t>New Mexico, MW</t>
  </si>
  <si>
    <t>Rutgers, Big Ten</t>
  </si>
  <si>
    <t>1.8 - 10.2</t>
  </si>
  <si>
    <t>UNLV, MW</t>
  </si>
  <si>
    <t>2.7 - 9.3</t>
  </si>
  <si>
    <t>Rice, C-USA</t>
  </si>
  <si>
    <t>2.2 - 9.8</t>
  </si>
  <si>
    <t>Nevada, MW</t>
  </si>
  <si>
    <t>UTSA, C-USA</t>
  </si>
  <si>
    <t>3.6 - 8.4</t>
  </si>
  <si>
    <t>New Mexico St, FBS Indep.</t>
  </si>
  <si>
    <t>2.1 - 9.9</t>
  </si>
  <si>
    <t>Old Dominion, C-USA</t>
  </si>
  <si>
    <t>South Alabama, Sun Belt</t>
  </si>
  <si>
    <t>1.7 - 10.3</t>
  </si>
  <si>
    <t>Bowling Green, MAC</t>
  </si>
  <si>
    <t>2.3 - 9.7</t>
  </si>
  <si>
    <t>UConn, American</t>
  </si>
  <si>
    <t>UTEP, C-USA</t>
  </si>
  <si>
    <t>Akron, MAC</t>
  </si>
  <si>
    <t>1.2 - 10.8</t>
  </si>
  <si>
    <t>UMass, FBS Indep.</t>
  </si>
  <si>
    <t>1.6 - 10.4</t>
  </si>
  <si>
    <t>2019 Team Efficiencies</t>
  </si>
  <si>
    <t>OFFENSE</t>
  </si>
  <si>
    <t>DEFENSE</t>
  </si>
  <si>
    <t>SPECIAL TMS</t>
  </si>
  <si>
    <t>OVERALL</t>
  </si>
  <si>
    <t>Conference</t>
  </si>
  <si>
    <t>MW</t>
  </si>
  <si>
    <t>FBS Indep.</t>
  </si>
  <si>
    <t>Michigan St</t>
  </si>
  <si>
    <t>ESPN FPI and Team Efficiency Statistics</t>
  </si>
  <si>
    <t>Football Outsiders FEI Statistics</t>
  </si>
  <si>
    <t>ST Eff.</t>
  </si>
  <si>
    <t>Team FEI</t>
  </si>
  <si>
    <t>Off. FEI</t>
  </si>
  <si>
    <t>Def. FEI</t>
  </si>
  <si>
    <t>Def. Eff.</t>
  </si>
  <si>
    <t xml:space="preserve">Off. Eff. </t>
  </si>
  <si>
    <t>Team Eff.</t>
  </si>
  <si>
    <t>Team FPI</t>
  </si>
  <si>
    <t>Billingsley Report</t>
  </si>
  <si>
    <t>Sorting Options</t>
  </si>
  <si>
    <t>Composite Offense</t>
  </si>
  <si>
    <t>Composite Defense</t>
  </si>
  <si>
    <t>Composite Special Teams</t>
  </si>
  <si>
    <t>Off. %</t>
  </si>
  <si>
    <t>Def. %</t>
  </si>
  <si>
    <t>ST %</t>
  </si>
  <si>
    <t>BR %</t>
  </si>
  <si>
    <t>BR Rating</t>
  </si>
  <si>
    <t>Rank</t>
  </si>
  <si>
    <t>Brant Composite Rankings Index™</t>
  </si>
  <si>
    <t>Brant Composite Rankings Index (BCRI)</t>
  </si>
  <si>
    <t>Composite Team Eff.</t>
  </si>
  <si>
    <t>Team %</t>
  </si>
  <si>
    <t>Currently, BCRI just takes an average of the composite offense, defense, special teams, and team efficiency ratings from FPI, ESPN Team Efficiencies, FEI, and the Billingsley Report.</t>
  </si>
  <si>
    <t>Plays Per Game</t>
  </si>
  <si>
    <t>Last 3</t>
  </si>
  <si>
    <t>Last 1</t>
  </si>
  <si>
    <t>Home</t>
  </si>
  <si>
    <t>Away</t>
  </si>
  <si>
    <t>Fla Atlantic</t>
  </si>
  <si>
    <t>S Methodist</t>
  </si>
  <si>
    <t>Oklahoma St</t>
  </si>
  <si>
    <t>Boston Col</t>
  </si>
  <si>
    <t>TX Christian</t>
  </si>
  <si>
    <t>LA Monroe</t>
  </si>
  <si>
    <t>N Carolina</t>
  </si>
  <si>
    <t>Central FL</t>
  </si>
  <si>
    <t>Florida St</t>
  </si>
  <si>
    <t>San Diego St</t>
  </si>
  <si>
    <t>LA Tech</t>
  </si>
  <si>
    <t>Oregon St</t>
  </si>
  <si>
    <t>S Carolina</t>
  </si>
  <si>
    <t>Colorado St</t>
  </si>
  <si>
    <t>W Michigan</t>
  </si>
  <si>
    <t>Fresno St</t>
  </si>
  <si>
    <t>San Jose St</t>
  </si>
  <si>
    <t>N Mex State</t>
  </si>
  <si>
    <t>LA Lafayette</t>
  </si>
  <si>
    <t>VA Tech</t>
  </si>
  <si>
    <t>W Virginia</t>
  </si>
  <si>
    <t>Wash State</t>
  </si>
  <si>
    <t>Arkansas St</t>
  </si>
  <si>
    <t>Florida Intl</t>
  </si>
  <si>
    <t>N Illinois</t>
  </si>
  <si>
    <t>E Michigan</t>
  </si>
  <si>
    <t>Coastal Car</t>
  </si>
  <si>
    <t>TX-San Ant</t>
  </si>
  <si>
    <t>Central Mich</t>
  </si>
  <si>
    <t>Bowling Grn</t>
  </si>
  <si>
    <t>U Mass</t>
  </si>
  <si>
    <t>Arizona St</t>
  </si>
  <si>
    <t>Miss State</t>
  </si>
  <si>
    <t>S Florida</t>
  </si>
  <si>
    <t>Kansas St</t>
  </si>
  <si>
    <t>GA Tech</t>
  </si>
  <si>
    <t>E Carolina</t>
  </si>
  <si>
    <t>W Kentucky</t>
  </si>
  <si>
    <t>S Alabama</t>
  </si>
  <si>
    <t>Middle Tenn</t>
  </si>
  <si>
    <t>S Mississippi</t>
  </si>
  <si>
    <t>App State</t>
  </si>
  <si>
    <t>GA Southern</t>
  </si>
  <si>
    <t>TX El Paso</t>
  </si>
  <si>
    <t>Field Goal Attempts Per Game</t>
  </si>
  <si>
    <t>Punt Attempts Per Game</t>
  </si>
  <si>
    <t>Opposing Team Plays Per Game</t>
  </si>
  <si>
    <t>Opposing Team Field Goal Attempts Per Game</t>
  </si>
  <si>
    <t>Opposing Team Punt Attempts Per Game</t>
  </si>
  <si>
    <t>PlaysPerGame</t>
  </si>
  <si>
    <t>OppPlaysPerGame</t>
  </si>
  <si>
    <t>FGAPerGame</t>
  </si>
  <si>
    <t>PuntAttPerGame</t>
  </si>
  <si>
    <t>OppFGAPerGame</t>
  </si>
  <si>
    <t>OppPuntAttPerGame</t>
  </si>
  <si>
    <t>Off. Play %</t>
  </si>
  <si>
    <t>Def. Play %</t>
  </si>
  <si>
    <t>TotalPlaysPerGame</t>
  </si>
  <si>
    <t>ST Play %</t>
  </si>
  <si>
    <t>Billingsley Modifier</t>
  </si>
  <si>
    <t>Efficiency Modifier</t>
  </si>
  <si>
    <t>Team Total Modifier</t>
  </si>
  <si>
    <t>Modifier Variables</t>
  </si>
  <si>
    <t>Category</t>
  </si>
  <si>
    <t>Modifier</t>
  </si>
  <si>
    <t>Note to self: please make these control the rating updates in real time</t>
  </si>
  <si>
    <t>Eventually would like to have stats for offensive and defensive efficiency adjusted for opponents, as well as specifically passing and rushing offense and defensive efficiencies adjusted based on the percentage of the plays per game their team runs or throws or percentage of plays per game they are thrown or run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</si>
</sst>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4" x14ac:knownFonts="1">
    <font>
      <sz val="12"/>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s>
  <fills count="11">
    <fill>
      <patternFill patternType="none"/>
    </fill>
    <fill>
      <patternFill patternType="gray125"/>
    </fill>
    <fill>
      <patternFill patternType="solid">
        <fgColor rgb="FFEEEEEE"/>
        <bgColor indexed="64"/>
      </patternFill>
    </fill>
    <fill>
      <patternFill patternType="solid">
        <fgColor rgb="FFFF7E79"/>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rgb="FF7030A0"/>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theme="7"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115">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xf numFmtId="17" fontId="1" fillId="0" borderId="0" xfId="0" applyNumberFormat="1" applyFont="1"/>
    <xf numFmtId="16" fontId="1" fillId="0" borderId="0" xfId="0" applyNumberFormat="1" applyFont="1"/>
    <xf numFmtId="0" fontId="0" fillId="0" borderId="0" xfId="0" applyAlignment="1">
      <alignment horizontal="center"/>
    </xf>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8" xfId="0" applyBorder="1" applyAlignment="1">
      <alignment horizontal="center"/>
    </xf>
    <xf numFmtId="0" fontId="0" fillId="0" borderId="0" xfId="0" applyAlignment="1">
      <alignment horizontal="center" vertical="center" wrapText="1"/>
    </xf>
    <xf numFmtId="0" fontId="0" fillId="0" borderId="28" xfId="0" applyBorder="1" applyAlignment="1">
      <alignment horizontal="center"/>
    </xf>
    <xf numFmtId="0" fontId="1" fillId="0" borderId="0" xfId="0" applyFont="1" applyAlignment="1">
      <alignment horizontal="left" vertical="center" wrapText="1"/>
    </xf>
    <xf numFmtId="0" fontId="1" fillId="0" borderId="0" xfId="0" applyFont="1" applyAlignment="1">
      <alignment horizontal="right"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2" fillId="2" borderId="0" xfId="0" applyFont="1" applyFill="1" applyAlignment="1">
      <alignment horizontal="right" vertical="center" wrapText="1"/>
    </xf>
    <xf numFmtId="0" fontId="1" fillId="0" borderId="0" xfId="0" applyFont="1" applyAlignment="1">
      <alignment horizontal="center" vertical="center" wrapText="1"/>
    </xf>
    <xf numFmtId="17" fontId="1" fillId="0" borderId="0" xfId="0" applyNumberFormat="1" applyFont="1" applyAlignment="1">
      <alignment horizontal="center" vertical="center" wrapText="1"/>
    </xf>
    <xf numFmtId="16" fontId="1" fillId="0" borderId="0" xfId="0" applyNumberFormat="1" applyFont="1" applyAlignment="1">
      <alignment horizontal="center" vertical="center" wrapText="1"/>
    </xf>
    <xf numFmtId="170" fontId="0" fillId="0" borderId="14" xfId="0" applyNumberFormat="1" applyBorder="1"/>
    <xf numFmtId="170" fontId="0" fillId="0" borderId="16" xfId="0" applyNumberFormat="1" applyBorder="1"/>
    <xf numFmtId="0" fontId="0" fillId="0" borderId="5" xfId="0" applyBorder="1"/>
    <xf numFmtId="0" fontId="0" fillId="0" borderId="39" xfId="0" applyBorder="1" applyAlignment="1">
      <alignment horizontal="center"/>
    </xf>
    <xf numFmtId="0" fontId="0" fillId="0" borderId="40"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 fillId="3" borderId="4" xfId="0" applyFont="1" applyFill="1" applyBorder="1" applyAlignment="1">
      <alignment horizontal="center" vertical="center"/>
    </xf>
    <xf numFmtId="0" fontId="1" fillId="3" borderId="9" xfId="0" applyFont="1" applyFill="1" applyBorder="1" applyAlignment="1">
      <alignment horizontal="center" vertical="center"/>
    </xf>
    <xf numFmtId="0" fontId="1" fillId="4" borderId="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0" fillId="4" borderId="30" xfId="0" applyFill="1" applyBorder="1" applyAlignment="1">
      <alignment horizontal="center" vertical="center"/>
    </xf>
    <xf numFmtId="0" fontId="0" fillId="5" borderId="32" xfId="0" applyFill="1" applyBorder="1" applyAlignment="1">
      <alignment horizontal="center" vertical="center"/>
    </xf>
    <xf numFmtId="0" fontId="1" fillId="6" borderId="3"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0" fillId="6" borderId="37" xfId="0" applyFill="1" applyBorder="1" applyAlignment="1">
      <alignment horizontal="center" vertical="center"/>
    </xf>
    <xf numFmtId="0" fontId="1" fillId="7" borderId="4"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0" fillId="7" borderId="31" xfId="0" applyFill="1" applyBorder="1" applyAlignment="1">
      <alignment horizontal="center" vertical="center"/>
    </xf>
    <xf numFmtId="0" fontId="3" fillId="8" borderId="4"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0" fillId="8" borderId="31" xfId="0" applyFill="1" applyBorder="1" applyAlignment="1">
      <alignment horizontal="center" vertical="center"/>
    </xf>
    <xf numFmtId="0" fontId="1" fillId="5" borderId="4"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5" borderId="31"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27" xfId="0" applyFill="1" applyBorder="1" applyAlignment="1">
      <alignment horizontal="center" vertical="center"/>
    </xf>
    <xf numFmtId="0" fontId="0" fillId="9" borderId="28" xfId="0" applyFill="1" applyBorder="1" applyAlignment="1">
      <alignment horizontal="center"/>
    </xf>
    <xf numFmtId="49" fontId="0" fillId="0" borderId="13" xfId="0" applyNumberFormat="1" applyBorder="1"/>
    <xf numFmtId="49" fontId="0" fillId="0" borderId="6" xfId="0" applyNumberFormat="1" applyBorder="1"/>
    <xf numFmtId="49" fontId="0" fillId="0" borderId="8" xfId="0" applyNumberFormat="1" applyBorder="1"/>
    <xf numFmtId="170" fontId="0" fillId="0" borderId="15" xfId="0" applyNumberFormat="1" applyBorder="1"/>
    <xf numFmtId="170" fontId="0" fillId="0" borderId="36" xfId="0" applyNumberFormat="1" applyBorder="1"/>
    <xf numFmtId="170" fontId="0" fillId="0" borderId="11" xfId="0" applyNumberFormat="1" applyBorder="1"/>
    <xf numFmtId="170" fontId="0" fillId="0" borderId="1" xfId="0" applyNumberFormat="1" applyBorder="1"/>
    <xf numFmtId="170" fontId="0" fillId="0" borderId="12" xfId="0" applyNumberFormat="1" applyBorder="1"/>
    <xf numFmtId="170" fontId="0" fillId="0" borderId="9" xfId="0" applyNumberFormat="1" applyBorder="1"/>
    <xf numFmtId="170" fontId="0" fillId="0" borderId="30" xfId="0" applyNumberFormat="1" applyBorder="1"/>
    <xf numFmtId="170" fontId="0" fillId="0" borderId="32" xfId="0" applyNumberFormat="1" applyBorder="1"/>
    <xf numFmtId="170" fontId="0" fillId="0" borderId="4" xfId="0" applyNumberFormat="1" applyBorder="1"/>
    <xf numFmtId="170" fontId="0" fillId="0" borderId="7" xfId="0" applyNumberFormat="1" applyBorder="1"/>
    <xf numFmtId="170" fontId="0" fillId="0" borderId="3" xfId="0" applyNumberFormat="1" applyBorder="1"/>
    <xf numFmtId="170" fontId="0" fillId="0" borderId="6" xfId="0" applyNumberFormat="1" applyBorder="1"/>
    <xf numFmtId="170" fontId="0" fillId="0" borderId="8" xfId="0" applyNumberFormat="1" applyBorder="1"/>
    <xf numFmtId="170" fontId="0" fillId="0" borderId="10" xfId="0" applyNumberFormat="1" applyBorder="1"/>
    <xf numFmtId="170" fontId="0" fillId="0" borderId="35" xfId="0" applyNumberFormat="1" applyBorder="1"/>
    <xf numFmtId="0" fontId="1" fillId="10" borderId="33" xfId="0" applyFont="1" applyFill="1" applyBorder="1" applyAlignment="1">
      <alignment horizontal="center" vertical="center" wrapText="1"/>
    </xf>
    <xf numFmtId="0" fontId="1" fillId="10" borderId="34" xfId="0" applyFont="1" applyFill="1" applyBorder="1" applyAlignment="1">
      <alignment horizontal="center" vertical="center" wrapText="1"/>
    </xf>
    <xf numFmtId="0" fontId="0" fillId="10" borderId="38" xfId="0" applyFill="1" applyBorder="1" applyAlignment="1">
      <alignment horizontal="center" vertical="center"/>
    </xf>
    <xf numFmtId="170" fontId="0" fillId="0" borderId="33" xfId="0" applyNumberFormat="1" applyBorder="1"/>
    <xf numFmtId="170" fontId="0" fillId="0" borderId="34" xfId="0" applyNumberFormat="1" applyBorder="1"/>
    <xf numFmtId="0" fontId="0" fillId="0" borderId="17" xfId="0" applyBorder="1" applyAlignment="1">
      <alignment horizontal="center"/>
    </xf>
    <xf numFmtId="0" fontId="0" fillId="0" borderId="20" xfId="0" applyBorder="1" applyAlignment="1">
      <alignment horizontal="center"/>
    </xf>
    <xf numFmtId="0" fontId="0" fillId="0" borderId="19" xfId="0" applyBorder="1" applyAlignment="1">
      <alignment horizontal="center"/>
    </xf>
    <xf numFmtId="0" fontId="0" fillId="0" borderId="2" xfId="0" applyBorder="1" applyAlignment="1">
      <alignment horizontal="center"/>
    </xf>
    <xf numFmtId="0" fontId="0" fillId="0" borderId="41" xfId="0" applyBorder="1"/>
    <xf numFmtId="0" fontId="0" fillId="0" borderId="42" xfId="0" applyBorder="1"/>
    <xf numFmtId="0" fontId="0" fillId="0" borderId="43" xfId="0" applyBorder="1"/>
    <xf numFmtId="0" fontId="0" fillId="0" borderId="44" xfId="0" applyBorder="1" applyAlignment="1">
      <alignment horizontal="center"/>
    </xf>
    <xf numFmtId="0" fontId="0" fillId="0" borderId="36" xfId="0" applyBorder="1"/>
    <xf numFmtId="0" fontId="0" fillId="0" borderId="35" xfId="0" applyBorder="1"/>
    <xf numFmtId="0" fontId="0" fillId="0" borderId="34" xfId="0" applyBorder="1"/>
    <xf numFmtId="170" fontId="0" fillId="0" borderId="13" xfId="0" applyNumberFormat="1" applyBorder="1"/>
    <xf numFmtId="0" fontId="0" fillId="9" borderId="22" xfId="0" applyFont="1" applyFill="1" applyBorder="1" applyAlignment="1">
      <alignment horizontal="center" vertical="center" wrapText="1"/>
    </xf>
    <xf numFmtId="0" fontId="0" fillId="9" borderId="23" xfId="0" applyFont="1" applyFill="1" applyBorder="1" applyAlignment="1">
      <alignment horizontal="center" vertical="center" wrapText="1"/>
    </xf>
    <xf numFmtId="0" fontId="0" fillId="9" borderId="24" xfId="0" applyFont="1" applyFill="1" applyBorder="1" applyAlignment="1">
      <alignment horizontal="center" vertical="center" wrapText="1"/>
    </xf>
    <xf numFmtId="0" fontId="0" fillId="9" borderId="25"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9" borderId="26" xfId="0" applyFont="1" applyFill="1" applyBorder="1" applyAlignment="1">
      <alignment horizontal="center" vertical="center" wrapText="1"/>
    </xf>
    <xf numFmtId="0" fontId="0" fillId="9" borderId="27" xfId="0" applyFill="1" applyBorder="1" applyAlignment="1">
      <alignment horizontal="center" vertical="center" wrapText="1"/>
    </xf>
    <xf numFmtId="0" fontId="0" fillId="9" borderId="32" xfId="0" applyFill="1" applyBorder="1" applyAlignment="1">
      <alignment horizontal="center" vertical="center" wrapText="1"/>
    </xf>
    <xf numFmtId="0" fontId="0" fillId="9" borderId="18" xfId="0" applyFill="1" applyBorder="1" applyAlignment="1">
      <alignment horizontal="center" vertical="center"/>
    </xf>
    <xf numFmtId="49" fontId="0" fillId="0" borderId="41" xfId="0" applyNumberFormat="1" applyBorder="1"/>
    <xf numFmtId="49" fontId="0" fillId="0" borderId="42" xfId="0" applyNumberFormat="1" applyBorder="1"/>
    <xf numFmtId="49" fontId="0" fillId="0" borderId="43" xfId="0" applyNumberFormat="1" applyBorder="1"/>
    <xf numFmtId="0" fontId="0" fillId="0" borderId="27" xfId="0" applyBorder="1" applyAlignment="1">
      <alignment horizontal="center"/>
    </xf>
  </cellXfs>
  <cellStyles count="1">
    <cellStyle name="Normal" xfId="0" builtinId="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ppPuntAttPerGame" backgroundRefresh="0" connectionId="3" xr16:uid="{9610CCB5-EB02-4D4D-9B84-FA12712403A2}"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illingsley" connectionId="1" xr16:uid="{971C26D9-9A0A-4A4F-8FC1-A7A786367D5F}"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table-1" connectionId="11" xr16:uid="{D7815F8B-EF1D-1F44-93CE-5D4AE99E7AE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oppFGAPerGame" backgroundRefresh="0" connectionId="10" xr16:uid="{578BEB4C-86F4-8740-8BD9-52909ACCA1DF}"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efPlaysPerGame" backgroundRefresh="0" connectionId="9" xr16:uid="{1C41E83E-E59D-BF40-BF56-E31B6E513CFF}"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puntAttPerGame" backgroundRefresh="0" connectionId="8" xr16:uid="{04A2EC19-4059-3945-B49D-53967F89136F}"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FGAPerGame" backgroundRefresh="0" connectionId="7" xr16:uid="{EF6F71C9-08F4-4644-8BEE-46544FD494CF}"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playsPerGame" backgroundRefresh="0" connectionId="6" xr16:uid="{ACB5A559-F7E3-C746-805B-411C913E43C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SPN" backgroundRefresh="0" preserveFormatting="0" connectionId="4" xr16:uid="{90893E53-4155-6440-B1C1-DBD8C61F5CC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fficiencies" backgroundRefresh="0" connectionId="2" xr16:uid="{6C92AAED-0AB7-6346-9D11-F077DB248FF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fei" backgroundRefresh="0" preserveFormatting="0" connectionId="5" xr16:uid="{A309E021-0CB7-D14D-B714-EE1DB897EE0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70C0D-71BA-EE41-B1D6-098007B5728E}">
  <dimension ref="A1:V133"/>
  <sheetViews>
    <sheetView tabSelected="1" zoomScale="90" zoomScaleNormal="90" workbookViewId="0">
      <selection activeCell="T12" sqref="T12"/>
    </sheetView>
  </sheetViews>
  <sheetFormatPr baseColWidth="10" defaultRowHeight="16" x14ac:dyDescent="0.2"/>
  <cols>
    <col min="1" max="1" width="17.6640625" bestFit="1" customWidth="1"/>
    <col min="2" max="2" width="16.5" bestFit="1" customWidth="1"/>
    <col min="3" max="3" width="8.83203125" bestFit="1" customWidth="1"/>
    <col min="4" max="4" width="9.1640625" customWidth="1"/>
    <col min="5" max="5" width="8.1640625" bestFit="1" customWidth="1"/>
    <col min="6" max="6" width="7.83203125" bestFit="1" customWidth="1"/>
    <col min="7" max="7" width="7.33203125" bestFit="1" customWidth="1"/>
    <col min="8" max="8" width="8.83203125" bestFit="1" customWidth="1"/>
    <col min="9" max="9" width="7.33203125" bestFit="1" customWidth="1"/>
    <col min="10" max="10" width="7.5" customWidth="1"/>
    <col min="11" max="11" width="11.6640625" bestFit="1" customWidth="1"/>
    <col min="12" max="16" width="9.5" customWidth="1"/>
    <col min="17" max="17" width="8.5" customWidth="1"/>
    <col min="18" max="18" width="9" customWidth="1"/>
    <col min="19" max="19" width="16.5" bestFit="1" customWidth="1"/>
    <col min="21" max="21" width="18.5" bestFit="1" customWidth="1"/>
  </cols>
  <sheetData>
    <row r="1" spans="1:22" ht="17" customHeight="1" thickBot="1" x14ac:dyDescent="0.25">
      <c r="A1" s="61" t="s">
        <v>786</v>
      </c>
      <c r="B1" s="62"/>
      <c r="C1" s="39" t="s">
        <v>765</v>
      </c>
      <c r="D1" s="39"/>
      <c r="E1" s="39"/>
      <c r="F1" s="39"/>
      <c r="G1" s="39"/>
      <c r="H1" s="41" t="s">
        <v>766</v>
      </c>
      <c r="I1" s="41"/>
      <c r="J1" s="41"/>
      <c r="K1" s="43" t="s">
        <v>775</v>
      </c>
      <c r="L1" s="49" t="s">
        <v>777</v>
      </c>
      <c r="M1" s="52" t="s">
        <v>778</v>
      </c>
      <c r="N1" s="55" t="s">
        <v>779</v>
      </c>
      <c r="O1" s="58" t="s">
        <v>775</v>
      </c>
      <c r="P1" s="85" t="s">
        <v>788</v>
      </c>
      <c r="Q1" s="102" t="s">
        <v>787</v>
      </c>
      <c r="R1" s="103"/>
      <c r="S1" s="104"/>
    </row>
    <row r="2" spans="1:22" ht="17" thickBot="1" x14ac:dyDescent="0.25">
      <c r="A2" s="63"/>
      <c r="B2" s="64"/>
      <c r="C2" s="40"/>
      <c r="D2" s="40"/>
      <c r="E2" s="40"/>
      <c r="F2" s="40"/>
      <c r="G2" s="40"/>
      <c r="H2" s="42"/>
      <c r="I2" s="42"/>
      <c r="J2" s="42"/>
      <c r="K2" s="44"/>
      <c r="L2" s="50"/>
      <c r="M2" s="53"/>
      <c r="N2" s="56"/>
      <c r="O2" s="59"/>
      <c r="P2" s="86"/>
      <c r="Q2" s="105"/>
      <c r="R2" s="106"/>
      <c r="S2" s="107"/>
      <c r="U2" s="35" t="s">
        <v>776</v>
      </c>
      <c r="V2" s="36"/>
    </row>
    <row r="3" spans="1:22" ht="18" thickBot="1" x14ac:dyDescent="0.25">
      <c r="A3" s="65" t="s">
        <v>1</v>
      </c>
      <c r="B3" s="66" t="s">
        <v>761</v>
      </c>
      <c r="C3" s="45" t="s">
        <v>774</v>
      </c>
      <c r="D3" s="46" t="s">
        <v>773</v>
      </c>
      <c r="E3" s="46" t="s">
        <v>772</v>
      </c>
      <c r="F3" s="46" t="s">
        <v>771</v>
      </c>
      <c r="G3" s="46" t="s">
        <v>767</v>
      </c>
      <c r="H3" s="47" t="s">
        <v>768</v>
      </c>
      <c r="I3" s="47" t="s">
        <v>769</v>
      </c>
      <c r="J3" s="47" t="s">
        <v>770</v>
      </c>
      <c r="K3" s="48" t="s">
        <v>784</v>
      </c>
      <c r="L3" s="51" t="s">
        <v>780</v>
      </c>
      <c r="M3" s="54" t="s">
        <v>781</v>
      </c>
      <c r="N3" s="57" t="s">
        <v>782</v>
      </c>
      <c r="O3" s="60" t="s">
        <v>783</v>
      </c>
      <c r="P3" s="87" t="s">
        <v>789</v>
      </c>
      <c r="Q3" s="108" t="s">
        <v>474</v>
      </c>
      <c r="R3" s="109" t="s">
        <v>785</v>
      </c>
      <c r="S3" s="110" t="s">
        <v>1</v>
      </c>
      <c r="U3" s="37"/>
      <c r="V3" s="38"/>
    </row>
    <row r="4" spans="1:22" x14ac:dyDescent="0.2">
      <c r="A4" s="67" t="s">
        <v>300</v>
      </c>
      <c r="B4" s="16" t="s">
        <v>176</v>
      </c>
      <c r="C4" s="70">
        <f>INDEX(FPI!$H$3:$H$138, MATCH($A4&amp;", "&amp;$B4,FPI!$B$3:$B$138, 0), 0)</f>
        <v>30.5</v>
      </c>
      <c r="D4" s="31">
        <f>INDEX(Eff!$F$3:$F$138, MATCH($A4&amp;", "&amp;$B4,Eff!$B$3:$B$138, 0), 0)</f>
        <v>98</v>
      </c>
      <c r="E4" s="31">
        <f>INDEX(Eff!$C$3:$C$138, MATCH($A4&amp;", "&amp;$B4,Eff!$B$3:$B$138, 0), 0)</f>
        <v>96.4</v>
      </c>
      <c r="F4" s="31">
        <f>INDEX(Eff!$D$3:$D$138, MATCH($A4&amp;", "&amp;$B4,Eff!$B$3:$B$138, 0), 0)</f>
        <v>92.7</v>
      </c>
      <c r="G4" s="31">
        <f>INDEX(Eff!$E$3:$E$138, MATCH($A4&amp;", "&amp;$B4,Eff!$B$3:$B$138, 0), 0)</f>
        <v>57</v>
      </c>
      <c r="H4" s="31">
        <f>INDEX(FEI!$D$1:$D$139, MATCH($A4,FEI!$B$1:$B$139, 0), 0)</f>
        <v>1.55</v>
      </c>
      <c r="I4" s="31">
        <f>INDEX(FEI!$E$1:$E$139, MATCH($A4,FEI!$B$1:$B$139, 0), 0)</f>
        <v>1.74</v>
      </c>
      <c r="J4" s="31">
        <f>INDEX(FEI!$G$1:$G$139, MATCH($A4,FEI!$B$1:$B$139, 0), 0)</f>
        <v>1.36</v>
      </c>
      <c r="K4" s="71">
        <f>INDEX('Billingsley 130'!$O$2:$O$131, MATCH($A4,'Billingsley 130'!$D$2:$D$131, 0), 0)</f>
        <v>301.59899999999999</v>
      </c>
      <c r="L4" s="80">
        <f>((($E4 - MIN($E$4:$E$133)) / (MAX($E$4:$E$133) - MIN($E$4:$E$133))) + (($I4 - MIN($I$4:$I$133)) / (MAX($I$4:$I$133) - MIN($I$4:$I$133)))) / 2</f>
        <v>0.89632865576883147</v>
      </c>
      <c r="M4" s="78">
        <f>((($F4 - MIN($F$4:$F$133)) / (MAX($F$4:$F$133) - MIN($F$4:$F$133))) + (($J4 - MIN($J$4:$J$133)) / (MAX($J$4:$J$133) - MIN($J$4:$J$133)))) / 2</f>
        <v>0.97568947019169361</v>
      </c>
      <c r="N4" s="78">
        <f>($G4 - MIN($G$4:$G$133)) / (MAX($G$4:$G$133) - MIN($G$4:$G$133))</f>
        <v>0.5478723404255319</v>
      </c>
      <c r="O4" s="78">
        <f>($K4 - MIN($K$4:$K$133)) / (MAX($K$4:$K$133) - MIN($K$4:$K$133))</f>
        <v>1</v>
      </c>
      <c r="P4" s="88">
        <f>(($C4 - MIN($C$4:$C$133)) / (MAX($C$4:$C$133) - MIN($C$4:$C$133)) + ($D4 - MIN($D$4:$D$133)) / (MAX($D$4:$D$133) - MIN($D$4:$D$133)) + ($H4 - MIN($H$4:$H$133)) / (MAX($H$4:$H$133) - MIN($H$4:$H$133))) / 3</f>
        <v>0.98590080984527761</v>
      </c>
      <c r="Q4" s="80">
        <f xml:space="preserve"> ($L4 * (INDEX(PlaysPerGame!$BK$3:$BK$132, MATCH($A4,PlaysPerGame!$BC$3:$BC$132, 0), 0) * 0.8))+ ($M4 * (INDEX(PlaysPerGame!$BL$3:$BL$132, MATCH($A4,PlaysPerGame!$BC$3:$BC$132, 0), 0) * 0.8)) + ($N4 * (INDEX(PlaysPerGame!$BM$3:$BM$132, MATCH($A4,PlaysPerGame!$BC$3:$BC$132, 0), 0) * 0.8)) + ($O4 * 0.1) + ($P4 * 0.1)</f>
        <v>0.92008939430288605</v>
      </c>
      <c r="R4" s="32">
        <f>RANK(Q4, Q$4:Q$133, 0)</f>
        <v>1</v>
      </c>
      <c r="S4" s="111" t="s">
        <v>300</v>
      </c>
    </row>
    <row r="5" spans="1:22" x14ac:dyDescent="0.2">
      <c r="A5" s="68" t="s">
        <v>30</v>
      </c>
      <c r="B5" s="9" t="s">
        <v>33</v>
      </c>
      <c r="C5" s="72">
        <f>INDEX(FPI!$H$3:$H$138, MATCH($A5&amp;", "&amp;$B5,FPI!$B$3:$B$138, 0), 0)</f>
        <v>30.9</v>
      </c>
      <c r="D5" s="73">
        <f>INDEX(Eff!$F$3:$F$138, MATCH($A5&amp;", "&amp;$B5,Eff!$B$3:$B$138, 0), 0)</f>
        <v>95.9</v>
      </c>
      <c r="E5" s="73">
        <f>INDEX(Eff!$C$3:$C$138, MATCH($A5&amp;", "&amp;$B5,Eff!$B$3:$B$138, 0), 0)</f>
        <v>97.7</v>
      </c>
      <c r="F5" s="73">
        <f>INDEX(Eff!$D$3:$D$138, MATCH($A5&amp;", "&amp;$B5,Eff!$B$3:$B$138, 0), 0)</f>
        <v>85.9</v>
      </c>
      <c r="G5" s="73">
        <f>INDEX(Eff!$E$3:$E$138, MATCH($A5&amp;", "&amp;$B5,Eff!$B$3:$B$138, 0), 0)</f>
        <v>22.5</v>
      </c>
      <c r="H5" s="31">
        <f>INDEX(FEI!$D$1:$D$139, MATCH($A5,FEI!$B$1:$B$139, 0), 0)</f>
        <v>1.67</v>
      </c>
      <c r="I5" s="31">
        <f>INDEX(FEI!$E$1:$E$139, MATCH($A5,FEI!$B$1:$B$139, 0), 0)</f>
        <v>2.4300000000000002</v>
      </c>
      <c r="J5" s="31">
        <f>INDEX(FEI!$G$1:$G$139, MATCH($A5,FEI!$B$1:$B$139, 0), 0)</f>
        <v>1.1200000000000001</v>
      </c>
      <c r="K5" s="71">
        <f>INDEX('Billingsley 130'!$O$2:$O$131, MATCH($A5,'Billingsley 130'!$D$2:$D$131, 0), 0)</f>
        <v>286.47500000000002</v>
      </c>
      <c r="L5" s="81">
        <f>((($E5 - MIN($E$4:$E$133)) / (MAX($E$4:$E$133) - MIN($E$4:$E$133))) + (($I5 - MIN($I$4:$I$133)) / (MAX($I$4:$I$133) - MIN($I$4:$I$133)))) / 2</f>
        <v>0.99670691547749724</v>
      </c>
      <c r="M5" s="73">
        <f>((($F5 - MIN($F$4:$F$133)) / (MAX($F$4:$F$133) - MIN($F$4:$F$133))) + (($J5 - MIN($J$4:$J$133)) / (MAX($J$4:$J$133) - MIN($J$4:$J$133)))) / 2</f>
        <v>0.90446954051858341</v>
      </c>
      <c r="N5" s="73">
        <f>($G5 - MIN($G$4:$G$133)) / (MAX($G$4:$G$133) - MIN($G$4:$G$133))</f>
        <v>8.9095744680851047E-2</v>
      </c>
      <c r="O5" s="73">
        <f>($K5 - MIN($K$4:$K$133)) / (MAX($K$4:$K$133) - MIN($K$4:$K$133))</f>
        <v>0.88069450251248382</v>
      </c>
      <c r="P5" s="84">
        <f>(($C5 - MIN($C$4:$C$133)) / (MAX($C$4:$C$133) - MIN($C$4:$C$133)) + ($D5 - MIN($D$4:$D$133)) / (MAX($D$4:$D$133) - MIN($D$4:$D$133)) + ($H5 - MIN($H$4:$H$133)) / (MAX($H$4:$H$133) - MIN($H$4:$H$133))) / 3</f>
        <v>0.99256110520722629</v>
      </c>
      <c r="Q5" s="81">
        <f xml:space="preserve"> ($L5 * (INDEX(PlaysPerGame!$BK$3:$BK$132, MATCH($A5,PlaysPerGame!$BC$3:$BC$132, 0), 0) * 0.8))+ ($M5 * (INDEX(PlaysPerGame!$BL$3:$BL$132, MATCH($A5,PlaysPerGame!$BC$3:$BC$132, 0), 0) * 0.8)) + ($N5 * (INDEX(PlaysPerGame!$BM$3:$BM$132, MATCH($A5,PlaysPerGame!$BC$3:$BC$132, 0), 0) * 0.8)) + ($O5 * 0.1) + ($P5 * 0.1)</f>
        <v>0.89741457245852518</v>
      </c>
      <c r="R5" s="9">
        <f t="shared" ref="R5:R68" si="0">RANK(Q5, Q$4:Q$133, 0)</f>
        <v>2</v>
      </c>
      <c r="S5" s="112" t="s">
        <v>30</v>
      </c>
    </row>
    <row r="6" spans="1:22" x14ac:dyDescent="0.2">
      <c r="A6" s="68" t="s">
        <v>157</v>
      </c>
      <c r="B6" s="9" t="s">
        <v>33</v>
      </c>
      <c r="C6" s="72">
        <f>INDEX(FPI!$H$3:$H$138, MATCH($A6&amp;", "&amp;$B6,FPI!$B$3:$B$138, 0), 0)</f>
        <v>26.1</v>
      </c>
      <c r="D6" s="73">
        <f>INDEX(Eff!$F$3:$F$138, MATCH($A6&amp;", "&amp;$B6,Eff!$B$3:$B$138, 0), 0)</f>
        <v>92.3</v>
      </c>
      <c r="E6" s="73">
        <f>INDEX(Eff!$C$3:$C$138, MATCH($A6&amp;", "&amp;$B6,Eff!$B$3:$B$138, 0), 0)</f>
        <v>88.2</v>
      </c>
      <c r="F6" s="73">
        <f>INDEX(Eff!$D$3:$D$138, MATCH($A6&amp;", "&amp;$B6,Eff!$B$3:$B$138, 0), 0)</f>
        <v>87</v>
      </c>
      <c r="G6" s="73">
        <f>INDEX(Eff!$E$3:$E$138, MATCH($A6&amp;", "&amp;$B6,Eff!$B$3:$B$138, 0), 0)</f>
        <v>52.8</v>
      </c>
      <c r="H6" s="31">
        <f>INDEX(FEI!$D$1:$D$139, MATCH($A6,FEI!$B$1:$B$139, 0), 0)</f>
        <v>1.2</v>
      </c>
      <c r="I6" s="31">
        <f>INDEX(FEI!$E$1:$E$139, MATCH($A6,FEI!$B$1:$B$139, 0), 0)</f>
        <v>1.25</v>
      </c>
      <c r="J6" s="31">
        <f>INDEX(FEI!$G$1:$G$139, MATCH($A6,FEI!$B$1:$B$139, 0), 0)</f>
        <v>0.87</v>
      </c>
      <c r="K6" s="71">
        <f>INDEX('Billingsley 130'!$O$2:$O$131, MATCH($A6,'Billingsley 130'!$D$2:$D$131, 0), 0)</f>
        <v>286.89499999999998</v>
      </c>
      <c r="L6" s="81">
        <f>((($E6 - MIN($E$4:$E$133)) / (MAX($E$4:$E$133) - MIN($E$4:$E$133))) + (($I6 - MIN($I$4:$I$133)) / (MAX($I$4:$I$133) - MIN($I$4:$I$133)))) / 2</f>
        <v>0.785106951078411</v>
      </c>
      <c r="M6" s="73">
        <f>((($F6 - MIN($F$4:$F$133)) / (MAX($F$4:$F$133) - MIN($F$4:$F$133))) + (($J6 - MIN($J$4:$J$133)) / (MAX($J$4:$J$133) - MIN($J$4:$J$133)))) / 2</f>
        <v>0.87519612767989496</v>
      </c>
      <c r="N6" s="73">
        <f>($G6 - MIN($G$4:$G$133)) / (MAX($G$4:$G$133) - MIN($G$4:$G$133))</f>
        <v>0.49202127659574468</v>
      </c>
      <c r="O6" s="73">
        <f>($K6 - MIN($K$4:$K$133)) / (MAX($K$4:$K$133) - MIN($K$4:$K$133))</f>
        <v>0.88400766761065575</v>
      </c>
      <c r="P6" s="84">
        <f>(($C6 - MIN($C$4:$C$133)) / (MAX($C$4:$C$133) - MIN($C$4:$C$133)) + ($D6 - MIN($D$4:$D$133)) / (MAX($D$4:$D$133) - MIN($D$4:$D$133)) + ($H6 - MIN($H$4:$H$133)) / (MAX($H$4:$H$133) - MIN($H$4:$H$133))) / 3</f>
        <v>0.9074248195027802</v>
      </c>
      <c r="Q6" s="81">
        <f xml:space="preserve"> ($L6 * (INDEX(PlaysPerGame!$BK$3:$BK$132, MATCH($A6,PlaysPerGame!$BC$3:$BC$132, 0), 0) * 0.8))+ ($M6 * (INDEX(PlaysPerGame!$BL$3:$BL$132, MATCH($A6,PlaysPerGame!$BC$3:$BC$132, 0), 0) * 0.8)) + ($N6 * (INDEX(PlaysPerGame!$BM$3:$BM$132, MATCH($A6,PlaysPerGame!$BC$3:$BC$132, 0), 0) * 0.8)) + ($O6 * 0.1) + ($P6 * 0.1)</f>
        <v>0.81844898658683285</v>
      </c>
      <c r="R6" s="9">
        <f t="shared" si="0"/>
        <v>3</v>
      </c>
      <c r="S6" s="112" t="s">
        <v>157</v>
      </c>
    </row>
    <row r="7" spans="1:22" x14ac:dyDescent="0.2">
      <c r="A7" s="68" t="s">
        <v>219</v>
      </c>
      <c r="B7" s="9" t="s">
        <v>33</v>
      </c>
      <c r="C7" s="72">
        <f>INDEX(FPI!$H$3:$H$138, MATCH($A7&amp;", "&amp;$B7,FPI!$B$3:$B$138, 0), 0)</f>
        <v>25</v>
      </c>
      <c r="D7" s="73">
        <f>INDEX(Eff!$F$3:$F$138, MATCH($A7&amp;", "&amp;$B7,Eff!$B$3:$B$138, 0), 0)</f>
        <v>90.6</v>
      </c>
      <c r="E7" s="73">
        <f>INDEX(Eff!$C$3:$C$138, MATCH($A7&amp;", "&amp;$B7,Eff!$B$3:$B$138, 0), 0)</f>
        <v>93.1</v>
      </c>
      <c r="F7" s="73">
        <f>INDEX(Eff!$D$3:$D$138, MATCH($A7&amp;", "&amp;$B7,Eff!$B$3:$B$138, 0), 0)</f>
        <v>68.400000000000006</v>
      </c>
      <c r="G7" s="73">
        <f>INDEX(Eff!$E$3:$E$138, MATCH($A7&amp;", "&amp;$B7,Eff!$B$3:$B$138, 0), 0)</f>
        <v>64.5</v>
      </c>
      <c r="H7" s="31">
        <f>INDEX(FEI!$D$1:$D$139, MATCH($A7,FEI!$B$1:$B$139, 0), 0)</f>
        <v>1.1100000000000001</v>
      </c>
      <c r="I7" s="31">
        <f>INDEX(FEI!$E$1:$E$139, MATCH($A7,FEI!$B$1:$B$139, 0), 0)</f>
        <v>1.68</v>
      </c>
      <c r="J7" s="31">
        <f>INDEX(FEI!$G$1:$G$139, MATCH($A7,FEI!$B$1:$B$139, 0), 0)</f>
        <v>0.44</v>
      </c>
      <c r="K7" s="71">
        <f>INDEX('Billingsley 130'!$O$2:$O$131, MATCH($A7,'Billingsley 130'!$D$2:$D$131, 0), 0)</f>
        <v>298.505</v>
      </c>
      <c r="L7" s="81">
        <f>((($E7 - MIN($E$4:$E$133)) / (MAX($E$4:$E$133) - MIN($E$4:$E$133))) + (($I7 - MIN($I$4:$I$133)) / (MAX($I$4:$I$133) - MIN($I$4:$I$133)))) / 2</f>
        <v>0.87010858278695813</v>
      </c>
      <c r="M7" s="73">
        <f>((($F7 - MIN($F$4:$F$133)) / (MAX($F$4:$F$133) - MIN($F$4:$F$133))) + (($J7 - MIN($J$4:$J$133)) / (MAX($J$4:$J$133) - MIN($J$4:$J$133)))) / 2</f>
        <v>0.71237604420547362</v>
      </c>
      <c r="N7" s="73">
        <f>($G7 - MIN($G$4:$G$133)) / (MAX($G$4:$G$133) - MIN($G$4:$G$133))</f>
        <v>0.64760638297872342</v>
      </c>
      <c r="O7" s="73">
        <f>($K7 - MIN($K$4:$K$133)) / (MAX($K$4:$K$133) - MIN($K$4:$K$133))</f>
        <v>0.97559301711013124</v>
      </c>
      <c r="P7" s="84">
        <f>(($C7 - MIN($C$4:$C$133)) / (MAX($C$4:$C$133) - MIN($C$4:$C$133)) + ($D7 - MIN($D$4:$D$133)) / (MAX($D$4:$D$133) - MIN($D$4:$D$133)) + ($H7 - MIN($H$4:$H$133)) / (MAX($H$4:$H$133) - MIN($H$4:$H$133))) / 3</f>
        <v>0.88658217993438393</v>
      </c>
      <c r="Q7" s="81">
        <f xml:space="preserve"> ($L7 * (INDEX(PlaysPerGame!$BK$3:$BK$132, MATCH($A7,PlaysPerGame!$BC$3:$BC$132, 0), 0) * 0.8))+ ($M7 * (INDEX(PlaysPerGame!$BL$3:$BL$132, MATCH($A7,PlaysPerGame!$BC$3:$BC$132, 0), 0) * 0.8)) + ($N7 * (INDEX(PlaysPerGame!$BM$3:$BM$132, MATCH($A7,PlaysPerGame!$BC$3:$BC$132, 0), 0) * 0.8)) + ($O7 * 0.1) + ($P7 * 0.1)</f>
        <v>0.8141297985717777</v>
      </c>
      <c r="R7" s="9">
        <f t="shared" si="0"/>
        <v>4</v>
      </c>
      <c r="S7" s="112" t="s">
        <v>219</v>
      </c>
      <c r="U7" s="20" t="s">
        <v>790</v>
      </c>
      <c r="V7" s="20"/>
    </row>
    <row r="8" spans="1:22" x14ac:dyDescent="0.2">
      <c r="A8" s="68" t="s">
        <v>115</v>
      </c>
      <c r="B8" s="9" t="s">
        <v>87</v>
      </c>
      <c r="C8" s="72">
        <f>INDEX(FPI!$H$3:$H$138, MATCH($A8&amp;", "&amp;$B8,FPI!$B$3:$B$138, 0), 0)</f>
        <v>26.3</v>
      </c>
      <c r="D8" s="73">
        <f>INDEX(Eff!$F$3:$F$138, MATCH($A8&amp;", "&amp;$B8,Eff!$B$3:$B$138, 0), 0)</f>
        <v>90.4</v>
      </c>
      <c r="E8" s="73">
        <f>INDEX(Eff!$C$3:$C$138, MATCH($A8&amp;", "&amp;$B8,Eff!$B$3:$B$138, 0), 0)</f>
        <v>75.400000000000006</v>
      </c>
      <c r="F8" s="73">
        <f>INDEX(Eff!$D$3:$D$138, MATCH($A8&amp;", "&amp;$B8,Eff!$B$3:$B$138, 0), 0)</f>
        <v>93.7</v>
      </c>
      <c r="G8" s="73">
        <f>INDEX(Eff!$E$3:$E$138, MATCH($A8&amp;", "&amp;$B8,Eff!$B$3:$B$138, 0), 0)</f>
        <v>39.799999999999997</v>
      </c>
      <c r="H8" s="31">
        <f>INDEX(FEI!$D$1:$D$139, MATCH($A8,FEI!$B$1:$B$139, 0), 0)</f>
        <v>1.1399999999999999</v>
      </c>
      <c r="I8" s="31">
        <f>INDEX(FEI!$E$1:$E$139, MATCH($A8,FEI!$B$1:$B$139, 0), 0)</f>
        <v>0.9</v>
      </c>
      <c r="J8" s="31">
        <f>INDEX(FEI!$G$1:$G$139, MATCH($A8,FEI!$B$1:$B$139, 0), 0)</f>
        <v>1.4</v>
      </c>
      <c r="K8" s="71">
        <f>INDEX('Billingsley 130'!$O$2:$O$131, MATCH($A8,'Billingsley 130'!$D$2:$D$131, 0), 0)</f>
        <v>296.73700000000002</v>
      </c>
      <c r="L8" s="81">
        <f>((($E8 - MIN($E$4:$E$133)) / (MAX($E$4:$E$133) - MIN($E$4:$E$133))) + (($I8 - MIN($I$4:$I$133)) / (MAX($I$4:$I$133) - MIN($I$4:$I$133)))) / 2</f>
        <v>0.6675571839677219</v>
      </c>
      <c r="M8" s="73">
        <f>((($F8 - MIN($F$4:$F$133)) / (MAX($F$4:$F$133) - MIN($F$4:$F$133))) + (($J8 - MIN($J$4:$J$133)) / (MAX($J$4:$J$133) - MIN($J$4:$J$133)))) / 2</f>
        <v>0.98682766190998905</v>
      </c>
      <c r="N8" s="73">
        <f>($G8 - MIN($G$4:$G$133)) / (MAX($G$4:$G$133) - MIN($G$4:$G$133))</f>
        <v>0.31914893617021273</v>
      </c>
      <c r="O8" s="73">
        <f>($K8 - MIN($K$4:$K$133)) / (MAX($K$4:$K$133) - MIN($K$4:$K$133))</f>
        <v>0.96164616974449213</v>
      </c>
      <c r="P8" s="84">
        <f>(($C8 - MIN($C$4:$C$133)) / (MAX($C$4:$C$133) - MIN($C$4:$C$133)) + ($D8 - MIN($D$4:$D$133)) / (MAX($D$4:$D$133) - MIN($D$4:$D$133)) + ($H8 - MIN($H$4:$H$133)) / (MAX($H$4:$H$133) - MIN($H$4:$H$133))) / 3</f>
        <v>0.89576793805391652</v>
      </c>
      <c r="Q8" s="81">
        <f xml:space="preserve"> ($L8 * (INDEX(PlaysPerGame!$BK$3:$BK$132, MATCH($A8,PlaysPerGame!$BC$3:$BC$132, 0), 0) * 0.8))+ ($M8 * (INDEX(PlaysPerGame!$BL$3:$BL$132, MATCH($A8,PlaysPerGame!$BC$3:$BC$132, 0), 0) * 0.8)) + ($N8 * (INDEX(PlaysPerGame!$BM$3:$BM$132, MATCH($A8,PlaysPerGame!$BC$3:$BC$132, 0), 0) * 0.8)) + ($O8 * 0.1) + ($P8 * 0.1)</f>
        <v>0.8091699522733119</v>
      </c>
      <c r="R8" s="9">
        <f t="shared" si="0"/>
        <v>5</v>
      </c>
      <c r="S8" s="112" t="s">
        <v>115</v>
      </c>
      <c r="U8" s="20"/>
      <c r="V8" s="20"/>
    </row>
    <row r="9" spans="1:22" x14ac:dyDescent="0.2">
      <c r="A9" s="68" t="s">
        <v>303</v>
      </c>
      <c r="B9" s="9" t="s">
        <v>75</v>
      </c>
      <c r="C9" s="72">
        <f>INDEX(FPI!$H$3:$H$138, MATCH($A9&amp;", "&amp;$B9,FPI!$B$3:$B$138, 0), 0)</f>
        <v>24.2</v>
      </c>
      <c r="D9" s="73">
        <f>INDEX(Eff!$F$3:$F$138, MATCH($A9&amp;", "&amp;$B9,Eff!$B$3:$B$138, 0), 0)</f>
        <v>94.6</v>
      </c>
      <c r="E9" s="73">
        <f>INDEX(Eff!$C$3:$C$138, MATCH($A9&amp;", "&amp;$B9,Eff!$B$3:$B$138, 0), 0)</f>
        <v>98.3</v>
      </c>
      <c r="F9" s="73">
        <f>INDEX(Eff!$D$3:$D$138, MATCH($A9&amp;", "&amp;$B9,Eff!$B$3:$B$138, 0), 0)</f>
        <v>68</v>
      </c>
      <c r="G9" s="73">
        <f>INDEX(Eff!$E$3:$E$138, MATCH($A9&amp;", "&amp;$B9,Eff!$B$3:$B$138, 0), 0)</f>
        <v>39.799999999999997</v>
      </c>
      <c r="H9" s="31">
        <f>INDEX(FEI!$D$1:$D$139, MATCH($A9,FEI!$B$1:$B$139, 0), 0)</f>
        <v>1.21</v>
      </c>
      <c r="I9" s="31">
        <f>INDEX(FEI!$E$1:$E$139, MATCH($A9,FEI!$B$1:$B$139, 0), 0)</f>
        <v>2.39</v>
      </c>
      <c r="J9" s="31">
        <f>INDEX(FEI!$G$1:$G$139, MATCH($A9,FEI!$B$1:$B$139, 0), 0)</f>
        <v>0.05</v>
      </c>
      <c r="K9" s="71">
        <f>INDEX('Billingsley 130'!$O$2:$O$131, MATCH($A9,'Billingsley 130'!$D$2:$D$131, 0), 0)</f>
        <v>282.50299999999999</v>
      </c>
      <c r="L9" s="81">
        <f>((($E9 - MIN($E$4:$E$133)) / (MAX($E$4:$E$133) - MIN($E$4:$E$133))) + (($I9 - MIN($I$4:$I$133)) / (MAX($I$4:$I$133) - MIN($I$4:$I$133)))) / 2</f>
        <v>0.99459459459459465</v>
      </c>
      <c r="M9" s="73">
        <f>((($F9 - MIN($F$4:$F$133)) / (MAX($F$4:$F$133) - MIN($F$4:$F$133))) + (($J9 - MIN($J$4:$J$133)) / (MAX($J$4:$J$133) - MIN($J$4:$J$133)))) / 2</f>
        <v>0.65509590876109325</v>
      </c>
      <c r="N9" s="73">
        <f>($G9 - MIN($G$4:$G$133)) / (MAX($G$4:$G$133) - MIN($G$4:$G$133))</f>
        <v>0.31914893617021273</v>
      </c>
      <c r="O9" s="73">
        <f>($K9 - MIN($K$4:$K$133)) / (MAX($K$4:$K$133) - MIN($K$4:$K$133))</f>
        <v>0.8493614268697689</v>
      </c>
      <c r="P9" s="84">
        <f>(($C9 - MIN($C$4:$C$133)) / (MAX($C$4:$C$133) - MIN($C$4:$C$133)) + ($D9 - MIN($D$4:$D$133)) / (MAX($D$4:$D$133) - MIN($D$4:$D$133)) + ($H9 - MIN($H$4:$H$133)) / (MAX($H$4:$H$133) - MIN($H$4:$H$133))) / 3</f>
        <v>0.90648525876828889</v>
      </c>
      <c r="Q9" s="81">
        <f xml:space="preserve"> ($L9 * (INDEX(PlaysPerGame!$BK$3:$BK$132, MATCH($A9,PlaysPerGame!$BC$3:$BC$132, 0), 0) * 0.8))+ ($M9 * (INDEX(PlaysPerGame!$BL$3:$BL$132, MATCH($A9,PlaysPerGame!$BC$3:$BC$132, 0), 0) * 0.8)) + ($N9 * (INDEX(PlaysPerGame!$BM$3:$BM$132, MATCH($A9,PlaysPerGame!$BC$3:$BC$132, 0), 0) * 0.8)) + ($O9 * 0.1) + ($P9 * 0.1)</f>
        <v>0.8039575290578973</v>
      </c>
      <c r="R9" s="9">
        <f t="shared" si="0"/>
        <v>6</v>
      </c>
      <c r="S9" s="112" t="s">
        <v>303</v>
      </c>
      <c r="U9" s="20"/>
      <c r="V9" s="20"/>
    </row>
    <row r="10" spans="1:22" x14ac:dyDescent="0.2">
      <c r="A10" s="68" t="s">
        <v>459</v>
      </c>
      <c r="B10" s="9" t="s">
        <v>176</v>
      </c>
      <c r="C10" s="72">
        <f>INDEX(FPI!$H$3:$H$138, MATCH($A10&amp;", "&amp;$B10,FPI!$B$3:$B$138, 0), 0)</f>
        <v>21</v>
      </c>
      <c r="D10" s="73">
        <f>INDEX(Eff!$F$3:$F$138, MATCH($A10&amp;", "&amp;$B10,Eff!$B$3:$B$138, 0), 0)</f>
        <v>93.8</v>
      </c>
      <c r="E10" s="73">
        <f>INDEX(Eff!$C$3:$C$138, MATCH($A10&amp;", "&amp;$B10,Eff!$B$3:$B$138, 0), 0)</f>
        <v>83</v>
      </c>
      <c r="F10" s="73">
        <f>INDEX(Eff!$D$3:$D$138, MATCH($A10&amp;", "&amp;$B10,Eff!$B$3:$B$138, 0), 0)</f>
        <v>96.1</v>
      </c>
      <c r="G10" s="73">
        <f>INDEX(Eff!$E$3:$E$138, MATCH($A10&amp;", "&amp;$B10,Eff!$B$3:$B$138, 0), 0)</f>
        <v>31.3</v>
      </c>
      <c r="H10" s="31">
        <f>INDEX(FEI!$D$1:$D$139, MATCH($A10,FEI!$B$1:$B$139, 0), 0)</f>
        <v>1.1599999999999999</v>
      </c>
      <c r="I10" s="31">
        <f>INDEX(FEI!$E$1:$E$139, MATCH($A10,FEI!$B$1:$B$139, 0), 0)</f>
        <v>1.26</v>
      </c>
      <c r="J10" s="31">
        <f>INDEX(FEI!$G$1:$G$139, MATCH($A10,FEI!$B$1:$B$139, 0), 0)</f>
        <v>1.04</v>
      </c>
      <c r="K10" s="71">
        <f>INDEX('Billingsley 130'!$O$2:$O$131, MATCH($A10,'Billingsley 130'!$D$2:$D$131, 0), 0)</f>
        <v>280.51499999999999</v>
      </c>
      <c r="L10" s="81">
        <f>((($E10 - MIN($E$4:$E$133)) / (MAX($E$4:$E$133) - MIN($E$4:$E$133))) + (($I10 - MIN($I$4:$I$133)) / (MAX($I$4:$I$133) - MIN($I$4:$I$133)))) / 2</f>
        <v>0.75791823656807189</v>
      </c>
      <c r="M10" s="73">
        <f>((($F10 - MIN($F$4:$F$133)) / (MAX($F$4:$F$133) - MIN($F$4:$F$133))) + (($J10 - MIN($J$4:$J$133)) / (MAX($J$4:$J$133) - MIN($J$4:$J$133)))) / 2</f>
        <v>0.94915254237288138</v>
      </c>
      <c r="N10" s="73">
        <f>($G10 - MIN($G$4:$G$133)) / (MAX($G$4:$G$133) - MIN($G$4:$G$133))</f>
        <v>0.20611702127659573</v>
      </c>
      <c r="O10" s="73">
        <f>($K10 - MIN($K$4:$K$133)) / (MAX($K$4:$K$133) - MIN($K$4:$K$133))</f>
        <v>0.83367911207175371</v>
      </c>
      <c r="P10" s="84">
        <f>(($C10 - MIN($C$4:$C$133)) / (MAX($C$4:$C$133) - MIN($C$4:$C$133)) + ($D10 - MIN($D$4:$D$133)) / (MAX($D$4:$D$133) - MIN($D$4:$D$133)) + ($H10 - MIN($H$4:$H$133)) / (MAX($H$4:$H$133) - MIN($H$4:$H$133))) / 3</f>
        <v>0.88167623612100143</v>
      </c>
      <c r="Q10" s="81">
        <f xml:space="preserve"> ($L10 * (INDEX(PlaysPerGame!$BK$3:$BK$132, MATCH($A10,PlaysPerGame!$BC$3:$BC$132, 0), 0) * 0.8))+ ($M10 * (INDEX(PlaysPerGame!$BL$3:$BL$132, MATCH($A10,PlaysPerGame!$BC$3:$BC$132, 0), 0) * 0.8)) + ($N10 * (INDEX(PlaysPerGame!$BM$3:$BM$132, MATCH($A10,PlaysPerGame!$BC$3:$BC$132, 0), 0) * 0.8)) + ($O10 * 0.1) + ($P10 * 0.1)</f>
        <v>0.80164192327519912</v>
      </c>
      <c r="R10" s="9">
        <f t="shared" si="0"/>
        <v>7</v>
      </c>
      <c r="S10" s="112" t="s">
        <v>459</v>
      </c>
      <c r="U10" s="20"/>
      <c r="V10" s="20"/>
    </row>
    <row r="11" spans="1:22" x14ac:dyDescent="0.2">
      <c r="A11" s="68" t="s">
        <v>322</v>
      </c>
      <c r="B11" s="9" t="s">
        <v>176</v>
      </c>
      <c r="C11" s="72">
        <f>INDEX(FPI!$H$3:$H$138, MATCH($A11&amp;", "&amp;$B11,FPI!$B$3:$B$138, 0), 0)</f>
        <v>22.7</v>
      </c>
      <c r="D11" s="73">
        <f>INDEX(Eff!$F$3:$F$138, MATCH($A11&amp;", "&amp;$B11,Eff!$B$3:$B$138, 0), 0)</f>
        <v>88.6</v>
      </c>
      <c r="E11" s="73">
        <f>INDEX(Eff!$C$3:$C$138, MATCH($A11&amp;", "&amp;$B11,Eff!$B$3:$B$138, 0), 0)</f>
        <v>84.1</v>
      </c>
      <c r="F11" s="73">
        <f>INDEX(Eff!$D$3:$D$138, MATCH($A11&amp;", "&amp;$B11,Eff!$B$3:$B$138, 0), 0)</f>
        <v>79.7</v>
      </c>
      <c r="G11" s="73">
        <f>INDEX(Eff!$E$3:$E$138, MATCH($A11&amp;", "&amp;$B11,Eff!$B$3:$B$138, 0), 0)</f>
        <v>67.400000000000006</v>
      </c>
      <c r="H11" s="31">
        <f>INDEX(FEI!$D$1:$D$139, MATCH($A11,FEI!$B$1:$B$139, 0), 0)</f>
        <v>0.83</v>
      </c>
      <c r="I11" s="31">
        <f>INDEX(FEI!$E$1:$E$139, MATCH($A11,FEI!$B$1:$B$139, 0), 0)</f>
        <v>0.82</v>
      </c>
      <c r="J11" s="31">
        <f>INDEX(FEI!$G$1:$G$139, MATCH($A11,FEI!$B$1:$B$139, 0), 0)</f>
        <v>0.86</v>
      </c>
      <c r="K11" s="71">
        <f>INDEX('Billingsley 130'!$O$2:$O$131, MATCH($A11,'Billingsley 130'!$D$2:$D$131, 0), 0)</f>
        <v>278.798</v>
      </c>
      <c r="L11" s="81">
        <f>((($E11 - MIN($E$4:$E$133)) / (MAX($E$4:$E$133) - MIN($E$4:$E$133))) + (($I11 - MIN($I$4:$I$133)) / (MAX($I$4:$I$133) - MIN($I$4:$I$133)))) / 2</f>
        <v>0.70449609873320074</v>
      </c>
      <c r="M11" s="73">
        <f>((($F11 - MIN($F$4:$F$133)) / (MAX($F$4:$F$133) - MIN($F$4:$F$133))) + (($J11 - MIN($J$4:$J$133)) / (MAX($J$4:$J$133) - MIN($J$4:$J$133)))) / 2</f>
        <v>0.8337178366109137</v>
      </c>
      <c r="N11" s="73">
        <f>($G11 - MIN($G$4:$G$133)) / (MAX($G$4:$G$133) - MIN($G$4:$G$133))</f>
        <v>0.68617021276595758</v>
      </c>
      <c r="O11" s="73">
        <f>($K11 - MIN($K$4:$K$133)) / (MAX($K$4:$K$133) - MIN($K$4:$K$133))</f>
        <v>0.82013457761089248</v>
      </c>
      <c r="P11" s="84">
        <f>(($C11 - MIN($C$4:$C$133)) / (MAX($C$4:$C$133) - MIN($C$4:$C$133)) + ($D11 - MIN($D$4:$D$133)) / (MAX($D$4:$D$133) - MIN($D$4:$D$133)) + ($H11 - MIN($H$4:$H$133)) / (MAX($H$4:$H$133) - MIN($H$4:$H$133))) / 3</f>
        <v>0.83934533850998116</v>
      </c>
      <c r="Q11" s="81">
        <f xml:space="preserve"> ($L11 * (INDEX(PlaysPerGame!$BK$3:$BK$132, MATCH($A11,PlaysPerGame!$BC$3:$BC$132, 0), 0) * 0.8))+ ($M11 * (INDEX(PlaysPerGame!$BL$3:$BL$132, MATCH($A11,PlaysPerGame!$BC$3:$BC$132, 0), 0) * 0.8)) + ($N11 * (INDEX(PlaysPerGame!$BM$3:$BM$132, MATCH($A11,PlaysPerGame!$BC$3:$BC$132, 0), 0) * 0.8)) + ($O11 * 0.1) + ($P11 * 0.1)</f>
        <v>0.77696180283621474</v>
      </c>
      <c r="R11" s="9">
        <f t="shared" si="0"/>
        <v>8</v>
      </c>
      <c r="S11" s="112" t="s">
        <v>322</v>
      </c>
      <c r="U11" s="20"/>
      <c r="V11" s="20"/>
    </row>
    <row r="12" spans="1:22" x14ac:dyDescent="0.2">
      <c r="A12" s="68" t="s">
        <v>296</v>
      </c>
      <c r="B12" s="9" t="s">
        <v>763</v>
      </c>
      <c r="C12" s="72">
        <f>INDEX(FPI!$H$3:$H$138, MATCH($A12&amp;", "&amp;$B12,FPI!$B$3:$B$138, 0), 0)</f>
        <v>21.5</v>
      </c>
      <c r="D12" s="73">
        <f>INDEX(Eff!$F$3:$F$138, MATCH($A12&amp;", "&amp;$B12,Eff!$B$3:$B$138, 0), 0)</f>
        <v>86</v>
      </c>
      <c r="E12" s="73">
        <f>INDEX(Eff!$C$3:$C$138, MATCH($A12&amp;", "&amp;$B12,Eff!$B$3:$B$138, 0), 0)</f>
        <v>71.900000000000006</v>
      </c>
      <c r="F12" s="73">
        <f>INDEX(Eff!$D$3:$D$138, MATCH($A12&amp;", "&amp;$B12,Eff!$B$3:$B$138, 0), 0)</f>
        <v>87.9</v>
      </c>
      <c r="G12" s="73">
        <f>INDEX(Eff!$E$3:$E$138, MATCH($A12&amp;", "&amp;$B12,Eff!$B$3:$B$138, 0), 0)</f>
        <v>46.6</v>
      </c>
      <c r="H12" s="31">
        <f>INDEX(FEI!$D$1:$D$139, MATCH($A12,FEI!$B$1:$B$139, 0), 0)</f>
        <v>0.77</v>
      </c>
      <c r="I12" s="31">
        <f>INDEX(FEI!$E$1:$E$139, MATCH($A12,FEI!$B$1:$B$139, 0), 0)</f>
        <v>0.69</v>
      </c>
      <c r="J12" s="31">
        <f>INDEX(FEI!$G$1:$G$139, MATCH($A12,FEI!$B$1:$B$139, 0), 0)</f>
        <v>0.82</v>
      </c>
      <c r="K12" s="71">
        <f>INDEX('Billingsley 130'!$O$2:$O$131, MATCH($A12,'Billingsley 130'!$D$2:$D$131, 0), 0)</f>
        <v>277.86200000000002</v>
      </c>
      <c r="L12" s="81">
        <f>((($E12 - MIN($E$4:$E$133)) / (MAX($E$4:$E$133) - MIN($E$4:$E$133))) + (($I12 - MIN($I$4:$I$133)) / (MAX($I$4:$I$133) - MIN($I$4:$I$133)))) / 2</f>
        <v>0.61996914587474405</v>
      </c>
      <c r="M12" s="73">
        <f>((($F12 - MIN($F$4:$F$133)) / (MAX($F$4:$F$133) - MIN($F$4:$F$133))) + (($J12 - MIN($J$4:$J$133)) / (MAX($J$4:$J$133) - MIN($J$4:$J$133)))) / 2</f>
        <v>0.87307360757099362</v>
      </c>
      <c r="N12" s="73">
        <f>($G12 - MIN($G$4:$G$133)) / (MAX($G$4:$G$133) - MIN($G$4:$G$133))</f>
        <v>0.40957446808510639</v>
      </c>
      <c r="O12" s="73">
        <f>($K12 - MIN($K$4:$K$133)) / (MAX($K$4:$K$133) - MIN($K$4:$K$133))</f>
        <v>0.81275095253496599</v>
      </c>
      <c r="P12" s="84">
        <f>(($C12 - MIN($C$4:$C$133)) / (MAX($C$4:$C$133) - MIN($C$4:$C$133)) + ($D12 - MIN($D$4:$D$133)) / (MAX($D$4:$D$133) - MIN($D$4:$D$133)) + ($H12 - MIN($H$4:$H$133)) / (MAX($H$4:$H$133) - MIN($H$4:$H$133))) / 3</f>
        <v>0.81777782758666862</v>
      </c>
      <c r="Q12" s="81">
        <f xml:space="preserve"> ($L12 * (INDEX(PlaysPerGame!$BK$3:$BK$132, MATCH($A12,PlaysPerGame!$BC$3:$BC$132, 0), 0) * 0.8))+ ($M12 * (INDEX(PlaysPerGame!$BL$3:$BL$132, MATCH($A12,PlaysPerGame!$BC$3:$BC$132, 0), 0) * 0.8)) + ($N12 * (INDEX(PlaysPerGame!$BM$3:$BM$132, MATCH($A12,PlaysPerGame!$BC$3:$BC$132, 0), 0) * 0.8)) + ($O12 * 0.1) + ($P12 * 0.1)</f>
        <v>0.74416011904165358</v>
      </c>
      <c r="R12" s="9">
        <f t="shared" si="0"/>
        <v>9</v>
      </c>
      <c r="S12" s="112" t="s">
        <v>296</v>
      </c>
      <c r="U12" s="20"/>
      <c r="V12" s="20"/>
    </row>
    <row r="13" spans="1:22" x14ac:dyDescent="0.2">
      <c r="A13" s="68" t="s">
        <v>64</v>
      </c>
      <c r="B13" s="9" t="s">
        <v>33</v>
      </c>
      <c r="C13" s="72">
        <f>INDEX(FPI!$H$3:$H$138, MATCH($A13&amp;", "&amp;$B13,FPI!$B$3:$B$138, 0), 0)</f>
        <v>21.1</v>
      </c>
      <c r="D13" s="73">
        <f>INDEX(Eff!$F$3:$F$138, MATCH($A13&amp;", "&amp;$B13,Eff!$B$3:$B$138, 0), 0)</f>
        <v>85.8</v>
      </c>
      <c r="E13" s="73">
        <f>INDEX(Eff!$C$3:$C$138, MATCH($A13&amp;", "&amp;$B13,Eff!$B$3:$B$138, 0), 0)</f>
        <v>67.900000000000006</v>
      </c>
      <c r="F13" s="73">
        <f>INDEX(Eff!$D$3:$D$138, MATCH($A13&amp;", "&amp;$B13,Eff!$B$3:$B$138, 0), 0)</f>
        <v>89.2</v>
      </c>
      <c r="G13" s="73">
        <f>INDEX(Eff!$E$3:$E$138, MATCH($A13&amp;", "&amp;$B13,Eff!$B$3:$B$138, 0), 0)</f>
        <v>52.7</v>
      </c>
      <c r="H13" s="31">
        <f>INDEX(FEI!$D$1:$D$139, MATCH($A13,FEI!$B$1:$B$139, 0), 0)</f>
        <v>0.74</v>
      </c>
      <c r="I13" s="31">
        <f>INDEX(FEI!$E$1:$E$139, MATCH($A13,FEI!$B$1:$B$139, 0), 0)</f>
        <v>0.57999999999999996</v>
      </c>
      <c r="J13" s="31">
        <f>INDEX(FEI!$G$1:$G$139, MATCH($A13,FEI!$B$1:$B$139, 0), 0)</f>
        <v>0.81</v>
      </c>
      <c r="K13" s="71">
        <f>INDEX('Billingsley 130'!$O$2:$O$131, MATCH($A13,'Billingsley 130'!$D$2:$D$131, 0), 0)</f>
        <v>284.89</v>
      </c>
      <c r="L13" s="81">
        <f>((($E13 - MIN($E$4:$E$133)) / (MAX($E$4:$E$133) - MIN($E$4:$E$133))) + (($I13 - MIN($I$4:$I$133)) / (MAX($I$4:$I$133) - MIN($I$4:$I$133)))) / 2</f>
        <v>0.58315038419319432</v>
      </c>
      <c r="M13" s="73">
        <f>((($F13 - MIN($F$4:$F$133)) / (MAX($F$4:$F$133) - MIN($F$4:$F$133))) + (($J13 - MIN($J$4:$J$133)) / (MAX($J$4:$J$133) - MIN($J$4:$J$133)))) / 2</f>
        <v>0.87879619465788517</v>
      </c>
      <c r="N13" s="73">
        <f>($G13 - MIN($G$4:$G$133)) / (MAX($G$4:$G$133) - MIN($G$4:$G$133))</f>
        <v>0.4906914893617022</v>
      </c>
      <c r="O13" s="73">
        <f>($K13 - MIN($K$4:$K$133)) / (MAX($K$4:$K$133) - MIN($K$4:$K$133))</f>
        <v>0.86819124851104779</v>
      </c>
      <c r="P13" s="84">
        <f>(($C13 - MIN($C$4:$C$133)) / (MAX($C$4:$C$133) - MIN($C$4:$C$133)) + ($D13 - MIN($D$4:$D$133)) / (MAX($D$4:$D$133) - MIN($D$4:$D$133)) + ($H13 - MIN($H$4:$H$133)) / (MAX($H$4:$H$133) - MIN($H$4:$H$133))) / 3</f>
        <v>0.81195220718934957</v>
      </c>
      <c r="Q13" s="81">
        <f xml:space="preserve"> ($L13 * (INDEX(PlaysPerGame!$BK$3:$BK$132, MATCH($A13,PlaysPerGame!$BC$3:$BC$132, 0), 0) * 0.8))+ ($M13 * (INDEX(PlaysPerGame!$BL$3:$BL$132, MATCH($A13,PlaysPerGame!$BC$3:$BC$132, 0), 0) * 0.8)) + ($N13 * (INDEX(PlaysPerGame!$BM$3:$BM$132, MATCH($A13,PlaysPerGame!$BC$3:$BC$132, 0), 0) * 0.8)) + ($O13 * 0.1) + ($P13 * 0.1)</f>
        <v>0.73332400346287363</v>
      </c>
      <c r="R13" s="9">
        <f t="shared" si="0"/>
        <v>10</v>
      </c>
      <c r="S13" s="112" t="s">
        <v>64</v>
      </c>
      <c r="U13" s="20"/>
      <c r="V13" s="20"/>
    </row>
    <row r="14" spans="1:22" x14ac:dyDescent="0.2">
      <c r="A14" s="68" t="s">
        <v>401</v>
      </c>
      <c r="B14" s="9" t="s">
        <v>113</v>
      </c>
      <c r="C14" s="72">
        <f>INDEX(FPI!$H$3:$H$138, MATCH($A14&amp;", "&amp;$B14,FPI!$B$3:$B$138, 0), 0)</f>
        <v>12.7</v>
      </c>
      <c r="D14" s="73">
        <f>INDEX(Eff!$F$3:$F$138, MATCH($A14&amp;", "&amp;$B14,Eff!$B$3:$B$138, 0), 0)</f>
        <v>82.5</v>
      </c>
      <c r="E14" s="73">
        <f>INDEX(Eff!$C$3:$C$138, MATCH($A14&amp;", "&amp;$B14,Eff!$B$3:$B$138, 0), 0)</f>
        <v>72.599999999999994</v>
      </c>
      <c r="F14" s="73">
        <f>INDEX(Eff!$D$3:$D$138, MATCH($A14&amp;", "&amp;$B14,Eff!$B$3:$B$138, 0), 0)</f>
        <v>81.7</v>
      </c>
      <c r="G14" s="73">
        <f>INDEX(Eff!$E$3:$E$138, MATCH($A14&amp;", "&amp;$B14,Eff!$B$3:$B$138, 0), 0)</f>
        <v>54.2</v>
      </c>
      <c r="H14" s="31">
        <f>INDEX(FEI!$D$1:$D$139, MATCH("Central Florida",FEI!$B$1:$B$139, 0), 0)</f>
        <v>0.85</v>
      </c>
      <c r="I14" s="31">
        <f>INDEX(FEI!$E$1:$E$139, MATCH("Central Florida",FEI!$B$1:$B$139, 0), 0)</f>
        <v>1.01</v>
      </c>
      <c r="J14" s="31">
        <f>INDEX(FEI!$G$1:$G$139, MATCH("Central Florida",FEI!$B$1:$B$139, 0), 0)</f>
        <v>0.63</v>
      </c>
      <c r="K14" s="71">
        <f>INDEX('Billingsley 130'!$O$2:$O$131, MATCH("Central Florida",'Billingsley 130'!$D$2:$D$131, 0), 0)</f>
        <v>265.04000000000002</v>
      </c>
      <c r="L14" s="81">
        <f>((($E14 - MIN($E$4:$E$133)) / (MAX($E$4:$E$133) - MIN($E$4:$E$133))) + (($I14 - MIN($I$4:$I$133)) / (MAX($I$4:$I$133) - MIN($I$4:$I$133)))) / 2</f>
        <v>0.66705432106090723</v>
      </c>
      <c r="M14" s="73">
        <f>((($F14 - MIN($F$4:$F$133)) / (MAX($F$4:$F$133) - MIN($F$4:$F$133))) + (($J14 - MIN($J$4:$J$133)) / (MAX($J$4:$J$133) - MIN($J$4:$J$133)))) / 2</f>
        <v>0.81220890931304157</v>
      </c>
      <c r="N14" s="73">
        <f>($G14 - MIN($G$4:$G$133)) / (MAX($G$4:$G$133) - MIN($G$4:$G$133))</f>
        <v>0.5106382978723405</v>
      </c>
      <c r="O14" s="73">
        <f>($K14 - MIN($K$4:$K$133)) / (MAX($K$4:$K$133) - MIN($K$4:$K$133))</f>
        <v>0.71160475518076494</v>
      </c>
      <c r="P14" s="84">
        <f>(($C14 - MIN($C$4:$C$133)) / (MAX($C$4:$C$133) - MIN($C$4:$C$133)) + ($D14 - MIN($D$4:$D$133)) / (MAX($D$4:$D$133) - MIN($D$4:$D$133)) + ($H14 - MIN($H$4:$H$133)) / (MAX($H$4:$H$133) - MIN($H$4:$H$133))) / 3</f>
        <v>0.76665457202316301</v>
      </c>
      <c r="Q14" s="81">
        <f xml:space="preserve"> ($L14 * (INDEX(PlaysPerGame!$BK$3:$BK$132, MATCH("Central FL",PlaysPerGame!$BC$3:$BC$132, 0), 0) * 0.8))+ ($M14 * (INDEX(PlaysPerGame!$BL$3:$BL$132, MATCH("Central FL",PlaysPerGame!$BC$3:$BC$132, 0), 0) * 0.8)) + ($N14 * (INDEX(PlaysPerGame!$BM$3:$BM$132, MATCH("Central FL",PlaysPerGame!$BC$3:$BC$132, 0), 0) * 0.8)) + ($O14 * 0.1) + ($P14 * 0.1)</f>
        <v>0.72495606573571869</v>
      </c>
      <c r="R14" s="9">
        <f t="shared" si="0"/>
        <v>11</v>
      </c>
      <c r="S14" s="112" t="s">
        <v>401</v>
      </c>
      <c r="U14" s="20"/>
      <c r="V14" s="20"/>
    </row>
    <row r="15" spans="1:22" x14ac:dyDescent="0.2">
      <c r="A15" s="68" t="s">
        <v>143</v>
      </c>
      <c r="B15" s="9" t="s">
        <v>33</v>
      </c>
      <c r="C15" s="72">
        <f>INDEX(FPI!$H$3:$H$138, MATCH($A15&amp;", "&amp;$B15,FPI!$B$3:$B$138, 0), 0)</f>
        <v>18.600000000000001</v>
      </c>
      <c r="D15" s="73">
        <f>INDEX(Eff!$F$3:$F$138, MATCH($A15&amp;", "&amp;$B15,Eff!$B$3:$B$138, 0), 0)</f>
        <v>82.1</v>
      </c>
      <c r="E15" s="73">
        <f>INDEX(Eff!$C$3:$C$138, MATCH($A15&amp;", "&amp;$B15,Eff!$B$3:$B$138, 0), 0)</f>
        <v>59</v>
      </c>
      <c r="F15" s="73">
        <f>INDEX(Eff!$D$3:$D$138, MATCH($A15&amp;", "&amp;$B15,Eff!$B$3:$B$138, 0), 0)</f>
        <v>84.8</v>
      </c>
      <c r="G15" s="73">
        <f>INDEX(Eff!$E$3:$E$138, MATCH($A15&amp;", "&amp;$B15,Eff!$B$3:$B$138, 0), 0)</f>
        <v>75</v>
      </c>
      <c r="H15" s="31">
        <f>INDEX(FEI!$D$1:$D$139, MATCH($A15,FEI!$B$1:$B$139, 0), 0)</f>
        <v>0.45</v>
      </c>
      <c r="I15" s="31">
        <f>INDEX(FEI!$E$1:$E$139, MATCH($A15,FEI!$B$1:$B$139, 0), 0)</f>
        <v>0.03</v>
      </c>
      <c r="J15" s="31">
        <f>INDEX(FEI!$G$1:$G$139, MATCH($A15,FEI!$B$1:$B$139, 0), 0)</f>
        <v>0.91</v>
      </c>
      <c r="K15" s="71">
        <f>INDEX('Billingsley 130'!$O$2:$O$131, MATCH($A15,'Billingsley 130'!$D$2:$D$131, 0), 0)</f>
        <v>295.77699999999999</v>
      </c>
      <c r="L15" s="81">
        <f>((($E15 - MIN($E$4:$E$133)) / (MAX($E$4:$E$133) - MIN($E$4:$E$133))) + (($I15 - MIN($I$4:$I$133)) / (MAX($I$4:$I$133) - MIN($I$4:$I$133)))) / 2</f>
        <v>0.45997863945174589</v>
      </c>
      <c r="M15" s="73">
        <f>((($F15 - MIN($F$4:$F$133)) / (MAX($F$4:$F$133) - MIN($F$4:$F$133))) + (($J15 - MIN($J$4:$J$133)) / (MAX($J$4:$J$133) - MIN($J$4:$J$133)))) / 2</f>
        <v>0.86877120194484247</v>
      </c>
      <c r="N15" s="73">
        <f>($G15 - MIN($G$4:$G$133)) / (MAX($G$4:$G$133) - MIN($G$4:$G$133))</f>
        <v>0.78723404255319152</v>
      </c>
      <c r="O15" s="73">
        <f>($K15 - MIN($K$4:$K$133)) / (MAX($K$4:$K$133) - MIN($K$4:$K$133))</f>
        <v>0.95407322094866953</v>
      </c>
      <c r="P15" s="84">
        <f>(($C15 - MIN($C$4:$C$133)) / (MAX($C$4:$C$133) - MIN($C$4:$C$133)) + ($D15 - MIN($D$4:$D$133)) / (MAX($D$4:$D$133) - MIN($D$4:$D$133)) + ($H15 - MIN($H$4:$H$133)) / (MAX($H$4:$H$133) - MIN($H$4:$H$133))) / 3</f>
        <v>0.75663382819637259</v>
      </c>
      <c r="Q15" s="81">
        <f xml:space="preserve"> ($L15 * (INDEX(PlaysPerGame!$BK$3:$BK$132, MATCH($A15,PlaysPerGame!$BC$3:$BC$132, 0), 0) * 0.8))+ ($M15 * (INDEX(PlaysPerGame!$BL$3:$BL$132, MATCH($A15,PlaysPerGame!$BC$3:$BC$132, 0), 0) * 0.8)) + ($N15 * (INDEX(PlaysPerGame!$BM$3:$BM$132, MATCH($A15,PlaysPerGame!$BC$3:$BC$132, 0), 0) * 0.8)) + ($O15 * 0.1) + ($P15 * 0.1)</f>
        <v>0.71414645327232307</v>
      </c>
      <c r="R15" s="9">
        <f t="shared" si="0"/>
        <v>12</v>
      </c>
      <c r="S15" s="112" t="s">
        <v>143</v>
      </c>
      <c r="U15" s="20"/>
      <c r="V15" s="20"/>
    </row>
    <row r="16" spans="1:22" x14ac:dyDescent="0.2">
      <c r="A16" s="68" t="s">
        <v>71</v>
      </c>
      <c r="B16" s="9" t="s">
        <v>75</v>
      </c>
      <c r="C16" s="72">
        <f>INDEX(FPI!$H$3:$H$138, MATCH($A16&amp;", "&amp;$B16,FPI!$B$3:$B$138, 0), 0)</f>
        <v>10.5</v>
      </c>
      <c r="D16" s="73">
        <f>INDEX(Eff!$F$3:$F$138, MATCH($A16&amp;", "&amp;$B16,Eff!$B$3:$B$138, 0), 0)</f>
        <v>79</v>
      </c>
      <c r="E16" s="73">
        <f>INDEX(Eff!$C$3:$C$138, MATCH($A16&amp;", "&amp;$B16,Eff!$B$3:$B$138, 0), 0)</f>
        <v>73</v>
      </c>
      <c r="F16" s="73">
        <f>INDEX(Eff!$D$3:$D$138, MATCH($A16&amp;", "&amp;$B16,Eff!$B$3:$B$138, 0), 0)</f>
        <v>75</v>
      </c>
      <c r="G16" s="73">
        <f>INDEX(Eff!$E$3:$E$138, MATCH($A16&amp;", "&amp;$B16,Eff!$B$3:$B$138, 0), 0)</f>
        <v>52.1</v>
      </c>
      <c r="H16" s="31">
        <f>INDEX(FEI!$D$1:$D$139, MATCH($A16,FEI!$B$1:$B$139, 0), 0)</f>
        <v>0.86</v>
      </c>
      <c r="I16" s="31">
        <f>INDEX(FEI!$E$1:$E$139, MATCH($A16,FEI!$B$1:$B$139, 0), 0)</f>
        <v>1.32</v>
      </c>
      <c r="J16" s="31">
        <f>INDEX(FEI!$G$1:$G$139, MATCH($A16,FEI!$B$1:$B$139, 0), 0)</f>
        <v>0.39</v>
      </c>
      <c r="K16" s="71">
        <f>INDEX('Billingsley 130'!$O$2:$O$131, MATCH($A16,'Billingsley 130'!$D$2:$D$131, 0), 0)</f>
        <v>267.67899999999997</v>
      </c>
      <c r="L16" s="81">
        <f>((($E16 - MIN($E$4:$E$133)) / (MAX($E$4:$E$133) - MIN($E$4:$E$133))) + (($I16 - MIN($I$4:$I$133)) / (MAX($I$4:$I$133) - MIN($I$4:$I$133)))) / 2</f>
        <v>0.71114160263446768</v>
      </c>
      <c r="M16" s="73">
        <f>((($F16 - MIN($F$4:$F$133)) / (MAX($F$4:$F$133) - MIN($F$4:$F$133))) + (($J16 - MIN($J$4:$J$133)) / (MAX($J$4:$J$133) - MIN($J$4:$J$133)))) / 2</f>
        <v>0.74153782706034843</v>
      </c>
      <c r="N16" s="73">
        <f>($G16 - MIN($G$4:$G$133)) / (MAX($G$4:$G$133) - MIN($G$4:$G$133))</f>
        <v>0.48271276595744678</v>
      </c>
      <c r="O16" s="73">
        <f>($K16 - MIN($K$4:$K$133)) / (MAX($K$4:$K$133) - MIN($K$4:$K$133))</f>
        <v>0.73242247588094678</v>
      </c>
      <c r="P16" s="84">
        <f>(($C16 - MIN($C$4:$C$133)) / (MAX($C$4:$C$133) - MIN($C$4:$C$133)) + ($D16 - MIN($D$4:$D$133)) / (MAX($D$4:$D$133) - MIN($D$4:$D$133)) + ($H16 - MIN($H$4:$H$133)) / (MAX($H$4:$H$133) - MIN($H$4:$H$133))) / 3</f>
        <v>0.7435771356493035</v>
      </c>
      <c r="Q16" s="81">
        <f xml:space="preserve"> ($L16 * (INDEX(PlaysPerGame!$BK$3:$BK$132, MATCH($A16,PlaysPerGame!$BC$3:$BC$132, 0), 0) * 0.8))+ ($M16 * (INDEX(PlaysPerGame!$BL$3:$BL$132, MATCH($A16,PlaysPerGame!$BC$3:$BC$132, 0), 0) * 0.8)) + ($N16 * (INDEX(PlaysPerGame!$BM$3:$BM$132, MATCH($A16,PlaysPerGame!$BC$3:$BC$132, 0), 0) * 0.8)) + ($O16 * 0.1) + ($P16 * 0.1)</f>
        <v>0.71254311098223932</v>
      </c>
      <c r="R16" s="9">
        <f t="shared" si="0"/>
        <v>13</v>
      </c>
      <c r="S16" s="112" t="s">
        <v>71</v>
      </c>
      <c r="U16" s="20"/>
      <c r="V16" s="20"/>
    </row>
    <row r="17" spans="1:22" x14ac:dyDescent="0.2">
      <c r="A17" s="68" t="s">
        <v>315</v>
      </c>
      <c r="B17" s="9" t="s">
        <v>45</v>
      </c>
      <c r="C17" s="72">
        <f>INDEX(FPI!$H$3:$H$138, MATCH($A17&amp;", "&amp;$B17,FPI!$B$3:$B$138, 0), 0)</f>
        <v>19.899999999999999</v>
      </c>
      <c r="D17" s="73">
        <f>INDEX(Eff!$F$3:$F$138, MATCH($A17&amp;", "&amp;$B17,Eff!$B$3:$B$138, 0), 0)</f>
        <v>81.099999999999994</v>
      </c>
      <c r="E17" s="73">
        <f>INDEX(Eff!$C$3:$C$138, MATCH($A17&amp;", "&amp;$B17,Eff!$B$3:$B$138, 0), 0)</f>
        <v>66.3</v>
      </c>
      <c r="F17" s="73">
        <f>INDEX(Eff!$D$3:$D$138, MATCH($A17&amp;", "&amp;$B17,Eff!$B$3:$B$138, 0), 0)</f>
        <v>84.9</v>
      </c>
      <c r="G17" s="73">
        <f>INDEX(Eff!$E$3:$E$138, MATCH($A17&amp;", "&amp;$B17,Eff!$B$3:$B$138, 0), 0)</f>
        <v>45.7</v>
      </c>
      <c r="H17" s="31">
        <f>INDEX(FEI!$D$1:$D$139, MATCH($A17,FEI!$B$1:$B$139, 0), 0)</f>
        <v>0.68</v>
      </c>
      <c r="I17" s="31">
        <f>INDEX(FEI!$E$1:$E$139, MATCH($A17,FEI!$B$1:$B$139, 0), 0)</f>
        <v>0.33</v>
      </c>
      <c r="J17" s="31">
        <f>INDEX(FEI!$G$1:$G$139, MATCH($A17,FEI!$B$1:$B$139, 0), 0)</f>
        <v>0.96</v>
      </c>
      <c r="K17" s="71">
        <f>INDEX('Billingsley 130'!$O$2:$O$131, MATCH($A17,'Billingsley 130'!$D$2:$D$131, 0), 0)</f>
        <v>270.73500000000001</v>
      </c>
      <c r="L17" s="81">
        <f>((($E17 - MIN($E$4:$E$133)) / (MAX($E$4:$E$133) - MIN($E$4:$E$133))) + (($I17 - MIN($I$4:$I$133)) / (MAX($I$4:$I$133) - MIN($I$4:$I$133)))) / 2</f>
        <v>0.54058504168273647</v>
      </c>
      <c r="M17" s="73">
        <f>((($F17 - MIN($F$4:$F$133)) / (MAX($F$4:$F$133) - MIN($F$4:$F$133))) + (($J17 - MIN($J$4:$J$133)) / (MAX($J$4:$J$133) - MIN($J$4:$J$133)))) / 2</f>
        <v>0.87638219625791502</v>
      </c>
      <c r="N17" s="73">
        <f>($G17 - MIN($G$4:$G$133)) / (MAX($G$4:$G$133) - MIN($G$4:$G$133))</f>
        <v>0.39760638297872342</v>
      </c>
      <c r="O17" s="73">
        <f>($K17 - MIN($K$4:$K$133)) / (MAX($K$4:$K$133) - MIN($K$4:$K$133))</f>
        <v>0.75652969621431465</v>
      </c>
      <c r="P17" s="84">
        <f>(($C17 - MIN($C$4:$C$133)) / (MAX($C$4:$C$133) - MIN($C$4:$C$133)) + ($D17 - MIN($D$4:$D$133)) / (MAX($D$4:$D$133) - MIN($D$4:$D$133)) + ($H17 - MIN($H$4:$H$133)) / (MAX($H$4:$H$133) - MIN($H$4:$H$133))) / 3</f>
        <v>0.7829458014732632</v>
      </c>
      <c r="Q17" s="81">
        <f xml:space="preserve"> ($L17 * (INDEX(PlaysPerGame!$BK$3:$BK$132, MATCH($A17,PlaysPerGame!$BC$3:$BC$132, 0), 0) * 0.8))+ ($M17 * (INDEX(PlaysPerGame!$BL$3:$BL$132, MATCH($A17,PlaysPerGame!$BC$3:$BC$132, 0), 0) * 0.8)) + ($N17 * (INDEX(PlaysPerGame!$BM$3:$BM$132, MATCH($A17,PlaysPerGame!$BC$3:$BC$132, 0), 0) * 0.8)) + ($O17 * 0.1) + ($P17 * 0.1)</f>
        <v>0.69817288186845117</v>
      </c>
      <c r="R17" s="9">
        <f t="shared" si="0"/>
        <v>14</v>
      </c>
      <c r="S17" s="112" t="s">
        <v>315</v>
      </c>
      <c r="U17" s="20"/>
      <c r="V17" s="20"/>
    </row>
    <row r="18" spans="1:22" x14ac:dyDescent="0.2">
      <c r="A18" s="68" t="s">
        <v>74</v>
      </c>
      <c r="B18" s="9" t="s">
        <v>75</v>
      </c>
      <c r="C18" s="72">
        <f>INDEX(FPI!$H$3:$H$138, MATCH($A18&amp;", "&amp;$B18,FPI!$B$3:$B$138, 0), 0)</f>
        <v>12.9</v>
      </c>
      <c r="D18" s="73">
        <f>INDEX(Eff!$F$3:$F$138, MATCH($A18&amp;", "&amp;$B18,Eff!$B$3:$B$138, 0), 0)</f>
        <v>77.7</v>
      </c>
      <c r="E18" s="73">
        <f>INDEX(Eff!$C$3:$C$138, MATCH($A18&amp;", "&amp;$B18,Eff!$B$3:$B$138, 0), 0)</f>
        <v>81.5</v>
      </c>
      <c r="F18" s="73">
        <f>INDEX(Eff!$D$3:$D$138, MATCH($A18&amp;", "&amp;$B18,Eff!$B$3:$B$138, 0), 0)</f>
        <v>63.5</v>
      </c>
      <c r="G18" s="73">
        <f>INDEX(Eff!$E$3:$E$138, MATCH($A18&amp;", "&amp;$B18,Eff!$B$3:$B$138, 0), 0)</f>
        <v>43.4</v>
      </c>
      <c r="H18" s="31">
        <f>INDEX(FEI!$D$1:$D$139, MATCH($A18,FEI!$B$1:$B$139, 0), 0)</f>
        <v>0.63</v>
      </c>
      <c r="I18" s="31">
        <f>INDEX(FEI!$E$1:$E$139, MATCH($A18,FEI!$B$1:$B$139, 0), 0)</f>
        <v>1.1599999999999999</v>
      </c>
      <c r="J18" s="31">
        <f>INDEX(FEI!$G$1:$G$139, MATCH($A18,FEI!$B$1:$B$139, 0), 0)</f>
        <v>7.0000000000000007E-2</v>
      </c>
      <c r="K18" s="71">
        <f>INDEX('Billingsley 130'!$O$2:$O$131, MATCH($A18,'Billingsley 130'!$D$2:$D$131, 0), 0)</f>
        <v>279.39600000000002</v>
      </c>
      <c r="L18" s="81">
        <f>((($E18 - MIN($E$4:$E$133)) / (MAX($E$4:$E$133) - MIN($E$4:$E$133))) + (($I18 - MIN($I$4:$I$133)) / (MAX($I$4:$I$133) - MIN($I$4:$I$133)))) / 2</f>
        <v>0.73617201174830149</v>
      </c>
      <c r="M18" s="73">
        <f>((($F18 - MIN($F$4:$F$133)) / (MAX($F$4:$F$133) - MIN($F$4:$F$133))) + (($J18 - MIN($J$4:$J$133)) / (MAX($J$4:$J$133) - MIN($J$4:$J$133)))) / 2</f>
        <v>0.6332226335993848</v>
      </c>
      <c r="N18" s="73">
        <f>($G18 - MIN($G$4:$G$133)) / (MAX($G$4:$G$133) - MIN($G$4:$G$133))</f>
        <v>0.36702127659574463</v>
      </c>
      <c r="O18" s="73">
        <f>($K18 - MIN($K$4:$K$133)) / (MAX($K$4:$K$133) - MIN($K$4:$K$133))</f>
        <v>0.82485189363162359</v>
      </c>
      <c r="P18" s="84">
        <f>(($C18 - MIN($C$4:$C$133)) / (MAX($C$4:$C$133) - MIN($C$4:$C$133)) + ($D18 - MIN($D$4:$D$133)) / (MAX($D$4:$D$133) - MIN($D$4:$D$133)) + ($H18 - MIN($H$4:$H$133)) / (MAX($H$4:$H$133) - MIN($H$4:$H$133))) / 3</f>
        <v>0.72875686722630872</v>
      </c>
      <c r="Q18" s="81">
        <f xml:space="preserve"> ($L18 * (INDEX(PlaysPerGame!$BK$3:$BK$132, MATCH($A18,PlaysPerGame!$BC$3:$BC$132, 0), 0) * 0.8))+ ($M18 * (INDEX(PlaysPerGame!$BL$3:$BL$132, MATCH($A18,PlaysPerGame!$BC$3:$BC$132, 0), 0) * 0.8)) + ($N18 * (INDEX(PlaysPerGame!$BM$3:$BM$132, MATCH($A18,PlaysPerGame!$BC$3:$BC$132, 0), 0) * 0.8)) + ($O18 * 0.1) + ($P18 * 0.1)</f>
        <v>0.68632509154443955</v>
      </c>
      <c r="R18" s="9">
        <f t="shared" si="0"/>
        <v>15</v>
      </c>
      <c r="S18" s="112" t="s">
        <v>74</v>
      </c>
      <c r="U18" s="20"/>
      <c r="V18" s="20"/>
    </row>
    <row r="19" spans="1:22" x14ac:dyDescent="0.2">
      <c r="A19" s="68" t="s">
        <v>259</v>
      </c>
      <c r="B19" s="9" t="s">
        <v>33</v>
      </c>
      <c r="C19" s="72">
        <f>INDEX(FPI!$H$3:$H$138, MATCH($A19&amp;", "&amp;$B19,FPI!$B$3:$B$138, 0), 0)</f>
        <v>14</v>
      </c>
      <c r="D19" s="73">
        <f>INDEX(Eff!$F$3:$F$138, MATCH($A19&amp;", "&amp;$B19,Eff!$B$3:$B$138, 0), 0)</f>
        <v>81.5</v>
      </c>
      <c r="E19" s="73">
        <f>INDEX(Eff!$C$3:$C$138, MATCH($A19&amp;", "&amp;$B19,Eff!$B$3:$B$138, 0), 0)</f>
        <v>63.4</v>
      </c>
      <c r="F19" s="73">
        <f>INDEX(Eff!$D$3:$D$138, MATCH($A19&amp;", "&amp;$B19,Eff!$B$3:$B$138, 0), 0)</f>
        <v>90.1</v>
      </c>
      <c r="G19" s="73">
        <f>INDEX(Eff!$E$3:$E$138, MATCH($A19&amp;", "&amp;$B19,Eff!$B$3:$B$138, 0), 0)</f>
        <v>46</v>
      </c>
      <c r="H19" s="31">
        <f>INDEX(FEI!$D$1:$D$139, MATCH($A19,FEI!$B$1:$B$139, 0), 0)</f>
        <v>0.79</v>
      </c>
      <c r="I19" s="31">
        <f>INDEX(FEI!$E$1:$E$139, MATCH($A19,FEI!$B$1:$B$139, 0), 0)</f>
        <v>0.7</v>
      </c>
      <c r="J19" s="31">
        <f>INDEX(FEI!$G$1:$G$139, MATCH($A19,FEI!$B$1:$B$139, 0), 0)</f>
        <v>0.79</v>
      </c>
      <c r="K19" s="71">
        <f>INDEX('Billingsley 130'!$O$2:$O$131, MATCH($A19,'Billingsley 130'!$D$2:$D$131, 0), 0)</f>
        <v>251.322</v>
      </c>
      <c r="L19" s="81">
        <f>((($E19 - MIN($E$4:$E$133)) / (MAX($E$4:$E$133) - MIN($E$4:$E$133))) + (($I19 - MIN($I$4:$I$133)) / (MAX($I$4:$I$133) - MIN($I$4:$I$133)))) / 2</f>
        <v>0.57466846649063985</v>
      </c>
      <c r="M19" s="73">
        <f>((($F19 - MIN($F$4:$F$133)) / (MAX($F$4:$F$133) - MIN($F$4:$F$133))) + (($J19 - MIN($J$4:$J$133)) / (MAX($J$4:$J$133) - MIN($J$4:$J$133)))) / 2</f>
        <v>0.88091096268457714</v>
      </c>
      <c r="N19" s="73">
        <f>($G19 - MIN($G$4:$G$133)) / (MAX($G$4:$G$133) - MIN($G$4:$G$133))</f>
        <v>0.40159574468085102</v>
      </c>
      <c r="O19" s="73">
        <f>($K19 - MIN($K$4:$K$133)) / (MAX($K$4:$K$133) - MIN($K$4:$K$133))</f>
        <v>0.60339047228379639</v>
      </c>
      <c r="P19" s="84">
        <f>(($C19 - MIN($C$4:$C$133)) / (MAX($C$4:$C$133) - MIN($C$4:$C$133)) + ($D19 - MIN($D$4:$D$133)) / (MAX($D$4:$D$133) - MIN($D$4:$D$133)) + ($H19 - MIN($H$4:$H$133)) / (MAX($H$4:$H$133) - MIN($H$4:$H$133))) / 3</f>
        <v>0.76402442953159044</v>
      </c>
      <c r="Q19" s="81">
        <f xml:space="preserve"> ($L19 * (INDEX(PlaysPerGame!$BK$3:$BK$132, MATCH($A19,PlaysPerGame!$BC$3:$BC$132, 0), 0) * 0.8))+ ($M19 * (INDEX(PlaysPerGame!$BL$3:$BL$132, MATCH($A19,PlaysPerGame!$BC$3:$BC$132, 0), 0) * 0.8)) + ($N19 * (INDEX(PlaysPerGame!$BM$3:$BM$132, MATCH($A19,PlaysPerGame!$BC$3:$BC$132, 0), 0) * 0.8)) + ($O19 * 0.1) + ($P19 * 0.1)</f>
        <v>0.68254573482346548</v>
      </c>
      <c r="R19" s="9">
        <f t="shared" si="0"/>
        <v>16</v>
      </c>
      <c r="S19" s="112" t="s">
        <v>259</v>
      </c>
      <c r="U19" s="20"/>
      <c r="V19" s="20"/>
    </row>
    <row r="20" spans="1:22" x14ac:dyDescent="0.2">
      <c r="A20" s="68" t="s">
        <v>447</v>
      </c>
      <c r="B20" s="9" t="s">
        <v>45</v>
      </c>
      <c r="C20" s="72">
        <f>INDEX(FPI!$H$3:$H$138, MATCH($A20&amp;", "&amp;$B20,FPI!$B$3:$B$138, 0), 0)</f>
        <v>14.5</v>
      </c>
      <c r="D20" s="73">
        <f>INDEX(Eff!$F$3:$F$138, MATCH($A20&amp;", "&amp;$B20,Eff!$B$3:$B$138, 0), 0)</f>
        <v>79.3</v>
      </c>
      <c r="E20" s="73">
        <f>INDEX(Eff!$C$3:$C$138, MATCH($A20&amp;", "&amp;$B20,Eff!$B$3:$B$138, 0), 0)</f>
        <v>72.599999999999994</v>
      </c>
      <c r="F20" s="73">
        <f>INDEX(Eff!$D$3:$D$138, MATCH($A20&amp;", "&amp;$B20,Eff!$B$3:$B$138, 0), 0)</f>
        <v>69.2</v>
      </c>
      <c r="G20" s="73">
        <f>INDEX(Eff!$E$3:$E$138, MATCH($A20&amp;", "&amp;$B20,Eff!$B$3:$B$138, 0), 0)</f>
        <v>75.099999999999994</v>
      </c>
      <c r="H20" s="31">
        <f>INDEX(FEI!$D$1:$D$139, MATCH($A20,FEI!$B$1:$B$139, 0), 0)</f>
        <v>0.49</v>
      </c>
      <c r="I20" s="31">
        <f>INDEX(FEI!$E$1:$E$139, MATCH($A20,FEI!$B$1:$B$139, 0), 0)</f>
        <v>0.75</v>
      </c>
      <c r="J20" s="31">
        <f>INDEX(FEI!$G$1:$G$139, MATCH($A20,FEI!$B$1:$B$139, 0), 0)</f>
        <v>0.31</v>
      </c>
      <c r="K20" s="71">
        <f>INDEX('Billingsley 130'!$O$2:$O$131, MATCH($A20,'Billingsley 130'!$D$2:$D$131, 0), 0)</f>
        <v>258.96600000000001</v>
      </c>
      <c r="L20" s="81">
        <f>((($E20 - MIN($E$4:$E$133)) / (MAX($E$4:$E$133) - MIN($E$4:$E$133))) + (($I20 - MIN($I$4:$I$133)) / (MAX($I$4:$I$133) - MIN($I$4:$I$133)))) / 2</f>
        <v>0.63191918592577201</v>
      </c>
      <c r="M20" s="73">
        <f>((($F20 - MIN($F$4:$F$133)) / (MAX($F$4:$F$133) - MIN($F$4:$F$133))) + (($J20 - MIN($J$4:$J$133)) / (MAX($J$4:$J$133) - MIN($J$4:$J$133)))) / 2</f>
        <v>0.69840524164790674</v>
      </c>
      <c r="N20" s="73">
        <f>($G20 - MIN($G$4:$G$133)) / (MAX($G$4:$G$133) - MIN($G$4:$G$133))</f>
        <v>0.78856382978723394</v>
      </c>
      <c r="O20" s="73">
        <f>($K20 - MIN($K$4:$K$133)) / (MAX($K$4:$K$133) - MIN($K$4:$K$133))</f>
        <v>0.66369007707053107</v>
      </c>
      <c r="P20" s="84">
        <f>(($C20 - MIN($C$4:$C$133)) / (MAX($C$4:$C$133) - MIN($C$4:$C$133)) + ($D20 - MIN($D$4:$D$133)) / (MAX($D$4:$D$133) - MIN($D$4:$D$133)) + ($H20 - MIN($H$4:$H$133)) / (MAX($H$4:$H$133) - MIN($H$4:$H$133))) / 3</f>
        <v>0.72894510970613113</v>
      </c>
      <c r="Q20" s="81">
        <f xml:space="preserve"> ($L20 * (INDEX(PlaysPerGame!$BK$3:$BK$132, MATCH($A20,PlaysPerGame!$BC$3:$BC$132, 0), 0) * 0.8))+ ($M20 * (INDEX(PlaysPerGame!$BL$3:$BL$132, MATCH($A20,PlaysPerGame!$BC$3:$BC$132, 0), 0) * 0.8)) + ($N20 * (INDEX(PlaysPerGame!$BM$3:$BM$132, MATCH($A20,PlaysPerGame!$BC$3:$BC$132, 0), 0) * 0.8)) + ($O20 * 0.1) + ($P20 * 0.1)</f>
        <v>0.68006234754891448</v>
      </c>
      <c r="R20" s="9">
        <f t="shared" si="0"/>
        <v>17</v>
      </c>
      <c r="S20" s="112" t="s">
        <v>447</v>
      </c>
      <c r="U20" s="20"/>
      <c r="V20" s="20"/>
    </row>
    <row r="21" spans="1:22" ht="17" thickBot="1" x14ac:dyDescent="0.25">
      <c r="A21" s="68" t="s">
        <v>97</v>
      </c>
      <c r="B21" s="9" t="s">
        <v>45</v>
      </c>
      <c r="C21" s="72">
        <f>INDEX(FPI!$H$3:$H$138, MATCH($A21&amp;", "&amp;$B21,FPI!$B$3:$B$138, 0), 0)</f>
        <v>12.9</v>
      </c>
      <c r="D21" s="73">
        <f>INDEX(Eff!$F$3:$F$138, MATCH($A21&amp;", "&amp;$B21,Eff!$B$3:$B$138, 0), 0)</f>
        <v>78.8</v>
      </c>
      <c r="E21" s="73">
        <f>INDEX(Eff!$C$3:$C$138, MATCH($A21&amp;", "&amp;$B21,Eff!$B$3:$B$138, 0), 0)</f>
        <v>78.7</v>
      </c>
      <c r="F21" s="73">
        <f>INDEX(Eff!$D$3:$D$138, MATCH($A21&amp;", "&amp;$B21,Eff!$B$3:$B$138, 0), 0)</f>
        <v>74.599999999999994</v>
      </c>
      <c r="G21" s="73">
        <f>INDEX(Eff!$E$3:$E$138, MATCH($A21&amp;", "&amp;$B21,Eff!$B$3:$B$138, 0), 0)</f>
        <v>27.9</v>
      </c>
      <c r="H21" s="31">
        <f>INDEX(FEI!$D$1:$D$139, MATCH($A21,FEI!$B$1:$B$139, 0), 0)</f>
        <v>0.44</v>
      </c>
      <c r="I21" s="31">
        <f>INDEX(FEI!$E$1:$E$139, MATCH($A21,FEI!$B$1:$B$139, 0), 0)</f>
        <v>0.66</v>
      </c>
      <c r="J21" s="31">
        <f>INDEX(FEI!$G$1:$G$139, MATCH($A21,FEI!$B$1:$B$139, 0), 0)</f>
        <v>0.43</v>
      </c>
      <c r="K21" s="71">
        <f>INDEX('Billingsley 130'!$O$2:$O$131, MATCH($A21,'Billingsley 130'!$D$2:$D$131, 0), 0)</f>
        <v>267.21600000000001</v>
      </c>
      <c r="L21" s="81">
        <f>((($E21 - MIN($E$4:$E$133)) / (MAX($E$4:$E$133) - MIN($E$4:$E$133))) + (($I21 - MIN($I$4:$I$133)) / (MAX($I$4:$I$133) - MIN($I$4:$I$133)))) / 2</f>
        <v>0.65323671640905445</v>
      </c>
      <c r="M21" s="73">
        <f>((($F21 - MIN($F$4:$F$133)) / (MAX($F$4:$F$133) - MIN($F$4:$F$133))) + (($J21 - MIN($J$4:$J$133)) / (MAX($J$4:$J$133) - MIN($J$4:$J$133)))) / 2</f>
        <v>0.74499215489280424</v>
      </c>
      <c r="N21" s="73">
        <f>($G21 - MIN($G$4:$G$133)) / (MAX($G$4:$G$133) - MIN($G$4:$G$133))</f>
        <v>0.1609042553191489</v>
      </c>
      <c r="O21" s="73">
        <f>($K21 - MIN($K$4:$K$133)) / (MAX($K$4:$K$133) - MIN($K$4:$K$133))</f>
        <v>0.72877010578462864</v>
      </c>
      <c r="P21" s="84">
        <f>(($C21 - MIN($C$4:$C$133)) / (MAX($C$4:$C$133) - MIN($C$4:$C$133)) + ($D21 - MIN($D$4:$D$133)) / (MAX($D$4:$D$133) - MIN($D$4:$D$133)) + ($H21 - MIN($H$4:$H$133)) / (MAX($H$4:$H$133) - MIN($H$4:$H$133))) / 3</f>
        <v>0.71369135531707728</v>
      </c>
      <c r="Q21" s="81">
        <f xml:space="preserve"> ($L21 * (INDEX(PlaysPerGame!$BK$3:$BK$132, MATCH($A21,PlaysPerGame!$BC$3:$BC$132, 0), 0) * 0.8))+ ($M21 * (INDEX(PlaysPerGame!$BL$3:$BL$132, MATCH($A21,PlaysPerGame!$BC$3:$BC$132, 0), 0) * 0.8)) + ($N21 * (INDEX(PlaysPerGame!$BM$3:$BM$132, MATCH($A21,PlaysPerGame!$BC$3:$BC$132, 0), 0) * 0.8)) + ($O21 * 0.1) + ($P21 * 0.1)</f>
        <v>0.67249496242470896</v>
      </c>
      <c r="R21" s="9">
        <f t="shared" si="0"/>
        <v>18</v>
      </c>
      <c r="S21" s="112" t="s">
        <v>97</v>
      </c>
    </row>
    <row r="22" spans="1:22" ht="17" thickBot="1" x14ac:dyDescent="0.25">
      <c r="A22" s="68" t="s">
        <v>181</v>
      </c>
      <c r="B22" s="9" t="s">
        <v>176</v>
      </c>
      <c r="C22" s="72">
        <f>INDEX(FPI!$H$3:$H$138, MATCH($A22&amp;", "&amp;$B22,FPI!$B$3:$B$138, 0), 0)</f>
        <v>13.6</v>
      </c>
      <c r="D22" s="73">
        <f>INDEX(Eff!$F$3:$F$138, MATCH($A22&amp;", "&amp;$B22,Eff!$B$3:$B$138, 0), 0)</f>
        <v>76.7</v>
      </c>
      <c r="E22" s="73">
        <f>INDEX(Eff!$C$3:$C$138, MATCH($A22&amp;", "&amp;$B22,Eff!$B$3:$B$138, 0), 0)</f>
        <v>56.9</v>
      </c>
      <c r="F22" s="73">
        <f>INDEX(Eff!$D$3:$D$138, MATCH($A22&amp;", "&amp;$B22,Eff!$B$3:$B$138, 0), 0)</f>
        <v>81.900000000000006</v>
      </c>
      <c r="G22" s="73">
        <f>INDEX(Eff!$E$3:$E$138, MATCH($A22&amp;", "&amp;$B22,Eff!$B$3:$B$138, 0), 0)</f>
        <v>73.099999999999994</v>
      </c>
      <c r="H22" s="31">
        <f>INDEX(FEI!$D$1:$D$139, MATCH($A22,FEI!$B$1:$B$139, 0), 0)</f>
        <v>0.65</v>
      </c>
      <c r="I22" s="31">
        <f>INDEX(FEI!$E$1:$E$139, MATCH($A22,FEI!$B$1:$B$139, 0), 0)</f>
        <v>0.19</v>
      </c>
      <c r="J22" s="31">
        <f>INDEX(FEI!$G$1:$G$139, MATCH($A22,FEI!$B$1:$B$139, 0), 0)</f>
        <v>0.99</v>
      </c>
      <c r="K22" s="71">
        <f>INDEX('Billingsley 130'!$O$2:$O$131, MATCH($A22,'Billingsley 130'!$D$2:$D$131, 0), 0)</f>
        <v>274.82900000000001</v>
      </c>
      <c r="L22" s="81">
        <f>((($E22 - MIN($E$4:$E$133)) / (MAX($E$4:$E$133) - MIN($E$4:$E$133))) + (($I22 - MIN($I$4:$I$133)) / (MAX($I$4:$I$133) - MIN($I$4:$I$133)))) / 2</f>
        <v>0.47007446524460794</v>
      </c>
      <c r="M22" s="73">
        <f>((($F22 - MIN($F$4:$F$133)) / (MAX($F$4:$F$133) - MIN($F$4:$F$133))) + (($J22 - MIN($J$4:$J$133)) / (MAX($J$4:$J$133) - MIN($J$4:$J$133)))) / 2</f>
        <v>0.86415406178099441</v>
      </c>
      <c r="N22" s="73">
        <f>($G22 - MIN($G$4:$G$133)) / (MAX($G$4:$G$133) - MIN($G$4:$G$133))</f>
        <v>0.76196808510638292</v>
      </c>
      <c r="O22" s="73">
        <f>($K22 - MIN($K$4:$K$133)) / (MAX($K$4:$K$133) - MIN($K$4:$K$133))</f>
        <v>0.78882516743316489</v>
      </c>
      <c r="P22" s="84">
        <f>(($C22 - MIN($C$4:$C$133)) / (MAX($C$4:$C$133) - MIN($C$4:$C$133)) + ($D22 - MIN($D$4:$D$133)) / (MAX($D$4:$D$133) - MIN($D$4:$D$133)) + ($H22 - MIN($H$4:$H$133)) / (MAX($H$4:$H$133) - MIN($H$4:$H$133))) / 3</f>
        <v>0.73092604329506783</v>
      </c>
      <c r="Q22" s="81">
        <f xml:space="preserve"> ($L22 * (INDEX(PlaysPerGame!$BK$3:$BK$132, MATCH($A22,PlaysPerGame!$BC$3:$BC$132, 0), 0) * 0.8))+ ($M22 * (INDEX(PlaysPerGame!$BL$3:$BL$132, MATCH($A22,PlaysPerGame!$BC$3:$BC$132, 0), 0) * 0.8)) + ($N22 * (INDEX(PlaysPerGame!$BM$3:$BM$132, MATCH($A22,PlaysPerGame!$BC$3:$BC$132, 0), 0) * 0.8)) + ($O22 * 0.1) + ($P22 * 0.1)</f>
        <v>0.6695175566636965</v>
      </c>
      <c r="R22" s="9">
        <f t="shared" si="0"/>
        <v>19</v>
      </c>
      <c r="S22" s="112" t="s">
        <v>181</v>
      </c>
      <c r="U22" s="33" t="s">
        <v>858</v>
      </c>
      <c r="V22" s="34"/>
    </row>
    <row r="23" spans="1:22" ht="17" thickBot="1" x14ac:dyDescent="0.25">
      <c r="A23" s="68" t="s">
        <v>245</v>
      </c>
      <c r="B23" s="9" t="s">
        <v>176</v>
      </c>
      <c r="C23" s="72">
        <f>INDEX(FPI!$H$3:$H$138, MATCH("Mich. St."&amp;", "&amp;$B23,FPI!$B$3:$B$138, 0), 0)</f>
        <v>14.5</v>
      </c>
      <c r="D23" s="73">
        <f>INDEX(Eff!$F$3:$F$138, MATCH("Mich. St."&amp;", "&amp;$B23,Eff!$B$3:$B$138, 0), 0)</f>
        <v>73.599999999999994</v>
      </c>
      <c r="E23" s="73">
        <f>INDEX(Eff!$C$3:$C$138, MATCH("Mich. St."&amp;", "&amp;$B23,Eff!$B$3:$B$138, 0), 0)</f>
        <v>62.7</v>
      </c>
      <c r="F23" s="73">
        <f>INDEX(Eff!$D$3:$D$138, MATCH("Mich. St."&amp;", "&amp;$B23,Eff!$B$3:$B$138, 0), 0)</f>
        <v>75.2</v>
      </c>
      <c r="G23" s="73">
        <f>INDEX(Eff!$E$3:$E$138, MATCH("Mich. St."&amp;", "&amp;$B23,Eff!$B$3:$B$138, 0), 0)</f>
        <v>53.8</v>
      </c>
      <c r="H23" s="31">
        <f>INDEX(FEI!$D$1:$D$139, MATCH($A23,FEI!$B$1:$B$139, 0), 0)</f>
        <v>0.63</v>
      </c>
      <c r="I23" s="31">
        <f>INDEX(FEI!$E$1:$E$139, MATCH($A23,FEI!$B$1:$B$139, 0), 0)</f>
        <v>0.2</v>
      </c>
      <c r="J23" s="31">
        <f>INDEX(FEI!$G$1:$G$139, MATCH($A23,FEI!$B$1:$B$139, 0), 0)</f>
        <v>1.0900000000000001</v>
      </c>
      <c r="K23" s="71">
        <f>INDEX('Billingsley 130'!$O$2:$O$131, MATCH($A23,'Billingsley 130'!$D$2:$D$131, 0), 0)</f>
        <v>260.27600000000001</v>
      </c>
      <c r="L23" s="81">
        <f>((($E23 - MIN($E$4:$E$133)) / (MAX($E$4:$E$133) - MIN($E$4:$E$133))) + (($I23 - MIN($I$4:$I$133)) / (MAX($I$4:$I$133) - MIN($I$4:$I$133)))) / 2</f>
        <v>0.50325896698015249</v>
      </c>
      <c r="M23" s="73">
        <f>((($F23 - MIN($F$4:$F$133)) / (MAX($F$4:$F$133) - MIN($F$4:$F$133))) + (($J23 - MIN($J$4:$J$133)) / (MAX($J$4:$J$133) - MIN($J$4:$J$133)))) / 2</f>
        <v>0.84150557839835782</v>
      </c>
      <c r="N23" s="73">
        <f>($G23 - MIN($G$4:$G$133)) / (MAX($G$4:$G$133) - MIN($G$4:$G$133))</f>
        <v>0.50531914893617025</v>
      </c>
      <c r="O23" s="73">
        <f>($K23 - MIN($K$4:$K$133)) / (MAX($K$4:$K$133) - MIN($K$4:$K$133))</f>
        <v>0.67402399678149694</v>
      </c>
      <c r="P23" s="84">
        <f>(($C23 - MIN($C$4:$C$133)) / (MAX($C$4:$C$133) - MIN($C$4:$C$133)) + ($D23 - MIN($D$4:$D$133)) / (MAX($D$4:$D$133) - MIN($D$4:$D$133)) + ($H23 - MIN($H$4:$H$133)) / (MAX($H$4:$H$133) - MIN($H$4:$H$133))) / 3</f>
        <v>0.72272587972825475</v>
      </c>
      <c r="Q23" s="81">
        <f xml:space="preserve"> ($L23 * (INDEX(PlaysPerGame!$BK$3:$BK$132, MATCH("Michigan St",PlaysPerGame!$BC$3:$BC$132, 0), 0) * 0.8))+ ($M23 * (INDEX(PlaysPerGame!$BL$3:$BL$132, MATCH("Michigan St",PlaysPerGame!$BC$3:$BC$132, 0), 0) * 0.8)) + ($N23 * (INDEX(PlaysPerGame!$BM$3:$BM$132, MATCH("Michigan St",PlaysPerGame!$BC$3:$BC$132, 0), 0) * 0.8)) + ($O23 * 0.1) + ($P23 * 0.1)</f>
        <v>0.66274035106096529</v>
      </c>
      <c r="R23" s="9">
        <f t="shared" si="0"/>
        <v>20</v>
      </c>
      <c r="S23" s="112" t="s">
        <v>245</v>
      </c>
      <c r="U23" s="114" t="s">
        <v>859</v>
      </c>
      <c r="V23" s="21" t="s">
        <v>860</v>
      </c>
    </row>
    <row r="24" spans="1:22" x14ac:dyDescent="0.2">
      <c r="A24" s="68" t="s">
        <v>344</v>
      </c>
      <c r="B24" s="9" t="s">
        <v>113</v>
      </c>
      <c r="C24" s="72">
        <f>INDEX(FPI!$H$3:$H$138, MATCH($A24&amp;", "&amp;$B24,FPI!$B$3:$B$138, 0), 0)</f>
        <v>5.5</v>
      </c>
      <c r="D24" s="73">
        <f>INDEX(Eff!$F$3:$F$138, MATCH($A24&amp;", "&amp;$B24,Eff!$B$3:$B$138, 0), 0)</f>
        <v>70.7</v>
      </c>
      <c r="E24" s="73">
        <f>INDEX(Eff!$C$3:$C$138, MATCH($A24&amp;", "&amp;$B24,Eff!$B$3:$B$138, 0), 0)</f>
        <v>68.900000000000006</v>
      </c>
      <c r="F24" s="73">
        <f>INDEX(Eff!$D$3:$D$138, MATCH($A24&amp;", "&amp;$B24,Eff!$B$3:$B$138, 0), 0)</f>
        <v>64</v>
      </c>
      <c r="G24" s="73">
        <f>INDEX(Eff!$E$3:$E$138, MATCH($A24&amp;", "&amp;$B24,Eff!$B$3:$B$138, 0), 0)</f>
        <v>52.6</v>
      </c>
      <c r="H24" s="31">
        <f>INDEX(FEI!$D$1:$D$139, MATCH($A24,FEI!$B$1:$B$139, 0), 0)</f>
        <v>0.54</v>
      </c>
      <c r="I24" s="31">
        <f>INDEX(FEI!$E$1:$E$139, MATCH($A24,FEI!$B$1:$B$139, 0), 0)</f>
        <v>0.85</v>
      </c>
      <c r="J24" s="31">
        <f>INDEX(FEI!$G$1:$G$139, MATCH($A24,FEI!$B$1:$B$139, 0), 0)</f>
        <v>0.22</v>
      </c>
      <c r="K24" s="71">
        <f>INDEX('Billingsley 130'!$O$2:$O$131, MATCH($A24,'Billingsley 130'!$D$2:$D$131, 0), 0)</f>
        <v>258.50299999999999</v>
      </c>
      <c r="L24" s="81">
        <f>((($E24 - MIN($E$4:$E$133)) / (MAX($E$4:$E$133) - MIN($E$4:$E$133))) + (($I24 - MIN($I$4:$I$133)) / (MAX($I$4:$I$133) - MIN($I$4:$I$133)))) / 2</f>
        <v>0.62512534488385207</v>
      </c>
      <c r="M24" s="73">
        <f>((($F24 - MIN($F$4:$F$133)) / (MAX($F$4:$F$133) - MIN($F$4:$F$133))) + (($J24 - MIN($J$4:$J$133)) / (MAX($J$4:$J$133) - MIN($J$4:$J$133)))) / 2</f>
        <v>0.65715331137943656</v>
      </c>
      <c r="N24" s="73">
        <f>($G24 - MIN($G$4:$G$133)) / (MAX($G$4:$G$133) - MIN($G$4:$G$133))</f>
        <v>0.4893617021276595</v>
      </c>
      <c r="O24" s="73">
        <f>($K24 - MIN($K$4:$K$133)) / (MAX($K$4:$K$133) - MIN($K$4:$K$133))</f>
        <v>0.66003770697421249</v>
      </c>
      <c r="P24" s="84">
        <f>(($C24 - MIN($C$4:$C$133)) / (MAX($C$4:$C$133) - MIN($C$4:$C$133)) + ($D24 - MIN($D$4:$D$133)) / (MAX($D$4:$D$133) - MIN($D$4:$D$133)) + ($H24 - MIN($H$4:$H$133)) / (MAX($H$4:$H$133) - MIN($H$4:$H$133))) / 3</f>
        <v>0.65570038368743333</v>
      </c>
      <c r="Q24" s="81">
        <f xml:space="preserve"> ($L24 * (INDEX(PlaysPerGame!$BK$3:$BK$132, MATCH("S Methodist",PlaysPerGame!$BC$3:$BC$132, 0), 0) * 0.8))+ ($M24 * (INDEX(PlaysPerGame!$BL$3:$BL$132, MATCH("S Methodist",PlaysPerGame!$BC$3:$BC$132, 0), 0) * 0.8)) + ($N24 * (INDEX(PlaysPerGame!$BM$3:$BM$132, MATCH("S Methodist",PlaysPerGame!$BC$3:$BC$132, 0), 0) * 0.8)) + ($O24 * 0.1) + ($P24 * 0.1)</f>
        <v>0.63528883225826605</v>
      </c>
      <c r="R24" s="9">
        <f t="shared" si="0"/>
        <v>21</v>
      </c>
      <c r="S24" s="112" t="s">
        <v>344</v>
      </c>
      <c r="U24" s="15" t="s">
        <v>856</v>
      </c>
      <c r="V24" s="16">
        <v>0.8</v>
      </c>
    </row>
    <row r="25" spans="1:22" x14ac:dyDescent="0.2">
      <c r="A25" s="68" t="s">
        <v>111</v>
      </c>
      <c r="B25" s="9" t="s">
        <v>113</v>
      </c>
      <c r="C25" s="72">
        <f>INDEX(FPI!$H$3:$H$138, MATCH($A25&amp;", "&amp;$B25,FPI!$B$3:$B$138, 0), 0)</f>
        <v>8</v>
      </c>
      <c r="D25" s="73">
        <f>INDEX(Eff!$F$3:$F$138, MATCH($A25&amp;", "&amp;$B25,Eff!$B$3:$B$138, 0), 0)</f>
        <v>69.599999999999994</v>
      </c>
      <c r="E25" s="73">
        <f>INDEX(Eff!$C$3:$C$138, MATCH($A25&amp;", "&amp;$B25,Eff!$B$3:$B$138, 0), 0)</f>
        <v>49.2</v>
      </c>
      <c r="F25" s="73">
        <f>INDEX(Eff!$D$3:$D$138, MATCH($A25&amp;", "&amp;$B25,Eff!$B$3:$B$138, 0), 0)</f>
        <v>80.3</v>
      </c>
      <c r="G25" s="73">
        <f>INDEX(Eff!$E$3:$E$138, MATCH($A25&amp;", "&amp;$B25,Eff!$B$3:$B$138, 0), 0)</f>
        <v>50.3</v>
      </c>
      <c r="H25" s="31">
        <f>INDEX(FEI!$D$1:$D$139, MATCH($A25,FEI!$B$1:$B$139, 0), 0)</f>
        <v>0.46</v>
      </c>
      <c r="I25" s="31">
        <f>INDEX(FEI!$E$1:$E$139, MATCH($A25,FEI!$B$1:$B$139, 0), 0)</f>
        <v>0.38</v>
      </c>
      <c r="J25" s="31">
        <f>INDEX(FEI!$G$1:$G$139, MATCH($A25,FEI!$B$1:$B$139, 0), 0)</f>
        <v>0.62</v>
      </c>
      <c r="K25" s="71">
        <f>INDEX('Billingsley 130'!$O$2:$O$131, MATCH($A25,'Billingsley 130'!$D$2:$D$131, 0), 0)</f>
        <v>271.33600000000001</v>
      </c>
      <c r="L25" s="81">
        <f>((($E25 - MIN($E$4:$E$133)) / (MAX($E$4:$E$133) - MIN($E$4:$E$133))) + (($I25 - MIN($I$4:$I$133)) / (MAX($I$4:$I$133) - MIN($I$4:$I$133)))) / 2</f>
        <v>0.45348888954816502</v>
      </c>
      <c r="M25" s="73">
        <f>((($F25 - MIN($F$4:$F$133)) / (MAX($F$4:$F$133) - MIN($F$4:$F$133))) + (($J25 - MIN($J$4:$J$133)) / (MAX($J$4:$J$133) - MIN($J$4:$J$133)))) / 2</f>
        <v>0.80311261604867068</v>
      </c>
      <c r="N25" s="73">
        <f>($G25 - MIN($G$4:$G$133)) / (MAX($G$4:$G$133) - MIN($G$4:$G$133))</f>
        <v>0.45877659574468083</v>
      </c>
      <c r="O25" s="73">
        <f>($K25 - MIN($K$4:$K$133)) / (MAX($K$4:$K$133) - MIN($K$4:$K$133))</f>
        <v>0.76127067770003254</v>
      </c>
      <c r="P25" s="84">
        <f>(($C25 - MIN($C$4:$C$133)) / (MAX($C$4:$C$133) - MIN($C$4:$C$133)) + ($D25 - MIN($D$4:$D$133)) / (MAX($D$4:$D$133) - MIN($D$4:$D$133)) + ($H25 - MIN($H$4:$H$133)) / (MAX($H$4:$H$133) - MIN($H$4:$H$133))) / 3</f>
        <v>0.65708942687805105</v>
      </c>
      <c r="Q25" s="81">
        <f xml:space="preserve"> ($L25 * (INDEX(PlaysPerGame!$BK$3:$BK$132, MATCH($A25,PlaysPerGame!$BC$3:$BC$132, 0), 0) * 0.8))+ ($M25 * (INDEX(PlaysPerGame!$BL$3:$BL$132, MATCH($A25,PlaysPerGame!$BC$3:$BC$132, 0), 0) * 0.8)) + ($N25 * (INDEX(PlaysPerGame!$BM$3:$BM$132, MATCH($A25,PlaysPerGame!$BC$3:$BC$132, 0), 0) * 0.8)) + ($O25 * 0.1) + ($P25 * 0.1)</f>
        <v>0.62930097638880611</v>
      </c>
      <c r="R25" s="9">
        <f t="shared" si="0"/>
        <v>22</v>
      </c>
      <c r="S25" s="112" t="s">
        <v>111</v>
      </c>
      <c r="U25" s="8" t="s">
        <v>855</v>
      </c>
      <c r="V25" s="9">
        <v>0.1</v>
      </c>
    </row>
    <row r="26" spans="1:22" ht="17" thickBot="1" x14ac:dyDescent="0.25">
      <c r="A26" s="68" t="s">
        <v>231</v>
      </c>
      <c r="B26" s="9" t="s">
        <v>113</v>
      </c>
      <c r="C26" s="72">
        <f>INDEX(FPI!$H$3:$H$138, MATCH($A26&amp;", "&amp;$B26,FPI!$B$3:$B$138, 0), 0)</f>
        <v>5.2</v>
      </c>
      <c r="D26" s="73">
        <f>INDEX(Eff!$F$3:$F$138, MATCH($A26&amp;", "&amp;$B26,Eff!$B$3:$B$138, 0), 0)</f>
        <v>72.599999999999994</v>
      </c>
      <c r="E26" s="73">
        <f>INDEX(Eff!$C$3:$C$138, MATCH($A26&amp;", "&amp;$B26,Eff!$B$3:$B$138, 0), 0)</f>
        <v>65.900000000000006</v>
      </c>
      <c r="F26" s="73">
        <f>INDEX(Eff!$D$3:$D$138, MATCH($A26&amp;", "&amp;$B26,Eff!$B$3:$B$138, 0), 0)</f>
        <v>57.8</v>
      </c>
      <c r="G26" s="73">
        <f>INDEX(Eff!$E$3:$E$138, MATCH($A26&amp;", "&amp;$B26,Eff!$B$3:$B$138, 0), 0)</f>
        <v>87.3</v>
      </c>
      <c r="H26" s="31">
        <f>INDEX(FEI!$D$1:$D$139, MATCH($A26,FEI!$B$1:$B$139, 0), 0)</f>
        <v>0.38</v>
      </c>
      <c r="I26" s="31">
        <f>INDEX(FEI!$E$1:$E$139, MATCH($A26,FEI!$B$1:$B$139, 0), 0)</f>
        <v>0.44</v>
      </c>
      <c r="J26" s="31">
        <f>INDEX(FEI!$G$1:$G$139, MATCH($A26,FEI!$B$1:$B$139, 0), 0)</f>
        <v>0.4</v>
      </c>
      <c r="K26" s="71">
        <f>INDEX('Billingsley 130'!$O$2:$O$131, MATCH($A26,'Billingsley 130'!$D$2:$D$131, 0), 0)</f>
        <v>250.37899999999999</v>
      </c>
      <c r="L26" s="81">
        <f>((($E26 - MIN($E$4:$E$133)) / (MAX($E$4:$E$133) - MIN($E$4:$E$133))) + (($I26 - MIN($I$4:$I$133)) / (MAX($I$4:$I$133) - MIN($I$4:$I$133)))) / 2</f>
        <v>0.55325451686593285</v>
      </c>
      <c r="M26" s="73">
        <f>((($F26 - MIN($F$4:$F$133)) / (MAX($F$4:$F$133) - MIN($F$4:$F$133))) + (($J26 - MIN($J$4:$J$133)) / (MAX($J$4:$J$133) - MIN($J$4:$J$133)))) / 2</f>
        <v>0.64854850012713416</v>
      </c>
      <c r="N26" s="73">
        <f>($G26 - MIN($G$4:$G$133)) / (MAX($G$4:$G$133) - MIN($G$4:$G$133))</f>
        <v>0.95079787234042545</v>
      </c>
      <c r="O26" s="73">
        <f>($K26 - MIN($K$4:$K$133)) / (MAX($K$4:$K$133) - MIN($K$4:$K$133))</f>
        <v>0.59595162778956667</v>
      </c>
      <c r="P26" s="84">
        <f>(($C26 - MIN($C$4:$C$133)) / (MAX($C$4:$C$133) - MIN($C$4:$C$133)) + ($D26 - MIN($D$4:$D$133)) / (MAX($D$4:$D$133) - MIN($D$4:$D$133)) + ($H26 - MIN($H$4:$H$133)) / (MAX($H$4:$H$133) - MIN($H$4:$H$133))) / 3</f>
        <v>0.64487039174931304</v>
      </c>
      <c r="Q26" s="81">
        <f xml:space="preserve"> ($L26 * (INDEX(PlaysPerGame!$BK$3:$BK$132, MATCH($A26,PlaysPerGame!$BC$3:$BC$132, 0), 0) * 0.8))+ ($M26 * (INDEX(PlaysPerGame!$BL$3:$BL$132, MATCH($A26,PlaysPerGame!$BC$3:$BC$132, 0), 0) * 0.8)) + ($N26 * (INDEX(PlaysPerGame!$BM$3:$BM$132, MATCH($A26,PlaysPerGame!$BC$3:$BC$132, 0), 0) * 0.8)) + ($O26 * 0.1) + ($P26 * 0.1)</f>
        <v>0.62842371602079405</v>
      </c>
      <c r="R26" s="9">
        <f t="shared" si="0"/>
        <v>23</v>
      </c>
      <c r="S26" s="112" t="s">
        <v>231</v>
      </c>
      <c r="U26" s="10" t="s">
        <v>857</v>
      </c>
      <c r="V26" s="12">
        <v>0.1</v>
      </c>
    </row>
    <row r="27" spans="1:22" x14ac:dyDescent="0.2">
      <c r="A27" s="68" t="s">
        <v>185</v>
      </c>
      <c r="B27" s="9" t="s">
        <v>75</v>
      </c>
      <c r="C27" s="72">
        <f>INDEX(FPI!$H$3:$H$138, MATCH($A27&amp;", "&amp;$B27,FPI!$B$3:$B$138, 0), 0)</f>
        <v>13</v>
      </c>
      <c r="D27" s="73">
        <f>INDEX(Eff!$F$3:$F$138, MATCH($A27&amp;", "&amp;$B27,Eff!$B$3:$B$138, 0), 0)</f>
        <v>65.7</v>
      </c>
      <c r="E27" s="73">
        <f>INDEX(Eff!$C$3:$C$138, MATCH($A27&amp;", "&amp;$B27,Eff!$B$3:$B$138, 0), 0)</f>
        <v>62.6</v>
      </c>
      <c r="F27" s="73">
        <f>INDEX(Eff!$D$3:$D$138, MATCH($A27&amp;", "&amp;$B27,Eff!$B$3:$B$138, 0), 0)</f>
        <v>69.099999999999994</v>
      </c>
      <c r="G27" s="73">
        <f>INDEX(Eff!$E$3:$E$138, MATCH($A27&amp;", "&amp;$B27,Eff!$B$3:$B$138, 0), 0)</f>
        <v>30.2</v>
      </c>
      <c r="H27" s="31">
        <f>INDEX(FEI!$D$1:$D$139, MATCH($A27,FEI!$B$1:$B$139, 0), 0)</f>
        <v>0.59</v>
      </c>
      <c r="I27" s="31">
        <f>INDEX(FEI!$E$1:$E$139, MATCH($A27,FEI!$B$1:$B$139, 0), 0)</f>
        <v>0.98</v>
      </c>
      <c r="J27" s="31">
        <f>INDEX(FEI!$G$1:$G$139, MATCH($A27,FEI!$B$1:$B$139, 0), 0)</f>
        <v>0.28999999999999998</v>
      </c>
      <c r="K27" s="71">
        <f>INDEX('Billingsley 130'!$O$2:$O$131, MATCH($A27,'Billingsley 130'!$D$2:$D$131, 0), 0)</f>
        <v>254.369</v>
      </c>
      <c r="L27" s="81">
        <f>((($E27 - MIN($E$4:$E$133)) / (MAX($E$4:$E$133) - MIN($E$4:$E$133))) + (($I27 - MIN($I$4:$I$133)) / (MAX($I$4:$I$133) - MIN($I$4:$I$133)))) / 2</f>
        <v>0.60811552496514076</v>
      </c>
      <c r="M27" s="73">
        <f>((($F27 - MIN($F$4:$F$133)) / (MAX($F$4:$F$133) - MIN($F$4:$F$133))) + (($J27 - MIN($J$4:$J$133)) / (MAX($J$4:$J$133) - MIN($J$4:$J$133)))) / 2</f>
        <v>0.6950315354704274</v>
      </c>
      <c r="N27" s="73">
        <f>($G27 - MIN($G$4:$G$133)) / (MAX($G$4:$G$133) - MIN($G$4:$G$133))</f>
        <v>0.19148936170212763</v>
      </c>
      <c r="O27" s="73">
        <f>($K27 - MIN($K$4:$K$133)) / (MAX($K$4:$K$133) - MIN($K$4:$K$133))</f>
        <v>0.62742669622220304</v>
      </c>
      <c r="P27" s="84">
        <f>(($C27 - MIN($C$4:$C$133)) / (MAX($C$4:$C$133) - MIN($C$4:$C$133)) + ($D27 - MIN($D$4:$D$133)) / (MAX($D$4:$D$133) - MIN($D$4:$D$133)) + ($H27 - MIN($H$4:$H$133)) / (MAX($H$4:$H$133) - MIN($H$4:$H$133))) / 3</f>
        <v>0.68278766657645684</v>
      </c>
      <c r="Q27" s="81">
        <f xml:space="preserve"> ($L27 * (INDEX(PlaysPerGame!$BK$3:$BK$132, MATCH($A27,PlaysPerGame!$BC$3:$BC$132, 0), 0) * 0.8))+ ($M27 * (INDEX(PlaysPerGame!$BL$3:$BL$132, MATCH($A27,PlaysPerGame!$BC$3:$BC$132, 0), 0) * 0.8)) + ($N27 * (INDEX(PlaysPerGame!$BM$3:$BM$132, MATCH($A27,PlaysPerGame!$BC$3:$BC$132, 0), 0) * 0.8)) + ($O27 * 0.1) + ($P27 * 0.1)</f>
        <v>0.62613525824319871</v>
      </c>
      <c r="R27" s="9">
        <f t="shared" si="0"/>
        <v>24</v>
      </c>
      <c r="S27" s="112" t="s">
        <v>185</v>
      </c>
    </row>
    <row r="28" spans="1:22" ht="16" customHeight="1" x14ac:dyDescent="0.2">
      <c r="A28" s="68" t="s">
        <v>307</v>
      </c>
      <c r="B28" s="9" t="s">
        <v>75</v>
      </c>
      <c r="C28" s="72">
        <f>INDEX(FPI!$H$3:$H$138, MATCH($A28&amp;", "&amp;$B28,FPI!$B$3:$B$138, 0), 0)</f>
        <v>10.199999999999999</v>
      </c>
      <c r="D28" s="73">
        <f>INDEX(Eff!$F$3:$F$138, MATCH($A28&amp;", "&amp;$B28,Eff!$B$3:$B$138, 0), 0)</f>
        <v>74.3</v>
      </c>
      <c r="E28" s="73">
        <f>INDEX(Eff!$C$3:$C$138, MATCH($A28&amp;", "&amp;$B28,Eff!$B$3:$B$138, 0), 0)</f>
        <v>67.900000000000006</v>
      </c>
      <c r="F28" s="73">
        <f>INDEX(Eff!$D$3:$D$138, MATCH($A28&amp;", "&amp;$B28,Eff!$B$3:$B$138, 0), 0)</f>
        <v>70.099999999999994</v>
      </c>
      <c r="G28" s="73">
        <f>INDEX(Eff!$E$3:$E$138, MATCH($A28&amp;", "&amp;$B28,Eff!$B$3:$B$138, 0), 0)</f>
        <v>58</v>
      </c>
      <c r="H28" s="31">
        <f>INDEX(FEI!$D$1:$D$139, MATCH($A28,FEI!$B$1:$B$139, 0), 0)</f>
        <v>0.4</v>
      </c>
      <c r="I28" s="31">
        <f>INDEX(FEI!$E$1:$E$139, MATCH($A28,FEI!$B$1:$B$139, 0), 0)</f>
        <v>0.69</v>
      </c>
      <c r="J28" s="31">
        <f>INDEX(FEI!$G$1:$G$139, MATCH($A28,FEI!$B$1:$B$139, 0), 0)</f>
        <v>0.06</v>
      </c>
      <c r="K28" s="71">
        <f>INDEX('Billingsley 130'!$O$2:$O$131, MATCH($A28,'Billingsley 130'!$D$2:$D$131, 0), 0)</f>
        <v>244.77799999999999</v>
      </c>
      <c r="L28" s="81">
        <f>((($E28 - MIN($E$4:$E$133)) / (MAX($E$4:$E$133) - MIN($E$4:$E$133))) + (($I28 - MIN($I$4:$I$133)) / (MAX($I$4:$I$133) - MIN($I$4:$I$133)))) / 2</f>
        <v>0.59801524905805914</v>
      </c>
      <c r="M28" s="73">
        <f>((($F28 - MIN($F$4:$F$133)) / (MAX($F$4:$F$133) - MIN($F$4:$F$133))) + (($J28 - MIN($J$4:$J$133)) / (MAX($J$4:$J$133) - MIN($J$4:$J$133)))) / 2</f>
        <v>0.66803413396838396</v>
      </c>
      <c r="N28" s="73">
        <f>($G28 - MIN($G$4:$G$133)) / (MAX($G$4:$G$133) - MIN($G$4:$G$133))</f>
        <v>0.56117021276595747</v>
      </c>
      <c r="O28" s="73">
        <f>($K28 - MIN($K$4:$K$133)) / (MAX($K$4:$K$133) - MIN($K$4:$K$133))</f>
        <v>0.55176820465894116</v>
      </c>
      <c r="P28" s="84">
        <f>(($C28 - MIN($C$4:$C$133)) / (MAX($C$4:$C$133) - MIN($C$4:$C$133)) + ($D28 - MIN($D$4:$D$133)) / (MAX($D$4:$D$133) - MIN($D$4:$D$133)) + ($H28 - MIN($H$4:$H$133)) / (MAX($H$4:$H$133) - MIN($H$4:$H$133))) / 3</f>
        <v>0.67942764031627279</v>
      </c>
      <c r="Q28" s="81">
        <f xml:space="preserve"> ($L28 * (INDEX(PlaysPerGame!$BK$3:$BK$132, MATCH("Oklahoma St",PlaysPerGame!$BC$3:$BC$132, 0), 0) * 0.8))+ ($M28 * (INDEX(PlaysPerGame!$BL$3:$BL$132, MATCH("Oklahoma St",PlaysPerGame!$BC$3:$BC$132, 0), 0) * 0.8)) + ($N28 * (INDEX(PlaysPerGame!$BM$3:$BM$132, MATCH("Oklahoma St",PlaysPerGame!$BC$3:$BC$132, 0), 0) * 0.8)) + ($O28 * 0.1) + ($P28 * 0.1)</f>
        <v>0.62433844568474095</v>
      </c>
      <c r="R28" s="9">
        <f t="shared" si="0"/>
        <v>25</v>
      </c>
      <c r="S28" s="112" t="s">
        <v>307</v>
      </c>
      <c r="U28" s="20" t="s">
        <v>861</v>
      </c>
      <c r="V28" s="20"/>
    </row>
    <row r="29" spans="1:22" x14ac:dyDescent="0.2">
      <c r="A29" s="68" t="s">
        <v>77</v>
      </c>
      <c r="B29" s="9" t="s">
        <v>762</v>
      </c>
      <c r="C29" s="72">
        <f>INDEX(FPI!$H$3:$H$138, MATCH($A29&amp;", "&amp;$B29,FPI!$B$3:$B$138, 0), 0)</f>
        <v>7.2</v>
      </c>
      <c r="D29" s="73">
        <f>INDEX(Eff!$F$3:$F$138, MATCH($A29&amp;", "&amp;$B29,Eff!$B$3:$B$138, 0), 0)</f>
        <v>66.8</v>
      </c>
      <c r="E29" s="73">
        <f>INDEX(Eff!$C$3:$C$138, MATCH($A29&amp;", "&amp;$B29,Eff!$B$3:$B$138, 0), 0)</f>
        <v>53.2</v>
      </c>
      <c r="F29" s="73">
        <f>INDEX(Eff!$D$3:$D$138, MATCH($A29&amp;", "&amp;$B29,Eff!$B$3:$B$138, 0), 0)</f>
        <v>77.599999999999994</v>
      </c>
      <c r="G29" s="73">
        <f>INDEX(Eff!$E$3:$E$138, MATCH($A29&amp;", "&amp;$B29,Eff!$B$3:$B$138, 0), 0)</f>
        <v>43.9</v>
      </c>
      <c r="H29" s="31">
        <f>INDEX(FEI!$D$1:$D$139, MATCH($A29,FEI!$B$1:$B$139, 0), 0)</f>
        <v>0.38</v>
      </c>
      <c r="I29" s="31">
        <f>INDEX(FEI!$E$1:$E$139, MATCH($A29,FEI!$B$1:$B$139, 0), 0)</f>
        <v>0.13</v>
      </c>
      <c r="J29" s="31">
        <f>INDEX(FEI!$G$1:$G$139, MATCH($A29,FEI!$B$1:$B$139, 0), 0)</f>
        <v>0.56999999999999995</v>
      </c>
      <c r="K29" s="71">
        <f>INDEX('Billingsley 130'!$O$2:$O$131, MATCH($A29,'Billingsley 130'!$D$2:$D$131, 0), 0)</f>
        <v>278.15199999999999</v>
      </c>
      <c r="L29" s="81">
        <f>((($E29 - MIN($E$4:$E$133)) / (MAX($E$4:$E$133) - MIN($E$4:$E$133))) + (($I29 - MIN($I$4:$I$133)) / (MAX($I$4:$I$133) - MIN($I$4:$I$133)))) / 2</f>
        <v>0.44165900258106627</v>
      </c>
      <c r="M29" s="73">
        <f>((($F29 - MIN($F$4:$F$133)) / (MAX($F$4:$F$133) - MIN($F$4:$F$133))) + (($J29 - MIN($J$4:$J$133)) / (MAX($J$4:$J$133) - MIN($J$4:$J$133)))) / 2</f>
        <v>0.78123158880475296</v>
      </c>
      <c r="N29" s="73">
        <f>($G29 - MIN($G$4:$G$133)) / (MAX($G$4:$G$133) - MIN($G$4:$G$133))</f>
        <v>0.37367021276595741</v>
      </c>
      <c r="O29" s="73">
        <f>($K29 - MIN($K$4:$K$133)) / (MAX($K$4:$K$133) - MIN($K$4:$K$133))</f>
        <v>0.81503861415037038</v>
      </c>
      <c r="P29" s="84">
        <f>(($C29 - MIN($C$4:$C$133)) / (MAX($C$4:$C$133) - MIN($C$4:$C$133)) + ($D29 - MIN($D$4:$D$133)) / (MAX($D$4:$D$133) - MIN($D$4:$D$133)) + ($H29 - MIN($H$4:$H$133)) / (MAX($H$4:$H$133) - MIN($H$4:$H$133))) / 3</f>
        <v>0.63494058405049703</v>
      </c>
      <c r="Q29" s="81">
        <f xml:space="preserve"> ($L29 * (INDEX(PlaysPerGame!$BK$3:$BK$132, MATCH($A29,PlaysPerGame!$BC$3:$BC$132, 0), 0) * 0.8))+ ($M29 * (INDEX(PlaysPerGame!$BL$3:$BL$132, MATCH($A29,PlaysPerGame!$BC$3:$BC$132, 0), 0) * 0.8)) + ($N29 * (INDEX(PlaysPerGame!$BM$3:$BM$132, MATCH($A29,PlaysPerGame!$BC$3:$BC$132, 0), 0) * 0.8)) + ($O29 * 0.1) + ($P29 * 0.1)</f>
        <v>0.60590844423691226</v>
      </c>
      <c r="R29" s="9">
        <f t="shared" si="0"/>
        <v>26</v>
      </c>
      <c r="S29" s="112" t="s">
        <v>77</v>
      </c>
      <c r="U29" s="20"/>
      <c r="V29" s="20"/>
    </row>
    <row r="30" spans="1:22" x14ac:dyDescent="0.2">
      <c r="A30" s="68" t="s">
        <v>420</v>
      </c>
      <c r="B30" s="9" t="s">
        <v>45</v>
      </c>
      <c r="C30" s="72">
        <f>INDEX(FPI!$H$3:$H$138, MATCH($A30&amp;", "&amp;$B30,FPI!$B$3:$B$138, 0), 0)</f>
        <v>10.8</v>
      </c>
      <c r="D30" s="73">
        <f>INDEX(Eff!$F$3:$F$138, MATCH($A30&amp;", "&amp;$B30,Eff!$B$3:$B$138, 0), 0)</f>
        <v>67.7</v>
      </c>
      <c r="E30" s="73">
        <f>INDEX(Eff!$C$3:$C$138, MATCH($A30&amp;", "&amp;$B30,Eff!$B$3:$B$138, 0), 0)</f>
        <v>71</v>
      </c>
      <c r="F30" s="73">
        <f>INDEX(Eff!$D$3:$D$138, MATCH($A30&amp;", "&amp;$B30,Eff!$B$3:$B$138, 0), 0)</f>
        <v>58.7</v>
      </c>
      <c r="G30" s="73">
        <f>INDEX(Eff!$E$3:$E$138, MATCH($A30&amp;", "&amp;$B30,Eff!$B$3:$B$138, 0), 0)</f>
        <v>48.1</v>
      </c>
      <c r="H30" s="31">
        <f>INDEX(FEI!$D$1:$D$139, MATCH($A30,FEI!$B$1:$B$139, 0), 0)</f>
        <v>0.27</v>
      </c>
      <c r="I30" s="31">
        <f>INDEX(FEI!$E$1:$E$139, MATCH($A30,FEI!$B$1:$B$139, 0), 0)</f>
        <v>0.42</v>
      </c>
      <c r="J30" s="31">
        <f>INDEX(FEI!$G$1:$G$139, MATCH($A30,FEI!$B$1:$B$139, 0), 0)</f>
        <v>0.18</v>
      </c>
      <c r="K30" s="71">
        <f>INDEX('Billingsley 130'!$O$2:$O$131, MATCH("Southern Cal",'Billingsley 130'!$D$2:$D$131, 0), 0)</f>
        <v>260.55599999999998</v>
      </c>
      <c r="L30" s="81">
        <f>((($E30 - MIN($E$4:$E$133)) / (MAX($E$4:$E$133) - MIN($E$4:$E$133))) + (($I30 - MIN($I$4:$I$133)) / (MAX($I$4:$I$133) - MIN($I$4:$I$133)))) / 2</f>
        <v>0.57854303260450346</v>
      </c>
      <c r="M30" s="73">
        <f>((($F30 - MIN($F$4:$F$133)) / (MAX($F$4:$F$133) - MIN($F$4:$F$133))) + (($J30 - MIN($J$4:$J$133)) / (MAX($J$4:$J$133) - MIN($J$4:$J$133)))) / 2</f>
        <v>0.6224146805832047</v>
      </c>
      <c r="N30" s="73">
        <f>($G30 - MIN($G$4:$G$133)) / (MAX($G$4:$G$133) - MIN($G$4:$G$133))</f>
        <v>0.42952127659574463</v>
      </c>
      <c r="O30" s="73">
        <f>($K30 - MIN($K$4:$K$133)) / (MAX($K$4:$K$133) - MIN($K$4:$K$133))</f>
        <v>0.67623277351361155</v>
      </c>
      <c r="P30" s="84">
        <f>(($C30 - MIN($C$4:$C$133)) / (MAX($C$4:$C$133) - MIN($C$4:$C$133)) + ($D30 - MIN($D$4:$D$133)) / (MAX($D$4:$D$133) - MIN($D$4:$D$133)) + ($H30 - MIN($H$4:$H$133)) / (MAX($H$4:$H$133) - MIN($H$4:$H$133))) / 3</f>
        <v>0.64625891816143</v>
      </c>
      <c r="Q30" s="81">
        <f xml:space="preserve"> ($L30 * (INDEX(PlaysPerGame!$BK$3:$BK$132, MATCH($A30,PlaysPerGame!$BC$3:$BC$132, 0), 0) * 0.8))+ ($M30 * (INDEX(PlaysPerGame!$BL$3:$BL$132, MATCH($A30,PlaysPerGame!$BC$3:$BC$132, 0), 0) * 0.8)) + ($N30 * (INDEX(PlaysPerGame!$BM$3:$BM$132, MATCH($A30,PlaysPerGame!$BC$3:$BC$132, 0), 0) * 0.8)) + ($O30 * 0.1) + ($P30 * 0.1)</f>
        <v>0.60295830124707206</v>
      </c>
      <c r="R30" s="9">
        <f t="shared" si="0"/>
        <v>27</v>
      </c>
      <c r="S30" s="112" t="s">
        <v>420</v>
      </c>
      <c r="U30" s="20"/>
      <c r="V30" s="20"/>
    </row>
    <row r="31" spans="1:22" x14ac:dyDescent="0.2">
      <c r="A31" s="68" t="s">
        <v>391</v>
      </c>
      <c r="B31" s="9" t="s">
        <v>113</v>
      </c>
      <c r="C31" s="72">
        <f>INDEX(FPI!$H$3:$H$138, MATCH($A31&amp;", "&amp;$B31,FPI!$B$3:$B$138, 0), 0)</f>
        <v>4.0999999999999996</v>
      </c>
      <c r="D31" s="73">
        <f>INDEX(Eff!$F$3:$F$138, MATCH($A31&amp;", "&amp;$B31,Eff!$B$3:$B$138, 0), 0)</f>
        <v>72.3</v>
      </c>
      <c r="E31" s="73">
        <f>INDEX(Eff!$C$3:$C$138, MATCH($A31&amp;", "&amp;$B31,Eff!$B$3:$B$138, 0), 0)</f>
        <v>67.3</v>
      </c>
      <c r="F31" s="73">
        <f>INDEX(Eff!$D$3:$D$138, MATCH($A31&amp;", "&amp;$B31,Eff!$B$3:$B$138, 0), 0)</f>
        <v>63.8</v>
      </c>
      <c r="G31" s="73">
        <f>INDEX(Eff!$E$3:$E$138, MATCH($A31&amp;", "&amp;$B31,Eff!$B$3:$B$138, 0), 0)</f>
        <v>68.099999999999994</v>
      </c>
      <c r="H31" s="31">
        <f>INDEX(FEI!$D$1:$D$139, MATCH($A31,FEI!$B$1:$B$139, 0), 0)</f>
        <v>0.28000000000000003</v>
      </c>
      <c r="I31" s="31">
        <f>INDEX(FEI!$E$1:$E$139, MATCH($A31,FEI!$B$1:$B$139, 0), 0)</f>
        <v>0.43</v>
      </c>
      <c r="J31" s="31">
        <f>INDEX(FEI!$G$1:$G$139, MATCH($A31,FEI!$B$1:$B$139, 0), 0)</f>
        <v>-0.05</v>
      </c>
      <c r="K31" s="71">
        <f>INDEX('Billingsley 130'!$O$2:$O$131, MATCH($A31,'Billingsley 130'!$D$2:$D$131, 0), 0)</f>
        <v>250.54900000000001</v>
      </c>
      <c r="L31" s="81">
        <f>((($E31 - MIN($E$4:$E$133)) / (MAX($E$4:$E$133) - MIN($E$4:$E$133))) + (($I31 - MIN($I$4:$I$133)) / (MAX($I$4:$I$133) - MIN($I$4:$I$133)))) / 2</f>
        <v>0.55958702940042127</v>
      </c>
      <c r="M31" s="73">
        <f>((($F31 - MIN($F$4:$F$133)) / (MAX($F$4:$F$133) - MIN($F$4:$F$133))) + (($J31 - MIN($J$4:$J$133)) / (MAX($J$4:$J$133) - MIN($J$4:$J$133)))) / 2</f>
        <v>0.61792002331826335</v>
      </c>
      <c r="N31" s="73">
        <f>($G31 - MIN($G$4:$G$133)) / (MAX($G$4:$G$133) - MIN($G$4:$G$133))</f>
        <v>0.69547872340425521</v>
      </c>
      <c r="O31" s="73">
        <f>($K31 - MIN($K$4:$K$133)) / (MAX($K$4:$K$133) - MIN($K$4:$K$133))</f>
        <v>0.59729267080549364</v>
      </c>
      <c r="P31" s="84">
        <f>(($C31 - MIN($C$4:$C$133)) / (MAX($C$4:$C$133) - MIN($C$4:$C$133)) + ($D31 - MIN($D$4:$D$133)) / (MAX($D$4:$D$133) - MIN($D$4:$D$133)) + ($H31 - MIN($H$4:$H$133)) / (MAX($H$4:$H$133) - MIN($H$4:$H$133))) / 3</f>
        <v>0.62798901138408325</v>
      </c>
      <c r="Q31" s="81">
        <f xml:space="preserve"> ($L31 * (INDEX(PlaysPerGame!$BK$3:$BK$132, MATCH($A31,PlaysPerGame!$BC$3:$BC$132, 0), 0) * 0.8))+ ($M31 * (INDEX(PlaysPerGame!$BL$3:$BL$132, MATCH($A31,PlaysPerGame!$BC$3:$BC$132, 0), 0) * 0.8)) + ($N31 * (INDEX(PlaysPerGame!$BM$3:$BM$132, MATCH($A31,PlaysPerGame!$BC$3:$BC$132, 0), 0) * 0.8)) + ($O31 * 0.1) + ($P31 * 0.1)</f>
        <v>0.60057872726934081</v>
      </c>
      <c r="R31" s="9">
        <f t="shared" si="0"/>
        <v>28</v>
      </c>
      <c r="S31" s="112" t="s">
        <v>391</v>
      </c>
      <c r="U31" s="20"/>
      <c r="V31" s="20"/>
    </row>
    <row r="32" spans="1:22" x14ac:dyDescent="0.2">
      <c r="A32" s="68" t="s">
        <v>106</v>
      </c>
      <c r="B32" s="9" t="s">
        <v>176</v>
      </c>
      <c r="C32" s="72">
        <f>INDEX(FPI!$H$3:$H$138, MATCH($A32&amp;", "&amp;$B32,FPI!$B$3:$B$138, 0), 0)</f>
        <v>14.9</v>
      </c>
      <c r="D32" s="73">
        <f>INDEX(Eff!$F$3:$F$138, MATCH($A32&amp;", "&amp;$B32,Eff!$B$3:$B$138, 0), 0)</f>
        <v>60</v>
      </c>
      <c r="E32" s="73">
        <f>INDEX(Eff!$C$3:$C$138, MATCH($A32&amp;", "&amp;$B32,Eff!$B$3:$B$138, 0), 0)</f>
        <v>38.9</v>
      </c>
      <c r="F32" s="73">
        <f>INDEX(Eff!$D$3:$D$138, MATCH($A32&amp;", "&amp;$B32,Eff!$B$3:$B$138, 0), 0)</f>
        <v>75.5</v>
      </c>
      <c r="G32" s="73">
        <f>INDEX(Eff!$E$3:$E$138, MATCH($A32&amp;", "&amp;$B32,Eff!$B$3:$B$138, 0), 0)</f>
        <v>48</v>
      </c>
      <c r="H32" s="31">
        <f>INDEX(FEI!$D$1:$D$139, MATCH($A32,FEI!$B$1:$B$139, 0), 0)</f>
        <v>0.43</v>
      </c>
      <c r="I32" s="31">
        <f>INDEX(FEI!$E$1:$E$139, MATCH($A32,FEI!$B$1:$B$139, 0), 0)</f>
        <v>0.12</v>
      </c>
      <c r="J32" s="31">
        <f>INDEX(FEI!$G$1:$G$139, MATCH($A32,FEI!$B$1:$B$139, 0), 0)</f>
        <v>0.73</v>
      </c>
      <c r="K32" s="71">
        <f>INDEX('Billingsley 130'!$O$2:$O$131, MATCH($A32,'Billingsley 130'!$D$2:$D$131, 0), 0)</f>
        <v>280.30399999999997</v>
      </c>
      <c r="L32" s="81">
        <f>((($E32 - MIN($E$4:$E$133)) / (MAX($E$4:$E$133) - MIN($E$4:$E$133))) + (($I32 - MIN($I$4:$I$133)) / (MAX($I$4:$I$133) - MIN($I$4:$I$133)))) / 2</f>
        <v>0.36182247011006619</v>
      </c>
      <c r="M32" s="73">
        <f>((($F32 - MIN($F$4:$F$133)) / (MAX($F$4:$F$133) - MIN($F$4:$F$133))) + (($J32 - MIN($J$4:$J$133)) / (MAX($J$4:$J$133) - MIN($J$4:$J$133)))) / 2</f>
        <v>0.79230466303249059</v>
      </c>
      <c r="N32" s="73">
        <f>($G32 - MIN($G$4:$G$133)) / (MAX($G$4:$G$133) - MIN($G$4:$G$133))</f>
        <v>0.42819148936170215</v>
      </c>
      <c r="O32" s="73">
        <f>($K32 - MIN($K$4:$K$133)) / (MAX($K$4:$K$133) - MIN($K$4:$K$133))</f>
        <v>0.83201464103433842</v>
      </c>
      <c r="P32" s="84">
        <f>(($C32 - MIN($C$4:$C$133)) / (MAX($C$4:$C$133) - MIN($C$4:$C$133)) + ($D32 - MIN($D$4:$D$133)) / (MAX($D$4:$D$133) - MIN($D$4:$D$133)) + ($H32 - MIN($H$4:$H$133)) / (MAX($H$4:$H$133) - MIN($H$4:$H$133))) / 3</f>
        <v>0.65671324252812269</v>
      </c>
      <c r="Q32" s="81">
        <f xml:space="preserve"> ($L32 * (INDEX(PlaysPerGame!$BK$3:$BK$132, MATCH($A32,PlaysPerGame!$BC$3:$BC$132, 0), 0) * 0.8))+ ($M32 * (INDEX(PlaysPerGame!$BL$3:$BL$132, MATCH($A32,PlaysPerGame!$BC$3:$BC$132, 0), 0) * 0.8)) + ($N32 * (INDEX(PlaysPerGame!$BM$3:$BM$132, MATCH($A32,PlaysPerGame!$BC$3:$BC$132, 0), 0) * 0.8)) + ($O32 * 0.1) + ($P32 * 0.1)</f>
        <v>0.5993064143407637</v>
      </c>
      <c r="R32" s="9">
        <f t="shared" si="0"/>
        <v>29</v>
      </c>
      <c r="S32" s="112" t="s">
        <v>106</v>
      </c>
    </row>
    <row r="33" spans="1:22" x14ac:dyDescent="0.2">
      <c r="A33" s="68" t="s">
        <v>129</v>
      </c>
      <c r="B33" s="9" t="s">
        <v>87</v>
      </c>
      <c r="C33" s="72">
        <f>INDEX(FPI!$H$3:$H$138, MATCH($A33&amp;", "&amp;$B33,FPI!$B$3:$B$138, 0), 0)</f>
        <v>6.2</v>
      </c>
      <c r="D33" s="73">
        <f>INDEX(Eff!$F$3:$F$138, MATCH($A33&amp;", "&amp;$B33,Eff!$B$3:$B$138, 0), 0)</f>
        <v>68.599999999999994</v>
      </c>
      <c r="E33" s="73">
        <f>INDEX(Eff!$C$3:$C$138, MATCH($A33&amp;", "&amp;$B33,Eff!$B$3:$B$138, 0), 0)</f>
        <v>45.9</v>
      </c>
      <c r="F33" s="73">
        <f>INDEX(Eff!$D$3:$D$138, MATCH($A33&amp;", "&amp;$B33,Eff!$B$3:$B$138, 0), 0)</f>
        <v>78.900000000000006</v>
      </c>
      <c r="G33" s="73">
        <f>INDEX(Eff!$E$3:$E$138, MATCH($A33&amp;", "&amp;$B33,Eff!$B$3:$B$138, 0), 0)</f>
        <v>64.5</v>
      </c>
      <c r="H33" s="31">
        <f>INDEX(FEI!$D$1:$D$139, MATCH($A33,FEI!$B$1:$B$139, 0), 0)</f>
        <v>0.36</v>
      </c>
      <c r="I33" s="31">
        <f>INDEX(FEI!$E$1:$E$139, MATCH($A33,FEI!$B$1:$B$139, 0), 0)</f>
        <v>0.23</v>
      </c>
      <c r="J33" s="31">
        <f>INDEX(FEI!$G$1:$G$139, MATCH($A33,FEI!$B$1:$B$139, 0), 0)</f>
        <v>0.48</v>
      </c>
      <c r="K33" s="71">
        <f>INDEX('Billingsley 130'!$O$2:$O$131, MATCH($A33,'Billingsley 130'!$D$2:$D$131, 0), 0)</f>
        <v>243.93</v>
      </c>
      <c r="L33" s="81">
        <f>((($E33 - MIN($E$4:$E$133)) / (MAX($E$4:$E$133) - MIN($E$4:$E$133))) + (($I33 - MIN($I$4:$I$133)) / (MAX($I$4:$I$133) - MIN($I$4:$I$133)))) / 2</f>
        <v>0.41510665440412964</v>
      </c>
      <c r="M33" s="73">
        <f>((($F33 - MIN($F$4:$F$133)) / (MAX($F$4:$F$133) - MIN($F$4:$F$133))) + (($J33 - MIN($J$4:$J$133)) / (MAX($J$4:$J$133) - MIN($J$4:$J$133)))) / 2</f>
        <v>0.77565474086339603</v>
      </c>
      <c r="N33" s="73">
        <f>($G33 - MIN($G$4:$G$133)) / (MAX($G$4:$G$133) - MIN($G$4:$G$133))</f>
        <v>0.64760638297872342</v>
      </c>
      <c r="O33" s="73">
        <f>($K33 - MIN($K$4:$K$133)) / (MAX($K$4:$K$133) - MIN($K$4:$K$133))</f>
        <v>0.54507876655596499</v>
      </c>
      <c r="P33" s="84">
        <f>(($C33 - MIN($C$4:$C$133)) / (MAX($C$4:$C$133) - MIN($C$4:$C$133)) + ($D33 - MIN($D$4:$D$133)) / (MAX($D$4:$D$133) - MIN($D$4:$D$133)) + ($H33 - MIN($H$4:$H$133)) / (MAX($H$4:$H$133) - MIN($H$4:$H$133))) / 3</f>
        <v>0.63401291597680109</v>
      </c>
      <c r="Q33" s="81">
        <f xml:space="preserve"> ($L33 * (INDEX(PlaysPerGame!$BK$3:$BK$132, MATCH($A33,PlaysPerGame!$BC$3:$BC$132, 0), 0) * 0.8))+ ($M33 * (INDEX(PlaysPerGame!$BL$3:$BL$132, MATCH($A33,PlaysPerGame!$BC$3:$BC$132, 0), 0) * 0.8)) + ($N33 * (INDEX(PlaysPerGame!$BM$3:$BM$132, MATCH($A33,PlaysPerGame!$BC$3:$BC$132, 0), 0) * 0.8)) + ($O33 * 0.1) + ($P33 * 0.1)</f>
        <v>0.59869948505433535</v>
      </c>
      <c r="R33" s="9">
        <f t="shared" si="0"/>
        <v>30</v>
      </c>
      <c r="S33" s="112" t="s">
        <v>129</v>
      </c>
      <c r="U33" s="20" t="s">
        <v>862</v>
      </c>
      <c r="V33" s="20"/>
    </row>
    <row r="34" spans="1:22" x14ac:dyDescent="0.2">
      <c r="A34" s="68" t="s">
        <v>99</v>
      </c>
      <c r="B34" s="9" t="s">
        <v>45</v>
      </c>
      <c r="C34" s="72">
        <f>INDEX(FPI!$H$3:$H$138, MATCH("Cal"&amp;", "&amp;$B34,FPI!$B$3:$B$138, 0), 0)</f>
        <v>4.8</v>
      </c>
      <c r="D34" s="73">
        <f>INDEX(Eff!$F$3:$F$138, MATCH("Cal"&amp;", "&amp;$B34,Eff!$B$3:$B$138, 0), 0)</f>
        <v>68.599999999999994</v>
      </c>
      <c r="E34" s="73">
        <f>INDEX(Eff!$C$3:$C$138, MATCH("Cal"&amp;", "&amp;$B34,Eff!$B$3:$B$138, 0), 0)</f>
        <v>51.5</v>
      </c>
      <c r="F34" s="73">
        <f>INDEX(Eff!$D$3:$D$138, MATCH("Cal"&amp;", "&amp;$B34,Eff!$B$3:$B$138, 0), 0)</f>
        <v>76.7</v>
      </c>
      <c r="G34" s="73">
        <f>INDEX(Eff!$E$3:$E$138, MATCH("Cal"&amp;", "&amp;$B34,Eff!$B$3:$B$138, 0), 0)</f>
        <v>47.5</v>
      </c>
      <c r="H34" s="31">
        <f>INDEX(FEI!$D$1:$D$139, MATCH($A34,FEI!$B$1:$B$139, 0), 0)</f>
        <v>0.3</v>
      </c>
      <c r="I34" s="31">
        <f>INDEX(FEI!$E$1:$E$139, MATCH($A34,FEI!$B$1:$B$139, 0), 0)</f>
        <v>0.04</v>
      </c>
      <c r="J34" s="31">
        <f>INDEX(FEI!$G$1:$G$139, MATCH($A34,FEI!$B$1:$B$139, 0), 0)</f>
        <v>0.48</v>
      </c>
      <c r="K34" s="71">
        <f>INDEX('Billingsley 130'!$O$2:$O$131, MATCH($A34,'Billingsley 130'!$D$2:$D$131, 0), 0)</f>
        <v>251.68799999999999</v>
      </c>
      <c r="L34" s="81">
        <f>((($E34 - MIN($E$4:$E$133)) / (MAX($E$4:$E$133) - MIN($E$4:$E$133))) + (($I34 - MIN($I$4:$I$133)) / (MAX($I$4:$I$133) - MIN($I$4:$I$133)))) / 2</f>
        <v>0.42016643427181299</v>
      </c>
      <c r="M34" s="73">
        <f>((($F34 - MIN($F$4:$F$133)) / (MAX($F$4:$F$133) - MIN($F$4:$F$133))) + (($J34 - MIN($J$4:$J$133)) / (MAX($J$4:$J$133) - MIN($J$4:$J$133)))) / 2</f>
        <v>0.7635800976142193</v>
      </c>
      <c r="N34" s="73">
        <f>($G34 - MIN($G$4:$G$133)) / (MAX($G$4:$G$133) - MIN($G$4:$G$133))</f>
        <v>0.42154255319148931</v>
      </c>
      <c r="O34" s="73">
        <f>($K34 - MIN($K$4:$K$133)) / (MAX($K$4:$K$133) - MIN($K$4:$K$133))</f>
        <v>0.60627765901220343</v>
      </c>
      <c r="P34" s="84">
        <f>(($C34 - MIN($C$4:$C$133)) / (MAX($C$4:$C$133) - MIN($C$4:$C$133)) + ($D34 - MIN($D$4:$D$133)) / (MAX($D$4:$D$133) - MIN($D$4:$D$133)) + ($H34 - MIN($H$4:$H$133)) / (MAX($H$4:$H$133) - MIN($H$4:$H$133))) / 3</f>
        <v>0.6205938941478476</v>
      </c>
      <c r="Q34" s="81">
        <f xml:space="preserve"> ($L34 * (INDEX(PlaysPerGame!$BK$3:$BK$132, MATCH($A34,PlaysPerGame!$BC$3:$BC$132, 0), 0) * 0.8))+ ($M34 * (INDEX(PlaysPerGame!$BL$3:$BL$132, MATCH($A34,PlaysPerGame!$BC$3:$BC$132, 0), 0) * 0.8)) + ($N34 * (INDEX(PlaysPerGame!$BM$3:$BM$132, MATCH($A34,PlaysPerGame!$BC$3:$BC$132, 0), 0) * 0.8)) + ($O34 * 0.1) + ($P34 * 0.1)</f>
        <v>0.59267925994593595</v>
      </c>
      <c r="R34" s="9">
        <f t="shared" si="0"/>
        <v>31</v>
      </c>
      <c r="S34" s="112" t="s">
        <v>99</v>
      </c>
      <c r="U34" s="20"/>
      <c r="V34" s="20"/>
    </row>
    <row r="35" spans="1:22" x14ac:dyDescent="0.2">
      <c r="A35" s="68" t="s">
        <v>204</v>
      </c>
      <c r="B35" s="9" t="s">
        <v>87</v>
      </c>
      <c r="C35" s="72">
        <f>INDEX(FPI!$H$3:$H$138, MATCH($A35&amp;", "&amp;$B35,FPI!$B$3:$B$138, 0), 0)</f>
        <v>6.2</v>
      </c>
      <c r="D35" s="73">
        <f>INDEX(Eff!$F$3:$F$138, MATCH($A35&amp;", "&amp;$B35,Eff!$B$3:$B$138, 0), 0)</f>
        <v>69.2</v>
      </c>
      <c r="E35" s="73">
        <f>INDEX(Eff!$C$3:$C$138, MATCH($A35&amp;", "&amp;$B35,Eff!$B$3:$B$138, 0), 0)</f>
        <v>53</v>
      </c>
      <c r="F35" s="73">
        <f>INDEX(Eff!$D$3:$D$138, MATCH($A35&amp;", "&amp;$B35,Eff!$B$3:$B$138, 0), 0)</f>
        <v>69.599999999999994</v>
      </c>
      <c r="G35" s="73">
        <f>INDEX(Eff!$E$3:$E$138, MATCH($A35&amp;", "&amp;$B35,Eff!$B$3:$B$138, 0), 0)</f>
        <v>74.2</v>
      </c>
      <c r="H35" s="31">
        <f>INDEX(FEI!$D$1:$D$139, MATCH($A35,FEI!$B$1:$B$139, 0), 0)</f>
        <v>0.12</v>
      </c>
      <c r="I35" s="31">
        <f>INDEX(FEI!$E$1:$E$139, MATCH($A35,FEI!$B$1:$B$139, 0), 0)</f>
        <v>-0.02</v>
      </c>
      <c r="J35" s="31">
        <f>INDEX(FEI!$G$1:$G$139, MATCH($A35,FEI!$B$1:$B$139, 0), 0)</f>
        <v>0.3</v>
      </c>
      <c r="K35" s="71">
        <f>INDEX('Billingsley 130'!$O$2:$O$131, MATCH($A35,'Billingsley 130'!$D$2:$D$131, 0), 0)</f>
        <v>259.64600000000002</v>
      </c>
      <c r="L35" s="81">
        <f>((($E35 - MIN($E$4:$E$133)) / (MAX($E$4:$E$133) - MIN($E$4:$E$133))) + (($I35 - MIN($I$4:$I$133)) / (MAX($I$4:$I$133) - MIN($I$4:$I$133)))) / 2</f>
        <v>0.42029103746996171</v>
      </c>
      <c r="M35" s="73">
        <f>((($F35 - MIN($F$4:$F$133)) / (MAX($F$4:$F$133) - MIN($F$4:$F$133))) + (($J35 - MIN($J$4:$J$133)) / (MAX($J$4:$J$133) - MIN($J$4:$J$133)))) / 2</f>
        <v>0.69918820195104403</v>
      </c>
      <c r="N35" s="73">
        <f>($G35 - MIN($G$4:$G$133)) / (MAX($G$4:$G$133) - MIN($G$4:$G$133))</f>
        <v>0.77659574468085113</v>
      </c>
      <c r="O35" s="73">
        <f>($K35 - MIN($K$4:$K$133)) / (MAX($K$4:$K$133) - MIN($K$4:$K$133))</f>
        <v>0.66905424913423861</v>
      </c>
      <c r="P35" s="84">
        <f>(($C35 - MIN($C$4:$C$133)) / (MAX($C$4:$C$133) - MIN($C$4:$C$133)) + ($D35 - MIN($D$4:$D$133)) / (MAX($D$4:$D$133) - MIN($D$4:$D$133)) + ($H35 - MIN($H$4:$H$133)) / (MAX($H$4:$H$133) - MIN($H$4:$H$133))) / 3</f>
        <v>0.61218621868063894</v>
      </c>
      <c r="Q35" s="81">
        <f xml:space="preserve"> ($L35 * (INDEX(PlaysPerGame!$BK$3:$BK$132, MATCH($A35,PlaysPerGame!$BC$3:$BC$132, 0), 0) * 0.8))+ ($M35 * (INDEX(PlaysPerGame!$BL$3:$BL$132, MATCH($A35,PlaysPerGame!$BC$3:$BC$132, 0), 0) * 0.8)) + ($N35 * (INDEX(PlaysPerGame!$BM$3:$BM$132, MATCH($A35,PlaysPerGame!$BC$3:$BC$132, 0), 0) * 0.8)) + ($O35 * 0.1) + ($P35 * 0.1)</f>
        <v>0.59145003603911339</v>
      </c>
      <c r="R35" s="9">
        <f t="shared" si="0"/>
        <v>32</v>
      </c>
      <c r="S35" s="112" t="s">
        <v>204</v>
      </c>
      <c r="U35" s="20"/>
      <c r="V35" s="20"/>
    </row>
    <row r="36" spans="1:22" x14ac:dyDescent="0.2">
      <c r="A36" s="68" t="s">
        <v>256</v>
      </c>
      <c r="B36" s="9" t="s">
        <v>33</v>
      </c>
      <c r="C36" s="72">
        <f>INDEX(FPI!$H$3:$H$138, MATCH("Miss St"&amp;", "&amp;$B36,FPI!$B$3:$B$138, 0), 0)</f>
        <v>9.8000000000000007</v>
      </c>
      <c r="D36" s="73">
        <f>INDEX(Eff!$F$3:$F$138, MATCH("Miss St"&amp;", "&amp;$B36,Eff!$B$3:$B$138, 0), 0)</f>
        <v>65.5</v>
      </c>
      <c r="E36" s="73">
        <f>INDEX(Eff!$C$3:$C$138, MATCH("Miss St"&amp;", "&amp;$B36,Eff!$B$3:$B$138, 0), 0)</f>
        <v>66.8</v>
      </c>
      <c r="F36" s="73">
        <f>INDEX(Eff!$D$3:$D$138, MATCH("Miss St"&amp;", "&amp;$B36,Eff!$B$3:$B$138, 0), 0)</f>
        <v>59.5</v>
      </c>
      <c r="G36" s="73">
        <f>INDEX(Eff!$E$3:$E$138, MATCH("Miss St"&amp;", "&amp;$B36,Eff!$B$3:$B$138, 0), 0)</f>
        <v>45.6</v>
      </c>
      <c r="H36" s="31">
        <f>INDEX(FEI!$D$1:$D$139, MATCH($A36,FEI!$B$1:$B$139, 0), 0)</f>
        <v>0.31</v>
      </c>
      <c r="I36" s="31">
        <f>INDEX(FEI!$E$1:$E$139, MATCH($A36,FEI!$B$1:$B$139, 0), 0)</f>
        <v>0.6</v>
      </c>
      <c r="J36" s="31">
        <f>INDEX(FEI!$G$1:$G$139, MATCH($A36,FEI!$B$1:$B$139, 0), 0)</f>
        <v>0.09</v>
      </c>
      <c r="K36" s="71">
        <f>INDEX('Billingsley 130'!$O$2:$O$131, MATCH($A36,'Billingsley 130'!$D$2:$D$131, 0), 0)</f>
        <v>252.38200000000001</v>
      </c>
      <c r="L36" s="81">
        <f>((($E36 - MIN($E$4:$E$133)) / (MAX($E$4:$E$133) - MIN($E$4:$E$133))) + (($I36 - MIN($I$4:$I$133)) / (MAX($I$4:$I$133) - MIN($I$4:$I$133)))) / 2</f>
        <v>0.57981576527130863</v>
      </c>
      <c r="M36" s="73">
        <f>((($F36 - MIN($F$4:$F$133)) / (MAX($F$4:$F$133) - MIN($F$4:$F$133))) + (($J36 - MIN($J$4:$J$133)) / (MAX($J$4:$J$133) - MIN($J$4:$J$133)))) / 2</f>
        <v>0.61409359553976195</v>
      </c>
      <c r="N36" s="73">
        <f>($G36 - MIN($G$4:$G$133)) / (MAX($G$4:$G$133) - MIN($G$4:$G$133))</f>
        <v>0.39627659574468083</v>
      </c>
      <c r="O36" s="73">
        <f>($K36 - MIN($K$4:$K$133)) / (MAX($K$4:$K$133) - MIN($K$4:$K$133))</f>
        <v>0.61175226991251674</v>
      </c>
      <c r="P36" s="84">
        <f>(($C36 - MIN($C$4:$C$133)) / (MAX($C$4:$C$133) - MIN($C$4:$C$133)) + ($D36 - MIN($D$4:$D$133)) / (MAX($D$4:$D$133) - MIN($D$4:$D$133)) + ($H36 - MIN($H$4:$H$133)) / (MAX($H$4:$H$133) - MIN($H$4:$H$133))) / 3</f>
        <v>0.63714995062502311</v>
      </c>
      <c r="Q36" s="81">
        <f xml:space="preserve"> ($L36 * (INDEX(PlaysPerGame!$BK$3:$BK$132, MATCH("Miss State",PlaysPerGame!$BC$3:$BC$132, 0), 0) * 0.8))+ ($M36 * (INDEX(PlaysPerGame!$BL$3:$BL$132, MATCH("Miss State",PlaysPerGame!$BC$3:$BC$132, 0), 0) * 0.8)) + ($N36 * (INDEX(PlaysPerGame!$BM$3:$BM$132, MATCH("Miss State",PlaysPerGame!$BC$3:$BC$132, 0), 0) * 0.8)) + ($O36 * 0.1) + ($P36 * 0.1)</f>
        <v>0.59107991096842527</v>
      </c>
      <c r="R36" s="9">
        <f t="shared" si="0"/>
        <v>33</v>
      </c>
      <c r="S36" s="112" t="s">
        <v>256</v>
      </c>
      <c r="U36" s="20"/>
      <c r="V36" s="20"/>
    </row>
    <row r="37" spans="1:22" x14ac:dyDescent="0.2">
      <c r="A37" s="68" t="s">
        <v>35</v>
      </c>
      <c r="B37" s="9" t="s">
        <v>39</v>
      </c>
      <c r="C37" s="72">
        <f>INDEX(FPI!$H$3:$H$138, MATCH("Appalachian St"&amp;", "&amp;$B37,FPI!$B$3:$B$138, 0), 0)</f>
        <v>1.4</v>
      </c>
      <c r="D37" s="73">
        <f>INDEX(Eff!$F$3:$F$138, MATCH("Appalachian St"&amp;", "&amp;$B37,Eff!$B$3:$B$138, 0), 0)</f>
        <v>65.2</v>
      </c>
      <c r="E37" s="73">
        <f>INDEX(Eff!$C$3:$C$138, MATCH("Appalachian St"&amp;", "&amp;$B37,Eff!$B$3:$B$138, 0), 0)</f>
        <v>73.599999999999994</v>
      </c>
      <c r="F37" s="73">
        <f>INDEX(Eff!$D$3:$D$138, MATCH("Appalachian St"&amp;", "&amp;$B37,Eff!$B$3:$B$138, 0), 0)</f>
        <v>39.5</v>
      </c>
      <c r="G37" s="73">
        <f>INDEX(Eff!$E$3:$E$138, MATCH("Appalachian St"&amp;", "&amp;$B37,Eff!$B$3:$B$138, 0), 0)</f>
        <v>80.8</v>
      </c>
      <c r="H37" s="31">
        <f>INDEX(FEI!$D$1:$D$139, MATCH($A37,FEI!$B$1:$B$139, 0), 0)</f>
        <v>0.28999999999999998</v>
      </c>
      <c r="I37" s="31">
        <f>INDEX(FEI!$E$1:$E$139, MATCH($A37,FEI!$B$1:$B$139, 0), 0)</f>
        <v>0.85</v>
      </c>
      <c r="J37" s="31">
        <f>INDEX(FEI!$G$1:$G$139, MATCH($A37,FEI!$B$1:$B$139, 0), 0)</f>
        <v>-0.12</v>
      </c>
      <c r="K37" s="71">
        <f>INDEX('Billingsley 130'!$O$2:$O$131, MATCH($A37,'Billingsley 130'!$D$2:$D$131, 0), 0)</f>
        <v>263.399</v>
      </c>
      <c r="L37" s="81">
        <f>((($E37 - MIN($E$4:$E$133)) / (MAX($E$4:$E$133) - MIN($E$4:$E$133))) + (($I37 - MIN($I$4:$I$133)) / (MAX($I$4:$I$133) - MIN($I$4:$I$133)))) / 2</f>
        <v>0.65092117364345681</v>
      </c>
      <c r="M37" s="73">
        <f>((($F37 - MIN($F$4:$F$133)) / (MAX($F$4:$F$133) - MIN($F$4:$F$133))) + (($J37 - MIN($J$4:$J$133)) / (MAX($J$4:$J$133) - MIN($J$4:$J$133)))) / 2</f>
        <v>0.47466309450718464</v>
      </c>
      <c r="N37" s="73">
        <f>($G37 - MIN($G$4:$G$133)) / (MAX($G$4:$G$133) - MIN($G$4:$G$133))</f>
        <v>0.8643617021276595</v>
      </c>
      <c r="O37" s="73">
        <f>($K37 - MIN($K$4:$K$133)) / (MAX($K$4:$K$133) - MIN($K$4:$K$133))</f>
        <v>0.69865974583290613</v>
      </c>
      <c r="P37" s="84">
        <f>(($C37 - MIN($C$4:$C$133)) / (MAX($C$4:$C$133) - MIN($C$4:$C$133)) + ($D37 - MIN($D$4:$D$133)) / (MAX($D$4:$D$133) - MIN($D$4:$D$133)) + ($H37 - MIN($H$4:$H$133)) / (MAX($H$4:$H$133) - MIN($H$4:$H$133))) / 3</f>
        <v>0.58950525612373406</v>
      </c>
      <c r="Q37" s="81">
        <f xml:space="preserve"> ($L37 * (INDEX(PlaysPerGame!$BK$3:$BK$132, MATCH("App State",PlaysPerGame!$BC$3:$BC$132, 0), 0) * 0.8))+ ($M37 * (INDEX(PlaysPerGame!$BL$3:$BL$132, MATCH("App State",PlaysPerGame!$BC$3:$BC$132, 0), 0) * 0.8)) + ($N37 * (INDEX(PlaysPerGame!$BM$3:$BM$132, MATCH("App State",PlaysPerGame!$BC$3:$BC$132, 0), 0) * 0.8)) + ($O37 * 0.1) + ($P37 * 0.1)</f>
        <v>0.59053080471719333</v>
      </c>
      <c r="R37" s="9">
        <f t="shared" si="0"/>
        <v>34</v>
      </c>
      <c r="S37" s="112" t="s">
        <v>35</v>
      </c>
      <c r="U37" s="20"/>
      <c r="V37" s="20"/>
    </row>
    <row r="38" spans="1:22" x14ac:dyDescent="0.2">
      <c r="A38" s="68" t="s">
        <v>47</v>
      </c>
      <c r="B38" s="9" t="s">
        <v>45</v>
      </c>
      <c r="C38" s="72">
        <f>INDEX(FPI!$H$3:$H$138, MATCH($A38&amp;", "&amp;$B38,FPI!$B$3:$B$138, 0), 0)</f>
        <v>6</v>
      </c>
      <c r="D38" s="73">
        <f>INDEX(Eff!$F$3:$F$138, MATCH($A38&amp;", "&amp;$B38,Eff!$B$3:$B$138, 0), 0)</f>
        <v>64.5</v>
      </c>
      <c r="E38" s="73">
        <f>INDEX(Eff!$C$3:$C$138, MATCH($A38&amp;", "&amp;$B38,Eff!$B$3:$B$138, 0), 0)</f>
        <v>48.8</v>
      </c>
      <c r="F38" s="73">
        <f>INDEX(Eff!$D$3:$D$138, MATCH($A38&amp;", "&amp;$B38,Eff!$B$3:$B$138, 0), 0)</f>
        <v>69</v>
      </c>
      <c r="G38" s="73">
        <f>INDEX(Eff!$E$3:$E$138, MATCH($A38&amp;", "&amp;$B38,Eff!$B$3:$B$138, 0), 0)</f>
        <v>64.599999999999994</v>
      </c>
      <c r="H38" s="31">
        <f>INDEX(FEI!$D$1:$D$139, MATCH($A38,FEI!$B$1:$B$139, 0), 0)</f>
        <v>0.34</v>
      </c>
      <c r="I38" s="31">
        <f>INDEX(FEI!$E$1:$E$139, MATCH($A38,FEI!$B$1:$B$139, 0), 0)</f>
        <v>0.27</v>
      </c>
      <c r="J38" s="31">
        <f>INDEX(FEI!$G$1:$G$139, MATCH($A38,FEI!$B$1:$B$139, 0), 0)</f>
        <v>0.3</v>
      </c>
      <c r="K38" s="71">
        <f>INDEX('Billingsley 130'!$O$2:$O$131, MATCH($A38,'Billingsley 130'!$D$2:$D$131, 0), 0)</f>
        <v>255.328</v>
      </c>
      <c r="L38" s="81">
        <f>((($E38 - MIN($E$4:$E$133)) / (MAX($E$4:$E$133) - MIN($E$4:$E$133))) + (($I38 - MIN($I$4:$I$133)) / (MAX($I$4:$I$133) - MIN($I$4:$I$133)))) / 2</f>
        <v>0.43642863500163165</v>
      </c>
      <c r="M38" s="73">
        <f>((($F38 - MIN($F$4:$F$133)) / (MAX($F$4:$F$133) - MIN($F$4:$F$133))) + (($J38 - MIN($J$4:$J$133)) / (MAX($J$4:$J$133) - MIN($J$4:$J$133)))) / 2</f>
        <v>0.69589511742854127</v>
      </c>
      <c r="N38" s="73">
        <f>($G38 - MIN($G$4:$G$133)) / (MAX($G$4:$G$133) - MIN($G$4:$G$133))</f>
        <v>0.64893617021276595</v>
      </c>
      <c r="O38" s="73">
        <f>($K38 - MIN($K$4:$K$133)) / (MAX($K$4:$K$133) - MIN($K$4:$K$133))</f>
        <v>0.63499175652969631</v>
      </c>
      <c r="P38" s="84">
        <f>(($C38 - MIN($C$4:$C$133)) / (MAX($C$4:$C$133) - MIN($C$4:$C$133)) + ($D38 - MIN($D$4:$D$133)) / (MAX($D$4:$D$133) - MIN($D$4:$D$133)) + ($H38 - MIN($H$4:$H$133)) / (MAX($H$4:$H$133) - MIN($H$4:$H$133))) / 3</f>
        <v>0.61643178036732671</v>
      </c>
      <c r="Q38" s="81">
        <f xml:space="preserve"> ($L38 * (INDEX(PlaysPerGame!$BK$3:$BK$132, MATCH("Arizona St",PlaysPerGame!$BC$3:$BC$132, 0), 0) * 0.8))+ ($M38 * (INDEX(PlaysPerGame!$BL$3:$BL$132, MATCH("Arizona St",PlaysPerGame!$BC$3:$BC$132, 0), 0) * 0.8)) + ($N38 * (INDEX(PlaysPerGame!$BM$3:$BM$132, MATCH("Arizona St",PlaysPerGame!$BC$3:$BC$132, 0), 0) * 0.8)) + ($O38 * 0.1) + ($P38 * 0.1)</f>
        <v>0.58463993756295385</v>
      </c>
      <c r="R38" s="9">
        <f t="shared" si="0"/>
        <v>35</v>
      </c>
      <c r="S38" s="112" t="s">
        <v>47</v>
      </c>
      <c r="U38" s="20"/>
      <c r="V38" s="20"/>
    </row>
    <row r="39" spans="1:22" x14ac:dyDescent="0.2">
      <c r="A39" s="68" t="s">
        <v>375</v>
      </c>
      <c r="B39" s="9" t="s">
        <v>33</v>
      </c>
      <c r="C39" s="72">
        <f>INDEX(FPI!$H$3:$H$138, MATCH($A39&amp;", "&amp;$B39,FPI!$B$3:$B$138, 0), 0)</f>
        <v>14.5</v>
      </c>
      <c r="D39" s="73">
        <f>INDEX(Eff!$F$3:$F$138, MATCH($A39&amp;", "&amp;$B39,Eff!$B$3:$B$138, 0), 0)</f>
        <v>67.099999999999994</v>
      </c>
      <c r="E39" s="73">
        <f>INDEX(Eff!$C$3:$C$138, MATCH($A39&amp;", "&amp;$B39,Eff!$B$3:$B$138, 0), 0)</f>
        <v>63.2</v>
      </c>
      <c r="F39" s="73">
        <f>INDEX(Eff!$D$3:$D$138, MATCH($A39&amp;", "&amp;$B39,Eff!$B$3:$B$138, 0), 0)</f>
        <v>59.6</v>
      </c>
      <c r="G39" s="73">
        <f>INDEX(Eff!$E$3:$E$138, MATCH($A39&amp;", "&amp;$B39,Eff!$B$3:$B$138, 0), 0)</f>
        <v>65.099999999999994</v>
      </c>
      <c r="H39" s="31">
        <f>INDEX(FEI!$D$1:$D$139, MATCH($A39,FEI!$B$1:$B$139, 0), 0)</f>
        <v>0.13</v>
      </c>
      <c r="I39" s="31">
        <f>INDEX(FEI!$E$1:$E$139, MATCH($A39,FEI!$B$1:$B$139, 0), 0)</f>
        <v>0.16</v>
      </c>
      <c r="J39" s="31">
        <f>INDEX(FEI!$G$1:$G$139, MATCH($A39,FEI!$B$1:$B$139, 0), 0)</f>
        <v>0.05</v>
      </c>
      <c r="K39" s="71">
        <f>INDEX('Billingsley 130'!$O$2:$O$131, MATCH($A39,'Billingsley 130'!$D$2:$D$131, 0), 0)</f>
        <v>262.86099999999999</v>
      </c>
      <c r="L39" s="81">
        <f>((($E39 - MIN($E$4:$E$133)) / (MAX($E$4:$E$133) - MIN($E$4:$E$133))) + (($I39 - MIN($I$4:$I$133)) / (MAX($I$4:$I$133) - MIN($I$4:$I$133)))) / 2</f>
        <v>0.50059779867683263</v>
      </c>
      <c r="M39" s="73">
        <f>((($F39 - MIN($F$4:$F$133)) / (MAX($F$4:$F$133) - MIN($F$4:$F$133))) + (($J39 - MIN($J$4:$J$133)) / (MAX($J$4:$J$133) - MIN($J$4:$J$133)))) / 2</f>
        <v>0.60899272544605487</v>
      </c>
      <c r="N39" s="73">
        <f>($G39 - MIN($G$4:$G$133)) / (MAX($G$4:$G$133) - MIN($G$4:$G$133))</f>
        <v>0.65558510638297862</v>
      </c>
      <c r="O39" s="73">
        <f>($K39 - MIN($K$4:$K$133)) / (MAX($K$4:$K$133) - MIN($K$4:$K$133))</f>
        <v>0.69441573911191401</v>
      </c>
      <c r="P39" s="84">
        <f>(($C39 - MIN($C$4:$C$133)) / (MAX($C$4:$C$133) - MIN($C$4:$C$133)) + ($D39 - MIN($D$4:$D$133)) / (MAX($D$4:$D$133) - MIN($D$4:$D$133)) + ($H39 - MIN($H$4:$H$133)) / (MAX($H$4:$H$133) - MIN($H$4:$H$133))) / 3</f>
        <v>0.64980052957839518</v>
      </c>
      <c r="Q39" s="81">
        <f xml:space="preserve"> ($L39 * (INDEX(PlaysPerGame!$BK$3:$BK$132, MATCH($A39,PlaysPerGame!$BC$3:$BC$132, 0), 0) * 0.8))+ ($M39 * (INDEX(PlaysPerGame!$BL$3:$BL$132, MATCH($A39,PlaysPerGame!$BC$3:$BC$132, 0), 0) * 0.8)) + ($N39 * (INDEX(PlaysPerGame!$BM$3:$BM$132, MATCH($A39,PlaysPerGame!$BC$3:$BC$132, 0), 0) * 0.8)) + ($O39 * 0.1) + ($P39 * 0.1)</f>
        <v>0.58403861169399462</v>
      </c>
      <c r="R39" s="9">
        <f t="shared" si="0"/>
        <v>36</v>
      </c>
      <c r="S39" s="112" t="s">
        <v>375</v>
      </c>
      <c r="U39" s="20"/>
      <c r="V39" s="20"/>
    </row>
    <row r="40" spans="1:22" x14ac:dyDescent="0.2">
      <c r="A40" s="68" t="s">
        <v>443</v>
      </c>
      <c r="B40" s="9" t="s">
        <v>87</v>
      </c>
      <c r="C40" s="72">
        <f>INDEX(FPI!$H$3:$H$138, MATCH($A40&amp;", "&amp;$B40,FPI!$B$3:$B$138, 0), 0)</f>
        <v>4.2</v>
      </c>
      <c r="D40" s="73">
        <f>INDEX(Eff!$F$3:$F$138, MATCH($A40&amp;", "&amp;$B40,Eff!$B$3:$B$138, 0), 0)</f>
        <v>63.9</v>
      </c>
      <c r="E40" s="73">
        <f>INDEX(Eff!$C$3:$C$138, MATCH($A40&amp;", "&amp;$B40,Eff!$B$3:$B$138, 0), 0)</f>
        <v>68.7</v>
      </c>
      <c r="F40" s="73">
        <f>INDEX(Eff!$D$3:$D$138, MATCH($A40&amp;", "&amp;$B40,Eff!$B$3:$B$138, 0), 0)</f>
        <v>52.1</v>
      </c>
      <c r="G40" s="73">
        <f>INDEX(Eff!$E$3:$E$138, MATCH($A40&amp;", "&amp;$B40,Eff!$B$3:$B$138, 0), 0)</f>
        <v>49.7</v>
      </c>
      <c r="H40" s="31">
        <f>INDEX(FEI!$D$1:$D$139, MATCH($A40,FEI!$B$1:$B$139, 0), 0)</f>
        <v>0.28000000000000003</v>
      </c>
      <c r="I40" s="31">
        <f>INDEX(FEI!$E$1:$E$139, MATCH($A40,FEI!$B$1:$B$139, 0), 0)</f>
        <v>0.42</v>
      </c>
      <c r="J40" s="31">
        <f>INDEX(FEI!$G$1:$G$139, MATCH($A40,FEI!$B$1:$B$139, 0), 0)</f>
        <v>0.11</v>
      </c>
      <c r="K40" s="71">
        <f>INDEX('Billingsley 130'!$O$2:$O$131, MATCH($A40,'Billingsley 130'!$D$2:$D$131, 0), 0)</f>
        <v>260.60700000000003</v>
      </c>
      <c r="L40" s="81">
        <f>((($E40 - MIN($E$4:$E$133)) / (MAX($E$4:$E$133) - MIN($E$4:$E$133))) + (($I40 - MIN($I$4:$I$133)) / (MAX($I$4:$I$133) - MIN($I$4:$I$133)))) / 2</f>
        <v>0.56591954193490968</v>
      </c>
      <c r="M40" s="73">
        <f>((($F40 - MIN($F$4:$F$133)) / (MAX($F$4:$F$133) - MIN($F$4:$F$133))) + (($J40 - MIN($J$4:$J$133)) / (MAX($J$4:$J$133) - MIN($J$4:$J$133)))) / 2</f>
        <v>0.57630374518595695</v>
      </c>
      <c r="N40" s="73">
        <f>($G40 - MIN($G$4:$G$133)) / (MAX($G$4:$G$133) - MIN($G$4:$G$133))</f>
        <v>0.45079787234042556</v>
      </c>
      <c r="O40" s="73">
        <f>($K40 - MIN($K$4:$K$133)) / (MAX($K$4:$K$133) - MIN($K$4:$K$133))</f>
        <v>0.67663508641838999</v>
      </c>
      <c r="P40" s="84">
        <f>(($C40 - MIN($C$4:$C$133)) / (MAX($C$4:$C$133) - MIN($C$4:$C$133)) + ($D40 - MIN($D$4:$D$133)) / (MAX($D$4:$D$133) - MIN($D$4:$D$133)) + ($H40 - MIN($H$4:$H$133)) / (MAX($H$4:$H$133) - MIN($H$4:$H$133))) / 3</f>
        <v>0.59876421777562128</v>
      </c>
      <c r="Q40" s="81">
        <f xml:space="preserve"> ($L40 * (INDEX(PlaysPerGame!$BK$3:$BK$132, MATCH($A40,PlaysPerGame!$BC$3:$BC$132, 0), 0) * 0.8))+ ($M40 * (INDEX(PlaysPerGame!$BL$3:$BL$132, MATCH($A40,PlaysPerGame!$BC$3:$BC$132, 0), 0) * 0.8)) + ($N40 * (INDEX(PlaysPerGame!$BM$3:$BM$132, MATCH($A40,PlaysPerGame!$BC$3:$BC$132, 0), 0) * 0.8)) + ($O40 * 0.1) + ($P40 * 0.1)</f>
        <v>0.57622928919932692</v>
      </c>
      <c r="R40" s="9">
        <f t="shared" si="0"/>
        <v>37</v>
      </c>
      <c r="S40" s="112" t="s">
        <v>443</v>
      </c>
      <c r="U40" s="20"/>
      <c r="V40" s="20"/>
    </row>
    <row r="41" spans="1:22" x14ac:dyDescent="0.2">
      <c r="A41" s="68" t="s">
        <v>253</v>
      </c>
      <c r="B41" s="9" t="s">
        <v>176</v>
      </c>
      <c r="C41" s="72">
        <f>INDEX(FPI!$H$3:$H$138, MATCH($A41&amp;", "&amp;$B41,FPI!$B$3:$B$138, 0), 0)</f>
        <v>6.2</v>
      </c>
      <c r="D41" s="73">
        <f>INDEX(Eff!$F$3:$F$138, MATCH($A41&amp;", "&amp;$B41,Eff!$B$3:$B$138, 0), 0)</f>
        <v>61.1</v>
      </c>
      <c r="E41" s="73">
        <f>INDEX(Eff!$C$3:$C$138, MATCH($A41&amp;", "&amp;$B41,Eff!$B$3:$B$138, 0), 0)</f>
        <v>70.599999999999994</v>
      </c>
      <c r="F41" s="73">
        <f>INDEX(Eff!$D$3:$D$138, MATCH($A41&amp;", "&amp;$B41,Eff!$B$3:$B$138, 0), 0)</f>
        <v>53.8</v>
      </c>
      <c r="G41" s="73">
        <f>INDEX(Eff!$E$3:$E$138, MATCH($A41&amp;", "&amp;$B41,Eff!$B$3:$B$138, 0), 0)</f>
        <v>28.5</v>
      </c>
      <c r="H41" s="31">
        <f>INDEX(FEI!$D$1:$D$139, MATCH($A41,FEI!$B$1:$B$139, 0), 0)</f>
        <v>0.28999999999999998</v>
      </c>
      <c r="I41" s="31">
        <f>INDEX(FEI!$E$1:$E$139, MATCH($A41,FEI!$B$1:$B$139, 0), 0)</f>
        <v>0.53</v>
      </c>
      <c r="J41" s="31">
        <f>INDEX(FEI!$G$1:$G$139, MATCH($A41,FEI!$B$1:$B$139, 0), 0)</f>
        <v>0.01</v>
      </c>
      <c r="K41" s="71">
        <f>INDEX('Billingsley 130'!$O$2:$O$131, MATCH($A41,'Billingsley 130'!$D$2:$D$131, 0), 0)</f>
        <v>263.53399999999999</v>
      </c>
      <c r="L41" s="81">
        <f>((($E41 - MIN($E$4:$E$133)) / (MAX($E$4:$E$133) - MIN($E$4:$E$133))) + (($I41 - MIN($I$4:$I$133)) / (MAX($I$4:$I$133) - MIN($I$4:$I$133)))) / 2</f>
        <v>0.59121250778769985</v>
      </c>
      <c r="M41" s="73">
        <f>((($F41 - MIN($F$4:$F$133)) / (MAX($F$4:$F$133) - MIN($F$4:$F$133))) + (($J41 - MIN($J$4:$J$133)) / (MAX($J$4:$J$133) - MIN($J$4:$J$133)))) / 2</f>
        <v>0.57150985754773731</v>
      </c>
      <c r="N41" s="73">
        <f>($G41 - MIN($G$4:$G$133)) / (MAX($G$4:$G$133) - MIN($G$4:$G$133))</f>
        <v>0.16888297872340424</v>
      </c>
      <c r="O41" s="73">
        <f>($K41 - MIN($K$4:$K$133)) / (MAX($K$4:$K$133) - MIN($K$4:$K$133))</f>
        <v>0.69972469175731855</v>
      </c>
      <c r="P41" s="84">
        <f>(($C41 - MIN($C$4:$C$133)) / (MAX($C$4:$C$133) - MIN($C$4:$C$133)) + ($D41 - MIN($D$4:$D$133)) / (MAX($D$4:$D$133) - MIN($D$4:$D$133)) + ($H41 - MIN($H$4:$H$133)) / (MAX($H$4:$H$133) - MIN($H$4:$H$133))) / 3</f>
        <v>0.60045940662992636</v>
      </c>
      <c r="Q41" s="81">
        <f xml:space="preserve"> ($L41 * (INDEX(PlaysPerGame!$BK$3:$BK$132, MATCH($A41,PlaysPerGame!$BC$3:$BC$132, 0), 0) * 0.8))+ ($M41 * (INDEX(PlaysPerGame!$BL$3:$BL$132, MATCH($A41,PlaysPerGame!$BC$3:$BC$132, 0), 0) * 0.8)) + ($N41 * (INDEX(PlaysPerGame!$BM$3:$BM$132, MATCH($A41,PlaysPerGame!$BC$3:$BC$132, 0), 0) * 0.8)) + ($O41 * 0.1) + ($P41 * 0.1)</f>
        <v>0.57024640182144393</v>
      </c>
      <c r="R41" s="9">
        <f t="shared" si="0"/>
        <v>38</v>
      </c>
      <c r="S41" s="112" t="s">
        <v>253</v>
      </c>
      <c r="U41" s="20"/>
      <c r="V41" s="20"/>
    </row>
    <row r="42" spans="1:22" x14ac:dyDescent="0.2">
      <c r="A42" s="68" t="s">
        <v>193</v>
      </c>
      <c r="B42" s="9" t="s">
        <v>75</v>
      </c>
      <c r="C42" s="72">
        <f>INDEX(FPI!$H$3:$H$138, MATCH($A42&amp;", "&amp;$B42,FPI!$B$3:$B$138, 0), 0)</f>
        <v>5</v>
      </c>
      <c r="D42" s="73">
        <f>INDEX(Eff!$F$3:$F$138, MATCH($A42&amp;", "&amp;$B42,Eff!$B$3:$B$138, 0), 0)</f>
        <v>65.599999999999994</v>
      </c>
      <c r="E42" s="73">
        <f>INDEX(Eff!$C$3:$C$138, MATCH($A42&amp;", "&amp;$B42,Eff!$B$3:$B$138, 0), 0)</f>
        <v>46.7</v>
      </c>
      <c r="F42" s="73">
        <f>INDEX(Eff!$D$3:$D$138, MATCH($A42&amp;", "&amp;$B42,Eff!$B$3:$B$138, 0), 0)</f>
        <v>77.3</v>
      </c>
      <c r="G42" s="73">
        <f>INDEX(Eff!$E$3:$E$138, MATCH($A42&amp;", "&amp;$B42,Eff!$B$3:$B$138, 0), 0)</f>
        <v>55.4</v>
      </c>
      <c r="H42" s="31">
        <f>INDEX(FEI!$D$1:$D$139, MATCH($A42,FEI!$B$1:$B$139, 0), 0)</f>
        <v>0.25</v>
      </c>
      <c r="I42" s="31">
        <f>INDEX(FEI!$E$1:$E$139, MATCH($A42,FEI!$B$1:$B$139, 0), 0)</f>
        <v>-0.06</v>
      </c>
      <c r="J42" s="31">
        <f>INDEX(FEI!$G$1:$G$139, MATCH($A42,FEI!$B$1:$B$139, 0), 0)</f>
        <v>0.49</v>
      </c>
      <c r="K42" s="71">
        <f>INDEX('Billingsley 130'!$O$2:$O$131, MATCH($A42,'Billingsley 130'!$D$2:$D$131, 0), 0)</f>
        <v>247.79499999999999</v>
      </c>
      <c r="L42" s="81">
        <f>((($E42 - MIN($E$4:$E$133)) / (MAX($E$4:$E$133) - MIN($E$4:$E$133))) + (($I42 - MIN($I$4:$I$133)) / (MAX($I$4:$I$133) - MIN($I$4:$I$133)))) / 2</f>
        <v>0.3803082445782775</v>
      </c>
      <c r="M42" s="73">
        <f>((($F42 - MIN($F$4:$F$133)) / (MAX($F$4:$F$133) - MIN($F$4:$F$133))) + (($J42 - MIN($J$4:$J$133)) / (MAX($J$4:$J$133) - MIN($J$4:$J$133)))) / 2</f>
        <v>0.76828561151525299</v>
      </c>
      <c r="N42" s="73">
        <f>($G42 - MIN($G$4:$G$133)) / (MAX($G$4:$G$133) - MIN($G$4:$G$133))</f>
        <v>0.52659574468085102</v>
      </c>
      <c r="O42" s="73">
        <f>($K42 - MIN($K$4:$K$133)) / (MAX($K$4:$K$133) - MIN($K$4:$K$133))</f>
        <v>0.57556777394747838</v>
      </c>
      <c r="P42" s="84">
        <f>(($C42 - MIN($C$4:$C$133)) / (MAX($C$4:$C$133) - MIN($C$4:$C$133)) + ($D42 - MIN($D$4:$D$133)) / (MAX($D$4:$D$133) - MIN($D$4:$D$133)) + ($H42 - MIN($H$4:$H$133)) / (MAX($H$4:$H$133) - MIN($H$4:$H$133))) / 3</f>
        <v>0.60603845275192791</v>
      </c>
      <c r="Q42" s="81">
        <f xml:space="preserve"> ($L42 * (INDEX(PlaysPerGame!$BK$3:$BK$132, MATCH("Kansas St",PlaysPerGame!$BC$3:$BC$132, 0), 0) * 0.8))+ ($M42 * (INDEX(PlaysPerGame!$BL$3:$BL$132, MATCH("Kansas St",PlaysPerGame!$BC$3:$BC$132, 0), 0) * 0.8)) + ($N42 * (INDEX(PlaysPerGame!$BM$3:$BM$132, MATCH("Kansas St",PlaysPerGame!$BC$3:$BC$132, 0), 0) * 0.8)) + ($O42 * 0.1) + ($P42 * 0.1)</f>
        <v>0.5672293743999014</v>
      </c>
      <c r="R42" s="9">
        <f t="shared" si="0"/>
        <v>39</v>
      </c>
      <c r="S42" s="112" t="s">
        <v>193</v>
      </c>
      <c r="U42" s="20"/>
      <c r="V42" s="20"/>
    </row>
    <row r="43" spans="1:22" x14ac:dyDescent="0.2">
      <c r="A43" s="68" t="s">
        <v>363</v>
      </c>
      <c r="B43" s="9" t="s">
        <v>75</v>
      </c>
      <c r="C43" s="72">
        <f>INDEX(FPI!$H$3:$H$138, MATCH($A43&amp;", "&amp;$B43,FPI!$B$3:$B$138, 0), 0)</f>
        <v>6.4</v>
      </c>
      <c r="D43" s="73">
        <f>INDEX(Eff!$F$3:$F$138, MATCH($A43&amp;", "&amp;$B43,Eff!$B$3:$B$138, 0), 0)</f>
        <v>59.4</v>
      </c>
      <c r="E43" s="73">
        <f>INDEX(Eff!$C$3:$C$138, MATCH($A43&amp;", "&amp;$B43,Eff!$B$3:$B$138, 0), 0)</f>
        <v>39</v>
      </c>
      <c r="F43" s="73">
        <f>INDEX(Eff!$D$3:$D$138, MATCH($A43&amp;", "&amp;$B43,Eff!$B$3:$B$138, 0), 0)</f>
        <v>77.2</v>
      </c>
      <c r="G43" s="73">
        <f>INDEX(Eff!$E$3:$E$138, MATCH($A43&amp;", "&amp;$B43,Eff!$B$3:$B$138, 0), 0)</f>
        <v>53.2</v>
      </c>
      <c r="H43" s="31">
        <f>INDEX(FEI!$D$1:$D$139, MATCH($A43,FEI!$B$1:$B$139, 0), 0)</f>
        <v>0.54</v>
      </c>
      <c r="I43" s="31">
        <f>INDEX(FEI!$E$1:$E$139, MATCH($A43,FEI!$B$1:$B$139, 0), 0)</f>
        <v>0.35</v>
      </c>
      <c r="J43" s="31">
        <f>INDEX(FEI!$G$1:$G$139, MATCH($A43,FEI!$B$1:$B$139, 0), 0)</f>
        <v>0.74</v>
      </c>
      <c r="K43" s="71">
        <f>INDEX('Billingsley 130'!$O$2:$O$131, MATCH($A43,'Billingsley 130'!$D$2:$D$131, 0), 0)</f>
        <v>239.04499999999999</v>
      </c>
      <c r="L43" s="81">
        <f>((($E43 - MIN($E$4:$E$133)) / (MAX($E$4:$E$133) - MIN($E$4:$E$133))) + (($I43 - MIN($I$4:$I$133)) / (MAX($I$4:$I$133) - MIN($I$4:$I$133)))) / 2</f>
        <v>0.39345239861156439</v>
      </c>
      <c r="M43" s="73">
        <f>((($F43 - MIN($F$4:$F$133)) / (MAX($F$4:$F$133) - MIN($F$4:$F$133))) + (($J43 - MIN($J$4:$J$133)) / (MAX($J$4:$J$133) - MIN($J$4:$J$133)))) / 2</f>
        <v>0.80304749855811264</v>
      </c>
      <c r="N43" s="73">
        <f>($G43 - MIN($G$4:$G$133)) / (MAX($G$4:$G$133) - MIN($G$4:$G$133))</f>
        <v>0.49734042553191493</v>
      </c>
      <c r="O43" s="73">
        <f>($K43 - MIN($K$4:$K$133)) / (MAX($K$4:$K$133) - MIN($K$4:$K$133))</f>
        <v>0.50654350106889012</v>
      </c>
      <c r="P43" s="84">
        <f>(($C43 - MIN($C$4:$C$133)) / (MAX($C$4:$C$133) - MIN($C$4:$C$133)) + ($D43 - MIN($D$4:$D$133)) / (MAX($D$4:$D$133) - MIN($D$4:$D$133)) + ($H43 - MIN($H$4:$H$133)) / (MAX($H$4:$H$133) - MIN($H$4:$H$133))) / 3</f>
        <v>0.62044911510429801</v>
      </c>
      <c r="Q43" s="81">
        <f xml:space="preserve"> ($L43 * (INDEX(PlaysPerGame!$BK$3:$BK$132, MATCH("TX Christian",PlaysPerGame!$BC$3:$BC$132, 0), 0) * 0.8))+ ($M43 * (INDEX(PlaysPerGame!$BL$3:$BL$132, MATCH("TX Christian",PlaysPerGame!$BC$3:$BC$132, 0), 0) * 0.8)) + ($N43 * (INDEX(PlaysPerGame!$BM$3:$BM$132, MATCH("TX Christian",PlaysPerGame!$BC$3:$BC$132, 0), 0) * 0.8)) + ($O43 * 0.1) + ($P43 * 0.1)</f>
        <v>0.56597802459968116</v>
      </c>
      <c r="R43" s="9">
        <f t="shared" si="0"/>
        <v>40</v>
      </c>
      <c r="S43" s="112" t="s">
        <v>363</v>
      </c>
      <c r="U43" s="20"/>
      <c r="V43" s="20"/>
    </row>
    <row r="44" spans="1:22" x14ac:dyDescent="0.2">
      <c r="A44" s="68" t="s">
        <v>485</v>
      </c>
      <c r="B44" s="9" t="s">
        <v>39</v>
      </c>
      <c r="C44" s="72">
        <f>INDEX(FPI!$H$3:$H$138, MATCH("Louisiana"&amp;", "&amp;$B44,FPI!$B$3:$B$138, 0), 0)</f>
        <v>3</v>
      </c>
      <c r="D44" s="73">
        <f>INDEX(Eff!$F$3:$F$138, MATCH("Louisiana"&amp;", "&amp;$B44,Eff!$B$3:$B$138, 0), 0)</f>
        <v>68.599999999999994</v>
      </c>
      <c r="E44" s="73">
        <f>INDEX(Eff!$C$3:$C$138, MATCH("Louisiana"&amp;", "&amp;$B44,Eff!$B$3:$B$138, 0), 0)</f>
        <v>81.099999999999994</v>
      </c>
      <c r="F44" s="73">
        <f>INDEX(Eff!$D$3:$D$138, MATCH("Louisiana"&amp;", "&amp;$B44,Eff!$B$3:$B$138, 0), 0)</f>
        <v>48.7</v>
      </c>
      <c r="G44" s="73">
        <f>INDEX(Eff!$E$3:$E$138, MATCH("Louisiana"&amp;", "&amp;$B44,Eff!$B$3:$B$138, 0), 0)</f>
        <v>39</v>
      </c>
      <c r="H44" s="31">
        <f>INDEX(FEI!$D$1:$D$139, MATCH("Louisiana Lafayette",FEI!$B$1:$B$139, 0), 0)</f>
        <v>0.1</v>
      </c>
      <c r="I44" s="31">
        <f>INDEX(FEI!$E$1:$E$139, MATCH("Louisiana Lafayette",FEI!$B$1:$B$139, 0), 0)</f>
        <v>0.7</v>
      </c>
      <c r="J44" s="31">
        <f>INDEX(FEI!$G$1:$G$139, MATCH("Louisiana Lafayette",FEI!$B$1:$B$139, 0), 0)</f>
        <v>-0.4</v>
      </c>
      <c r="K44" s="71">
        <f>INDEX('Billingsley 130'!$O$2:$O$131, MATCH($A44,'Billingsley 130'!$D$2:$D$131, 0), 0)</f>
        <v>243.214</v>
      </c>
      <c r="L44" s="81">
        <f>((($E44 - MIN($E$4:$E$133)) / (MAX($E$4:$E$133) - MIN($E$4:$E$133))) + (($I44 - MIN($I$4:$I$133)) / (MAX($I$4:$I$133) - MIN($I$4:$I$133)))) / 2</f>
        <v>0.67181445990447086</v>
      </c>
      <c r="M44" s="73">
        <f>((($F44 - MIN($F$4:$F$133)) / (MAX($F$4:$F$133) - MIN($F$4:$F$133))) + (($J44 - MIN($J$4:$J$133)) / (MAX($J$4:$J$133) - MIN($J$4:$J$133)))) / 2</f>
        <v>0.48560903458669002</v>
      </c>
      <c r="N44" s="73">
        <f>($G44 - MIN($G$4:$G$133)) / (MAX($G$4:$G$133) - MIN($G$4:$G$133))</f>
        <v>0.30851063829787234</v>
      </c>
      <c r="O44" s="73">
        <f>($K44 - MIN($K$4:$K$133)) / (MAX($K$4:$K$133) - MIN($K$4:$K$133))</f>
        <v>0.53943060891241412</v>
      </c>
      <c r="P44" s="84">
        <f>(($C44 - MIN($C$4:$C$133)) / (MAX($C$4:$C$133) - MIN($C$4:$C$133)) + ($D44 - MIN($D$4:$D$133)) / (MAX($D$4:$D$133) - MIN($D$4:$D$133)) + ($H44 - MIN($H$4:$H$133)) / (MAX($H$4:$H$133) - MIN($H$4:$H$133))) / 3</f>
        <v>0.59107967418013974</v>
      </c>
      <c r="Q44" s="81">
        <f xml:space="preserve"> ($L44 * (INDEX(PlaysPerGame!$BK$3:$BK$132, MATCH("LA Lafayette",PlaysPerGame!$BC$3:$BC$132, 0), 0) * 0.8))+ ($M44 * (INDEX(PlaysPerGame!$BL$3:$BL$132, MATCH("LA Lafayette",PlaysPerGame!$BC$3:$BC$132, 0), 0) * 0.8)) + ($N44 * (INDEX(PlaysPerGame!$BM$3:$BM$132, MATCH("LA Lafayette",PlaysPerGame!$BC$3:$BC$132, 0), 0) * 0.8)) + ($O44 * 0.1) + ($P44 * 0.1)</f>
        <v>0.56264593156237153</v>
      </c>
      <c r="R44" s="9">
        <f t="shared" si="0"/>
        <v>41</v>
      </c>
      <c r="S44" s="112" t="s">
        <v>485</v>
      </c>
      <c r="U44" s="20"/>
      <c r="V44" s="20"/>
    </row>
    <row r="45" spans="1:22" x14ac:dyDescent="0.2">
      <c r="A45" s="68" t="s">
        <v>42</v>
      </c>
      <c r="B45" s="9" t="s">
        <v>45</v>
      </c>
      <c r="C45" s="72">
        <f>INDEX(FPI!$H$3:$H$138, MATCH($A45&amp;", "&amp;$B45,FPI!$B$3:$B$138, 0), 0)</f>
        <v>4.5999999999999996</v>
      </c>
      <c r="D45" s="73">
        <f>INDEX(Eff!$F$3:$F$138, MATCH($A45&amp;", "&amp;$B45,Eff!$B$3:$B$138, 0), 0)</f>
        <v>63.9</v>
      </c>
      <c r="E45" s="73">
        <f>INDEX(Eff!$C$3:$C$138, MATCH($A45&amp;", "&amp;$B45,Eff!$B$3:$B$138, 0), 0)</f>
        <v>75</v>
      </c>
      <c r="F45" s="73">
        <f>INDEX(Eff!$D$3:$D$138, MATCH($A45&amp;", "&amp;$B45,Eff!$B$3:$B$138, 0), 0)</f>
        <v>53.9</v>
      </c>
      <c r="G45" s="73">
        <f>INDEX(Eff!$E$3:$E$138, MATCH($A45&amp;", "&amp;$B45,Eff!$B$3:$B$138, 0), 0)</f>
        <v>29.2</v>
      </c>
      <c r="H45" s="31">
        <f>INDEX(FEI!$D$1:$D$139, MATCH($A45,FEI!$B$1:$B$139, 0), 0)</f>
        <v>0.19</v>
      </c>
      <c r="I45" s="31">
        <f>INDEX(FEI!$E$1:$E$139, MATCH($A45,FEI!$B$1:$B$139, 0), 0)</f>
        <v>0.36</v>
      </c>
      <c r="J45" s="31">
        <f>INDEX(FEI!$G$1:$G$139, MATCH($A45,FEI!$B$1:$B$139, 0), 0)</f>
        <v>-0.02</v>
      </c>
      <c r="K45" s="71">
        <f>INDEX('Billingsley 130'!$O$2:$O$131, MATCH($A45,'Billingsley 130'!$D$2:$D$131, 0), 0)</f>
        <v>251.92500000000001</v>
      </c>
      <c r="L45" s="81">
        <f>((($E45 - MIN($E$4:$E$133)) / (MAX($E$4:$E$133) - MIN($E$4:$E$133))) + (($I45 - MIN($I$4:$I$133)) / (MAX($I$4:$I$133) - MIN($I$4:$I$133)))) / 2</f>
        <v>0.59238882131308035</v>
      </c>
      <c r="M45" s="73">
        <f>((($F45 - MIN($F$4:$F$133)) / (MAX($F$4:$F$133) - MIN($F$4:$F$133))) + (($J45 - MIN($J$4:$J$133)) / (MAX($J$4:$J$133) - MIN($J$4:$J$133)))) / 2</f>
        <v>0.56782141683256127</v>
      </c>
      <c r="N45" s="73">
        <f>($G45 - MIN($G$4:$G$133)) / (MAX($G$4:$G$133) - MIN($G$4:$G$133))</f>
        <v>0.17819148936170209</v>
      </c>
      <c r="O45" s="73">
        <f>($K45 - MIN($K$4:$K$133)) / (MAX($K$4:$K$133) - MIN($K$4:$K$133))</f>
        <v>0.60814723074617227</v>
      </c>
      <c r="P45" s="84">
        <f>(($C45 - MIN($C$4:$C$133)) / (MAX($C$4:$C$133) - MIN($C$4:$C$133)) + ($D45 - MIN($D$4:$D$133)) / (MAX($D$4:$D$133) - MIN($D$4:$D$133)) + ($H45 - MIN($H$4:$H$133)) / (MAX($H$4:$H$133) - MIN($H$4:$H$133))) / 3</f>
        <v>0.59190532409800845</v>
      </c>
      <c r="Q45" s="81">
        <f xml:space="preserve"> ($L45 * (INDEX(PlaysPerGame!$BK$3:$BK$132, MATCH($A45,PlaysPerGame!$BC$3:$BC$132, 0), 0) * 0.8))+ ($M45 * (INDEX(PlaysPerGame!$BL$3:$BL$132, MATCH($A45,PlaysPerGame!$BC$3:$BC$132, 0), 0) * 0.8)) + ($N45 * (INDEX(PlaysPerGame!$BM$3:$BM$132, MATCH($A45,PlaysPerGame!$BC$3:$BC$132, 0), 0) * 0.8)) + ($O45 * 0.1) + ($P45 * 0.1)</f>
        <v>0.56146318841494114</v>
      </c>
      <c r="R45" s="9">
        <f t="shared" si="0"/>
        <v>42</v>
      </c>
      <c r="S45" s="112" t="s">
        <v>42</v>
      </c>
      <c r="U45" s="20"/>
      <c r="V45" s="20"/>
    </row>
    <row r="46" spans="1:22" x14ac:dyDescent="0.2">
      <c r="A46" s="68" t="s">
        <v>449</v>
      </c>
      <c r="B46" s="9" t="s">
        <v>45</v>
      </c>
      <c r="C46" s="72">
        <f>INDEX(FPI!$H$3:$H$138, MATCH("Washington St"&amp;", "&amp;$B46,FPI!$B$3:$B$138, 0), 0)</f>
        <v>7.5</v>
      </c>
      <c r="D46" s="73">
        <f>INDEX(Eff!$F$3:$F$138, MATCH("Washington St"&amp;", "&amp;$B46,Eff!$B$3:$B$138, 0), 0)</f>
        <v>61.6</v>
      </c>
      <c r="E46" s="73">
        <f>INDEX(Eff!$C$3:$C$138, MATCH("Washington St"&amp;", "&amp;$B46,Eff!$B$3:$B$138, 0), 0)</f>
        <v>84.8</v>
      </c>
      <c r="F46" s="73">
        <f>INDEX(Eff!$D$3:$D$138, MATCH("Washington St"&amp;", "&amp;$B46,Eff!$B$3:$B$138, 0), 0)</f>
        <v>32.5</v>
      </c>
      <c r="G46" s="73">
        <f>INDEX(Eff!$E$3:$E$138, MATCH("Washington St"&amp;", "&amp;$B46,Eff!$B$3:$B$138, 0), 0)</f>
        <v>44.3</v>
      </c>
      <c r="H46" s="31">
        <f>INDEX(FEI!$D$1:$D$139, MATCH($A46,FEI!$B$1:$B$139, 0), 0)</f>
        <v>0.25</v>
      </c>
      <c r="I46" s="31">
        <f>INDEX(FEI!$E$1:$E$139, MATCH($A46,FEI!$B$1:$B$139, 0), 0)</f>
        <v>1</v>
      </c>
      <c r="J46" s="31">
        <f>INDEX(FEI!$G$1:$G$139, MATCH($A46,FEI!$B$1:$B$139, 0), 0)</f>
        <v>-0.56999999999999995</v>
      </c>
      <c r="K46" s="71">
        <f>INDEX('Billingsley 130'!$O$2:$O$131, MATCH($A46,'Billingsley 130'!$D$2:$D$131, 0), 0)</f>
        <v>252.89400000000001</v>
      </c>
      <c r="L46" s="81">
        <f>((($E46 - MIN($E$4:$E$133)) / (MAX($E$4:$E$133) - MIN($E$4:$E$133))) + (($I46 - MIN($I$4:$I$133)) / (MAX($I$4:$I$133) - MIN($I$4:$I$133)))) / 2</f>
        <v>0.73266235500044496</v>
      </c>
      <c r="M46" s="73">
        <f>((($F46 - MIN($F$4:$F$133)) / (MAX($F$4:$F$133) - MIN($F$4:$F$133))) + (($J46 - MIN($J$4:$J$133)) / (MAX($J$4:$J$133) - MIN($J$4:$J$133)))) / 2</f>
        <v>0.3726844530440877</v>
      </c>
      <c r="N46" s="73">
        <f>($G46 - MIN($G$4:$G$133)) / (MAX($G$4:$G$133) - MIN($G$4:$G$133))</f>
        <v>0.3789893617021276</v>
      </c>
      <c r="O46" s="73">
        <f>($K46 - MIN($K$4:$K$133)) / (MAX($K$4:$K$133) - MIN($K$4:$K$133))</f>
        <v>0.61579117593695532</v>
      </c>
      <c r="P46" s="84">
        <f>(($C46 - MIN($C$4:$C$133)) / (MAX($C$4:$C$133) - MIN($C$4:$C$133)) + ($D46 - MIN($D$4:$D$133)) / (MAX($D$4:$D$133) - MIN($D$4:$D$133)) + ($H46 - MIN($H$4:$H$133)) / (MAX($H$4:$H$133) - MIN($H$4:$H$133))) / 3</f>
        <v>0.60513876840293845</v>
      </c>
      <c r="Q46" s="81">
        <f xml:space="preserve"> ($L46 * (INDEX(PlaysPerGame!$BK$3:$BK$132, MATCH("Wash State",PlaysPerGame!$BC$3:$BC$132, 0), 0) * 0.8))+ ($M46 * (INDEX(PlaysPerGame!$BL$3:$BL$132, MATCH("Wash State",PlaysPerGame!$BC$3:$BC$132, 0), 0) * 0.8)) + ($N46 * (INDEX(PlaysPerGame!$BM$3:$BM$132, MATCH("Wash State",PlaysPerGame!$BC$3:$BC$132, 0), 0) * 0.8)) + ($O46 * 0.1) + ($P46 * 0.1)</f>
        <v>0.55701291893284455</v>
      </c>
      <c r="R46" s="9">
        <f t="shared" si="0"/>
        <v>43</v>
      </c>
      <c r="S46" s="112" t="s">
        <v>449</v>
      </c>
      <c r="U46" s="20"/>
      <c r="V46" s="20"/>
    </row>
    <row r="47" spans="1:22" x14ac:dyDescent="0.2">
      <c r="A47" s="68" t="s">
        <v>430</v>
      </c>
      <c r="B47" s="9" t="s">
        <v>762</v>
      </c>
      <c r="C47" s="72">
        <f>INDEX(FPI!$H$3:$H$138, MATCH($A47&amp;", "&amp;$B47,FPI!$B$3:$B$138, 0), 0)</f>
        <v>1.8</v>
      </c>
      <c r="D47" s="73">
        <f>INDEX(Eff!$F$3:$F$138, MATCH($A47&amp;", "&amp;$B47,Eff!$B$3:$B$138, 0), 0)</f>
        <v>67.5</v>
      </c>
      <c r="E47" s="73">
        <f>INDEX(Eff!$C$3:$C$138, MATCH($A47&amp;", "&amp;$B47,Eff!$B$3:$B$138, 0), 0)</f>
        <v>45.2</v>
      </c>
      <c r="F47" s="73">
        <f>INDEX(Eff!$D$3:$D$138, MATCH($A47&amp;", "&amp;$B47,Eff!$B$3:$B$138, 0), 0)</f>
        <v>75.5</v>
      </c>
      <c r="G47" s="73">
        <f>INDEX(Eff!$E$3:$E$138, MATCH($A47&amp;", "&amp;$B47,Eff!$B$3:$B$138, 0), 0)</f>
        <v>66.099999999999994</v>
      </c>
      <c r="H47" s="31">
        <f>INDEX(FEI!$D$1:$D$139, MATCH($A47,FEI!$B$1:$B$139, 0), 0)</f>
        <v>-0.08</v>
      </c>
      <c r="I47" s="31">
        <f>INDEX(FEI!$E$1:$E$139, MATCH($A47,FEI!$B$1:$B$139, 0), 0)</f>
        <v>-0.36</v>
      </c>
      <c r="J47" s="31">
        <f>INDEX(FEI!$G$1:$G$139, MATCH($A47,FEI!$B$1:$B$139, 0), 0)</f>
        <v>0.12</v>
      </c>
      <c r="K47" s="71">
        <f>INDEX('Billingsley 130'!$O$2:$O$131, MATCH($A47,'Billingsley 130'!$D$2:$D$131, 0), 0)</f>
        <v>251.066</v>
      </c>
      <c r="L47" s="81">
        <f>((($E47 - MIN($E$4:$E$133)) / (MAX($E$4:$E$133) - MIN($E$4:$E$133))) + (($I47 - MIN($I$4:$I$133)) / (MAX($I$4:$I$133) - MIN($I$4:$I$133)))) / 2</f>
        <v>0.33153499273148013</v>
      </c>
      <c r="M47" s="73">
        <f>((($F47 - MIN($F$4:$F$133)) / (MAX($F$4:$F$133) - MIN($F$4:$F$133))) + (($J47 - MIN($J$4:$J$133)) / (MAX($J$4:$J$133) - MIN($J$4:$J$133)))) / 2</f>
        <v>0.70614647094209515</v>
      </c>
      <c r="N47" s="73">
        <f>($G47 - MIN($G$4:$G$133)) / (MAX($G$4:$G$133) - MIN($G$4:$G$133))</f>
        <v>0.66888297872340419</v>
      </c>
      <c r="O47" s="73">
        <f>($K47 - MIN($K$4:$K$133)) / (MAX($K$4:$K$133) - MIN($K$4:$K$133))</f>
        <v>0.6013710192715771</v>
      </c>
      <c r="P47" s="84">
        <f>(($C47 - MIN($C$4:$C$133)) / (MAX($C$4:$C$133) - MIN($C$4:$C$133)) + ($D47 - MIN($D$4:$D$133)) / (MAX($D$4:$D$133) - MIN($D$4:$D$133)) + ($H47 - MIN($H$4:$H$133)) / (MAX($H$4:$H$133) - MIN($H$4:$H$133))) / 3</f>
        <v>0.56284961163318792</v>
      </c>
      <c r="Q47" s="81">
        <f xml:space="preserve"> ($L47 * (INDEX(PlaysPerGame!$BK$3:$BK$132, MATCH($A47,PlaysPerGame!$BC$3:$BC$132, 0), 0) * 0.8))+ ($M47 * (INDEX(PlaysPerGame!$BL$3:$BL$132, MATCH($A47,PlaysPerGame!$BC$3:$BC$132, 0), 0) * 0.8)) + ($N47 * (INDEX(PlaysPerGame!$BM$3:$BM$132, MATCH($A47,PlaysPerGame!$BC$3:$BC$132, 0), 0) * 0.8)) + ($O47 * 0.1) + ($P47 * 0.1)</f>
        <v>0.55310796502623127</v>
      </c>
      <c r="R47" s="9">
        <f t="shared" si="0"/>
        <v>44</v>
      </c>
      <c r="S47" s="112" t="s">
        <v>430</v>
      </c>
      <c r="U47" s="20"/>
      <c r="V47" s="20"/>
    </row>
    <row r="48" spans="1:22" x14ac:dyDescent="0.2">
      <c r="A48" s="68" t="s">
        <v>116</v>
      </c>
      <c r="B48" s="9" t="s">
        <v>33</v>
      </c>
      <c r="C48" s="72">
        <f>INDEX(FPI!$H$3:$H$138, MATCH("S Carolina"&amp;", "&amp;$B48,FPI!$B$3:$B$138, 0), 0)</f>
        <v>10.199999999999999</v>
      </c>
      <c r="D48" s="73">
        <f>INDEX(Eff!$F$3:$F$138, MATCH("S Carolina"&amp;", "&amp;$B48,Eff!$B$3:$B$138, 0), 0)</f>
        <v>64.3</v>
      </c>
      <c r="E48" s="73">
        <f>INDEX(Eff!$C$3:$C$138, MATCH("S Carolina"&amp;", "&amp;$B48,Eff!$B$3:$B$138, 0), 0)</f>
        <v>43.5</v>
      </c>
      <c r="F48" s="73">
        <f>INDEX(Eff!$D$3:$D$138, MATCH("S Carolina"&amp;", "&amp;$B48,Eff!$B$3:$B$138, 0), 0)</f>
        <v>76.400000000000006</v>
      </c>
      <c r="G48" s="73">
        <f>INDEX(Eff!$E$3:$E$138, MATCH("S Carolina"&amp;", "&amp;$B48,Eff!$B$3:$B$138, 0), 0)</f>
        <v>56.3</v>
      </c>
      <c r="H48" s="31">
        <f>INDEX(FEI!$D$1:$D$139, MATCH($A48,FEI!$B$1:$B$139, 0), 0)</f>
        <v>0.17</v>
      </c>
      <c r="I48" s="31">
        <f>INDEX(FEI!$E$1:$E$139, MATCH($A48,FEI!$B$1:$B$139, 0), 0)</f>
        <v>-0.3</v>
      </c>
      <c r="J48" s="31">
        <f>INDEX(FEI!$G$1:$G$139, MATCH($A48,FEI!$B$1:$B$139, 0), 0)</f>
        <v>0.56999999999999995</v>
      </c>
      <c r="K48" s="71">
        <f>INDEX('Billingsley 130'!$O$2:$O$131, MATCH($A48,'Billingsley 130'!$D$2:$D$131, 0), 0)</f>
        <v>237.399</v>
      </c>
      <c r="L48" s="81">
        <f>((($E48 - MIN($E$4:$E$133)) / (MAX($E$4:$E$133) - MIN($E$4:$E$133))) + (($I48 - MIN($I$4:$I$133)) / (MAX($I$4:$I$133) - MIN($I$4:$I$133)))) / 2</f>
        <v>0.33031269469249713</v>
      </c>
      <c r="M48" s="73">
        <f>((($F48 - MIN($F$4:$F$133)) / (MAX($F$4:$F$133) - MIN($F$4:$F$133))) + (($J48 - MIN($J$4:$J$133)) / (MAX($J$4:$J$133) - MIN($J$4:$J$133)))) / 2</f>
        <v>0.77464541975974754</v>
      </c>
      <c r="N48" s="73">
        <f>($G48 - MIN($G$4:$G$133)) / (MAX($G$4:$G$133) - MIN($G$4:$G$133))</f>
        <v>0.53856382978723405</v>
      </c>
      <c r="O48" s="73">
        <f>($K48 - MIN($K$4:$K$133)) / (MAX($K$4:$K$133) - MIN($K$4:$K$133))</f>
        <v>0.49355904927938665</v>
      </c>
      <c r="P48" s="84">
        <f>(($C48 - MIN($C$4:$C$133)) / (MAX($C$4:$C$133) - MIN($C$4:$C$133)) + ($D48 - MIN($D$4:$D$133)) / (MAX($D$4:$D$133) - MIN($D$4:$D$133)) + ($H48 - MIN($H$4:$H$133)) / (MAX($H$4:$H$133) - MIN($H$4:$H$133))) / 3</f>
        <v>0.62105023996288811</v>
      </c>
      <c r="Q48" s="81">
        <f xml:space="preserve"> ($L48 * (INDEX(PlaysPerGame!$BK$3:$BK$132, MATCH("S Carolina",PlaysPerGame!$BC$3:$BC$132, 0), 0) * 0.8))+ ($M48 * (INDEX(PlaysPerGame!$BL$3:$BL$132, MATCH("S Carolina",PlaysPerGame!$BC$3:$BC$132, 0), 0) * 0.8)) + ($N48 * (INDEX(PlaysPerGame!$BM$3:$BM$132, MATCH("S Carolina",PlaysPerGame!$BC$3:$BC$132, 0), 0) * 0.8)) + ($O48 * 0.1) + ($P48 * 0.1)</f>
        <v>0.55293700940070867</v>
      </c>
      <c r="R48" s="9">
        <f t="shared" si="0"/>
        <v>45</v>
      </c>
      <c r="S48" s="112" t="s">
        <v>116</v>
      </c>
      <c r="U48" s="20"/>
      <c r="V48" s="20"/>
    </row>
    <row r="49" spans="1:22" x14ac:dyDescent="0.2">
      <c r="A49" s="68" t="s">
        <v>326</v>
      </c>
      <c r="B49" s="9" t="s">
        <v>87</v>
      </c>
      <c r="C49" s="72">
        <f>INDEX(FPI!$H$3:$H$138, MATCH($A49&amp;", "&amp;$B49,FPI!$B$3:$B$138, 0), 0)</f>
        <v>2.2999999999999998</v>
      </c>
      <c r="D49" s="73">
        <f>INDEX(Eff!$F$3:$F$138, MATCH($A49&amp;", "&amp;$B49,Eff!$B$3:$B$138, 0), 0)</f>
        <v>58.5</v>
      </c>
      <c r="E49" s="73">
        <f>INDEX(Eff!$C$3:$C$138, MATCH($A49&amp;", "&amp;$B49,Eff!$B$3:$B$138, 0), 0)</f>
        <v>46.1</v>
      </c>
      <c r="F49" s="73">
        <f>INDEX(Eff!$D$3:$D$138, MATCH($A49&amp;", "&amp;$B49,Eff!$B$3:$B$138, 0), 0)</f>
        <v>75</v>
      </c>
      <c r="G49" s="73">
        <f>INDEX(Eff!$E$3:$E$138, MATCH($A49&amp;", "&amp;$B49,Eff!$B$3:$B$138, 0), 0)</f>
        <v>31</v>
      </c>
      <c r="H49" s="31">
        <f>INDEX(FEI!$D$1:$D$139, MATCH($A49,FEI!$B$1:$B$139, 0), 0)</f>
        <v>0.24</v>
      </c>
      <c r="I49" s="31">
        <f>INDEX(FEI!$E$1:$E$139, MATCH($A49,FEI!$B$1:$B$139, 0), 0)</f>
        <v>-0.11</v>
      </c>
      <c r="J49" s="31">
        <f>INDEX(FEI!$G$1:$G$139, MATCH($A49,FEI!$B$1:$B$139, 0), 0)</f>
        <v>0.74</v>
      </c>
      <c r="K49" s="71">
        <f>INDEX('Billingsley 130'!$O$2:$O$131, MATCH($A49,'Billingsley 130'!$D$2:$D$131, 0), 0)</f>
        <v>255.994</v>
      </c>
      <c r="L49" s="81">
        <f>((($E49 - MIN($E$4:$E$133)) / (MAX($E$4:$E$133) - MIN($E$4:$E$133))) + (($I49 - MIN($I$4:$I$133)) / (MAX($I$4:$I$133) - MIN($I$4:$I$133)))) / 2</f>
        <v>0.37025840329901799</v>
      </c>
      <c r="M49" s="73">
        <f>((($F49 - MIN($F$4:$F$133)) / (MAX($F$4:$F$133) - MIN($F$4:$F$133))) + (($J49 - MIN($J$4:$J$133)) / (MAX($J$4:$J$133) - MIN($J$4:$J$133)))) / 2</f>
        <v>0.79097285530893591</v>
      </c>
      <c r="N49" s="73">
        <f>($G49 - MIN($G$4:$G$133)) / (MAX($G$4:$G$133) - MIN($G$4:$G$133))</f>
        <v>0.20212765957446807</v>
      </c>
      <c r="O49" s="73">
        <f>($K49 - MIN($K$4:$K$133)) / (MAX($K$4:$K$133) - MIN($K$4:$K$133))</f>
        <v>0.64024548975679796</v>
      </c>
      <c r="P49" s="84">
        <f>(($C49 - MIN($C$4:$C$133)) / (MAX($C$4:$C$133) - MIN($C$4:$C$133)) + ($D49 - MIN($D$4:$D$133)) / (MAX($D$4:$D$133) - MIN($D$4:$D$133)) + ($H49 - MIN($H$4:$H$133)) / (MAX($H$4:$H$133) - MIN($H$4:$H$133))) / 3</f>
        <v>0.56555868950754684</v>
      </c>
      <c r="Q49" s="81">
        <f xml:space="preserve"> ($L49 * (INDEX(PlaysPerGame!$BK$3:$BK$132, MATCH($A49,PlaysPerGame!$BC$3:$BC$132, 0), 0) * 0.8))+ ($M49 * (INDEX(PlaysPerGame!$BL$3:$BL$132, MATCH($A49,PlaysPerGame!$BC$3:$BC$132, 0), 0) * 0.8)) + ($N49 * (INDEX(PlaysPerGame!$BM$3:$BM$132, MATCH($A49,PlaysPerGame!$BC$3:$BC$132, 0), 0) * 0.8)) + ($O49 * 0.1) + ($P49 * 0.1)</f>
        <v>0.54962106421583923</v>
      </c>
      <c r="R49" s="9">
        <f t="shared" si="0"/>
        <v>46</v>
      </c>
      <c r="S49" s="112" t="s">
        <v>326</v>
      </c>
      <c r="U49" s="20"/>
      <c r="V49" s="20"/>
    </row>
    <row r="50" spans="1:22" x14ac:dyDescent="0.2">
      <c r="A50" s="68" t="s">
        <v>38</v>
      </c>
      <c r="B50" s="9" t="s">
        <v>87</v>
      </c>
      <c r="C50" s="72">
        <f>INDEX(FPI!$H$3:$H$138, MATCH($A50&amp;", "&amp;$B50,FPI!$B$3:$B$138, 0), 0)</f>
        <v>5.5</v>
      </c>
      <c r="D50" s="73">
        <f>INDEX(Eff!$F$3:$F$138, MATCH($A50&amp;", "&amp;$B50,Eff!$B$3:$B$138, 0), 0)</f>
        <v>61.2</v>
      </c>
      <c r="E50" s="73">
        <f>INDEX(Eff!$C$3:$C$138, MATCH($A50&amp;", "&amp;$B50,Eff!$B$3:$B$138, 0), 0)</f>
        <v>57.8</v>
      </c>
      <c r="F50" s="73">
        <f>INDEX(Eff!$D$3:$D$138, MATCH($A50&amp;", "&amp;$B50,Eff!$B$3:$B$138, 0), 0)</f>
        <v>64.599999999999994</v>
      </c>
      <c r="G50" s="73">
        <f>INDEX(Eff!$E$3:$E$138, MATCH($A50&amp;", "&amp;$B50,Eff!$B$3:$B$138, 0), 0)</f>
        <v>39.200000000000003</v>
      </c>
      <c r="H50" s="31">
        <f>INDEX(FEI!$D$1:$D$139, MATCH($A50,FEI!$B$1:$B$139, 0), 0)</f>
        <v>0.27</v>
      </c>
      <c r="I50" s="31">
        <f>INDEX(FEI!$E$1:$E$139, MATCH($A50,FEI!$B$1:$B$139, 0), 0)</f>
        <v>0.33</v>
      </c>
      <c r="J50" s="31">
        <f>INDEX(FEI!$G$1:$G$139, MATCH($A50,FEI!$B$1:$B$139, 0), 0)</f>
        <v>0.2</v>
      </c>
      <c r="K50" s="71">
        <f>INDEX('Billingsley 130'!$O$2:$O$131, MATCH($A50,'Billingsley 130'!$D$2:$D$131, 0), 0)</f>
        <v>242.10300000000001</v>
      </c>
      <c r="L50" s="81">
        <f>((($E50 - MIN($E$4:$E$133)) / (MAX($E$4:$E$133) - MIN($E$4:$E$133))) + (($I50 - MIN($I$4:$I$133)) / (MAX($I$4:$I$133) - MIN($I$4:$I$133)))) / 2</f>
        <v>0.49393301094728098</v>
      </c>
      <c r="M50" s="73">
        <f>((($F50 - MIN($F$4:$F$133)) / (MAX($F$4:$F$133) - MIN($F$4:$F$133))) + (($J50 - MIN($J$4:$J$133)) / (MAX($J$4:$J$133) - MIN($J$4:$J$133)))) / 2</f>
        <v>0.65762153714487714</v>
      </c>
      <c r="N50" s="73">
        <f>($G50 - MIN($G$4:$G$133)) / (MAX($G$4:$G$133) - MIN($G$4:$G$133))</f>
        <v>0.31117021276595747</v>
      </c>
      <c r="O50" s="73">
        <f>($K50 - MIN($K$4:$K$133)) / (MAX($K$4:$K$133) - MIN($K$4:$K$133))</f>
        <v>0.53066649837891577</v>
      </c>
      <c r="P50" s="84">
        <f>(($C50 - MIN($C$4:$C$133)) / (MAX($C$4:$C$133) - MIN($C$4:$C$133)) + ($D50 - MIN($D$4:$D$133)) / (MAX($D$4:$D$133) - MIN($D$4:$D$133)) + ($H50 - MIN($H$4:$H$133)) / (MAX($H$4:$H$133) - MIN($H$4:$H$133))) / 3</f>
        <v>0.59510213279283575</v>
      </c>
      <c r="Q50" s="81">
        <f xml:space="preserve"> ($L50 * (INDEX(PlaysPerGame!$BK$3:$BK$132, MATCH("N Carolina",PlaysPerGame!$BC$3:$BC$132, 0), 0) * 0.8))+ ($M50 * (INDEX(PlaysPerGame!$BL$3:$BL$132, MATCH("N Carolina",PlaysPerGame!$BC$3:$BC$132, 0), 0) * 0.8)) + ($N50 * (INDEX(PlaysPerGame!$BM$3:$BM$132, MATCH("N Carolina",PlaysPerGame!$BC$3:$BC$132, 0), 0) * 0.8)) + ($O50 * 0.1) + ($P50 * 0.1)</f>
        <v>0.54892897898843307</v>
      </c>
      <c r="R50" s="9">
        <f t="shared" si="0"/>
        <v>47</v>
      </c>
      <c r="S50" s="112" t="s">
        <v>38</v>
      </c>
    </row>
    <row r="51" spans="1:22" x14ac:dyDescent="0.2">
      <c r="A51" s="68" t="s">
        <v>227</v>
      </c>
      <c r="B51" s="9" t="s">
        <v>176</v>
      </c>
      <c r="C51" s="72">
        <f>INDEX(FPI!$H$3:$H$138, MATCH($A51&amp;", "&amp;$B51,FPI!$B$3:$B$138, 0), 0)</f>
        <v>4.9000000000000004</v>
      </c>
      <c r="D51" s="73">
        <f>INDEX(Eff!$F$3:$F$138, MATCH($A51&amp;", "&amp;$B51,Eff!$B$3:$B$138, 0), 0)</f>
        <v>69.599999999999994</v>
      </c>
      <c r="E51" s="73">
        <f>INDEX(Eff!$C$3:$C$138, MATCH($A51&amp;", "&amp;$B51,Eff!$B$3:$B$138, 0), 0)</f>
        <v>51.4</v>
      </c>
      <c r="F51" s="73">
        <f>INDEX(Eff!$D$3:$D$138, MATCH($A51&amp;", "&amp;$B51,Eff!$B$3:$B$138, 0), 0)</f>
        <v>63.1</v>
      </c>
      <c r="G51" s="73">
        <f>INDEX(Eff!$E$3:$E$138, MATCH($A51&amp;", "&amp;$B51,Eff!$B$3:$B$138, 0), 0)</f>
        <v>91</v>
      </c>
      <c r="H51" s="31">
        <f>INDEX(FEI!$D$1:$D$139, MATCH($A51,FEI!$B$1:$B$139, 0), 0)</f>
        <v>-0.14000000000000001</v>
      </c>
      <c r="I51" s="31">
        <f>INDEX(FEI!$E$1:$E$139, MATCH($A51,FEI!$B$1:$B$139, 0), 0)</f>
        <v>-0.01</v>
      </c>
      <c r="J51" s="31">
        <f>INDEX(FEI!$G$1:$G$139, MATCH($A51,FEI!$B$1:$B$139, 0), 0)</f>
        <v>-0.25</v>
      </c>
      <c r="K51" s="71">
        <f>INDEX('Billingsley 130'!$O$2:$O$131, MATCH($A51,'Billingsley 130'!$D$2:$D$131, 0), 0)</f>
        <v>239.83199999999999</v>
      </c>
      <c r="L51" s="81">
        <f>((($E51 - MIN($E$4:$E$133)) / (MAX($E$4:$E$133) - MIN($E$4:$E$133))) + (($I51 - MIN($I$4:$I$133)) / (MAX($I$4:$I$133) - MIN($I$4:$I$133)))) / 2</f>
        <v>0.41286083009463903</v>
      </c>
      <c r="M51" s="73">
        <f>((($F51 - MIN($F$4:$F$133)) / (MAX($F$4:$F$133) - MIN($F$4:$F$133))) + (($J51 - MIN($J$4:$J$133)) / (MAX($J$4:$J$133) - MIN($J$4:$J$133)))) / 2</f>
        <v>0.58582950380472198</v>
      </c>
      <c r="N51" s="73">
        <f>($G51 - MIN($G$4:$G$133)) / (MAX($G$4:$G$133) - MIN($G$4:$G$133))</f>
        <v>1</v>
      </c>
      <c r="O51" s="73">
        <f>($K51 - MIN($K$4:$K$133)) / (MAX($K$4:$K$133) - MIN($K$4:$K$133))</f>
        <v>0.51275174138379864</v>
      </c>
      <c r="P51" s="84">
        <f>(($C51 - MIN($C$4:$C$133)) / (MAX($C$4:$C$133) - MIN($C$4:$C$133)) + ($D51 - MIN($D$4:$D$133)) / (MAX($D$4:$D$133) - MIN($D$4:$D$133)) + ($H51 - MIN($H$4:$H$133)) / (MAX($H$4:$H$133) - MIN($H$4:$H$133))) / 3</f>
        <v>0.5807548349154793</v>
      </c>
      <c r="Q51" s="81">
        <f xml:space="preserve"> ($L51 * (INDEX(PlaysPerGame!$BK$3:$BK$132, MATCH($A51,PlaysPerGame!$BC$3:$BC$132, 0), 0) * 0.8))+ ($M51 * (INDEX(PlaysPerGame!$BL$3:$BL$132, MATCH($A51,PlaysPerGame!$BC$3:$BC$132, 0), 0) * 0.8)) + ($N51 * (INDEX(PlaysPerGame!$BM$3:$BM$132, MATCH($A51,PlaysPerGame!$BC$3:$BC$132, 0), 0) * 0.8)) + ($O51 * 0.1) + ($P51 * 0.1)</f>
        <v>0.54500341489325421</v>
      </c>
      <c r="R51" s="9">
        <f t="shared" si="0"/>
        <v>48</v>
      </c>
      <c r="S51" s="112" t="s">
        <v>227</v>
      </c>
    </row>
    <row r="52" spans="1:22" x14ac:dyDescent="0.2">
      <c r="A52" s="68" t="s">
        <v>171</v>
      </c>
      <c r="B52" s="9" t="s">
        <v>113</v>
      </c>
      <c r="C52" s="72">
        <f>INDEX(FPI!$H$3:$H$138, MATCH($A52&amp;", "&amp;$B52,FPI!$B$3:$B$138, 0), 0)</f>
        <v>0.6</v>
      </c>
      <c r="D52" s="73">
        <f>INDEX(Eff!$F$3:$F$138, MATCH($A52&amp;", "&amp;$B52,Eff!$B$3:$B$138, 0), 0)</f>
        <v>65.5</v>
      </c>
      <c r="E52" s="73">
        <f>INDEX(Eff!$C$3:$C$138, MATCH($A52&amp;", "&amp;$B52,Eff!$B$3:$B$138, 0), 0)</f>
        <v>69.599999999999994</v>
      </c>
      <c r="F52" s="73">
        <f>INDEX(Eff!$D$3:$D$138, MATCH($A52&amp;", "&amp;$B52,Eff!$B$3:$B$138, 0), 0)</f>
        <v>49.1</v>
      </c>
      <c r="G52" s="73">
        <f>INDEX(Eff!$E$3:$E$138, MATCH($A52&amp;", "&amp;$B52,Eff!$B$3:$B$138, 0), 0)</f>
        <v>69.3</v>
      </c>
      <c r="H52" s="31">
        <f>INDEX(FEI!$D$1:$D$139, MATCH($A52,FEI!$B$1:$B$139, 0), 0)</f>
        <v>0.11</v>
      </c>
      <c r="I52" s="31">
        <f>INDEX(FEI!$E$1:$E$139, MATCH($A52,FEI!$B$1:$B$139, 0), 0)</f>
        <v>0.71</v>
      </c>
      <c r="J52" s="31">
        <f>INDEX(FEI!$G$1:$G$139, MATCH($A52,FEI!$B$1:$B$139, 0), 0)</f>
        <v>-0.46</v>
      </c>
      <c r="K52" s="71">
        <f>INDEX('Billingsley 130'!$O$2:$O$131, MATCH($A52,'Billingsley 130'!$D$2:$D$131, 0), 0)</f>
        <v>228.41</v>
      </c>
      <c r="L52" s="81">
        <f>((($E52 - MIN($E$4:$E$133)) / (MAX($E$4:$E$133) - MIN($E$4:$E$133))) + (($I52 - MIN($I$4:$I$133)) / (MAX($I$4:$I$133) - MIN($I$4:$I$133)))) / 2</f>
        <v>0.61004835790785295</v>
      </c>
      <c r="M52" s="73">
        <f>((($F52 - MIN($F$4:$F$133)) / (MAX($F$4:$F$133) - MIN($F$4:$F$133))) + (($J52 - MIN($J$4:$J$133)) / (MAX($J$4:$J$133) - MIN($J$4:$J$133)))) / 2</f>
        <v>0.4793298479971721</v>
      </c>
      <c r="N52" s="73">
        <f>($G52 - MIN($G$4:$G$133)) / (MAX($G$4:$G$133) - MIN($G$4:$G$133))</f>
        <v>0.71143617021276595</v>
      </c>
      <c r="O52" s="73">
        <f>($K52 - MIN($K$4:$K$133)) / (MAX($K$4:$K$133) - MIN($K$4:$K$133))</f>
        <v>0.42264942769017178</v>
      </c>
      <c r="P52" s="84">
        <f>(($C52 - MIN($C$4:$C$133)) / (MAX($C$4:$C$133) - MIN($C$4:$C$133)) + ($D52 - MIN($D$4:$D$133)) / (MAX($D$4:$D$133) - MIN($D$4:$D$133)) + ($H52 - MIN($H$4:$H$133)) / (MAX($H$4:$H$133) - MIN($H$4:$H$133))) / 3</f>
        <v>0.56835759902249572</v>
      </c>
      <c r="Q52" s="81">
        <f xml:space="preserve"> ($L52 * (INDEX(PlaysPerGame!$BK$3:$BK$132, MATCH($A52,PlaysPerGame!$BC$3:$BC$132, 0), 0) * 0.8))+ ($M52 * (INDEX(PlaysPerGame!$BL$3:$BL$132, MATCH($A52,PlaysPerGame!$BC$3:$BC$132, 0), 0) * 0.8)) + ($N52 * (INDEX(PlaysPerGame!$BM$3:$BM$132, MATCH($A52,PlaysPerGame!$BC$3:$BC$132, 0), 0) * 0.8)) + ($O52 * 0.1) + ($P52 * 0.1)</f>
        <v>0.54289559308728608</v>
      </c>
      <c r="R52" s="9">
        <f t="shared" si="0"/>
        <v>49</v>
      </c>
      <c r="S52" s="112" t="s">
        <v>171</v>
      </c>
    </row>
    <row r="53" spans="1:22" x14ac:dyDescent="0.2">
      <c r="A53" s="68" t="s">
        <v>381</v>
      </c>
      <c r="B53" s="9" t="s">
        <v>75</v>
      </c>
      <c r="C53" s="72">
        <f>INDEX(FPI!$H$3:$H$138, MATCH($A53&amp;", "&amp;$B53,FPI!$B$3:$B$138, 0), 0)</f>
        <v>3.4</v>
      </c>
      <c r="D53" s="73">
        <f>INDEX(Eff!$F$3:$F$138, MATCH($A53&amp;", "&amp;$B53,Eff!$B$3:$B$138, 0), 0)</f>
        <v>64.099999999999994</v>
      </c>
      <c r="E53" s="73">
        <f>INDEX(Eff!$C$3:$C$138, MATCH($A53&amp;", "&amp;$B53,Eff!$B$3:$B$138, 0), 0)</f>
        <v>48.3</v>
      </c>
      <c r="F53" s="73">
        <f>INDEX(Eff!$D$3:$D$138, MATCH($A53&amp;", "&amp;$B53,Eff!$B$3:$B$138, 0), 0)</f>
        <v>70.599999999999994</v>
      </c>
      <c r="G53" s="73">
        <f>INDEX(Eff!$E$3:$E$138, MATCH($A53&amp;", "&amp;$B53,Eff!$B$3:$B$138, 0), 0)</f>
        <v>63.4</v>
      </c>
      <c r="H53" s="31">
        <f>INDEX(FEI!$D$1:$D$139, MATCH($A53,FEI!$B$1:$B$139, 0), 0)</f>
        <v>-0.06</v>
      </c>
      <c r="I53" s="31">
        <f>INDEX(FEI!$E$1:$E$139, MATCH($A53,FEI!$B$1:$B$139, 0), 0)</f>
        <v>0.13</v>
      </c>
      <c r="J53" s="31">
        <f>INDEX(FEI!$G$1:$G$139, MATCH($A53,FEI!$B$1:$B$139, 0), 0)</f>
        <v>-0.28999999999999998</v>
      </c>
      <c r="K53" s="71">
        <f>INDEX('Billingsley 130'!$O$2:$O$131, MATCH($A53,'Billingsley 130'!$D$2:$D$131, 0), 0)</f>
        <v>245.94800000000001</v>
      </c>
      <c r="L53" s="81">
        <f>((($E53 - MIN($E$4:$E$133)) / (MAX($E$4:$E$133) - MIN($E$4:$E$133))) + (($I53 - MIN($I$4:$I$133)) / (MAX($I$4:$I$133) - MIN($I$4:$I$133)))) / 2</f>
        <v>0.4147654789806271</v>
      </c>
      <c r="M53" s="73">
        <f>((($F53 - MIN($F$4:$F$133)) / (MAX($F$4:$F$133) - MIN($F$4:$F$133))) + (($J53 - MIN($J$4:$J$133)) / (MAX($J$4:$J$133) - MIN($J$4:$J$133)))) / 2</f>
        <v>0.62134334282188197</v>
      </c>
      <c r="N53" s="73">
        <f>($G53 - MIN($G$4:$G$133)) / (MAX($G$4:$G$133) - MIN($G$4:$G$133))</f>
        <v>0.63297872340425521</v>
      </c>
      <c r="O53" s="73">
        <f>($K53 - MIN($K$4:$K$133)) / (MAX($K$4:$K$133) - MIN($K$4:$K$133))</f>
        <v>0.56099773600384972</v>
      </c>
      <c r="P53" s="84">
        <f>(($C53 - MIN($C$4:$C$133)) / (MAX($C$4:$C$133) - MIN($C$4:$C$133)) + ($D53 - MIN($D$4:$D$133)) / (MAX($D$4:$D$133) - MIN($D$4:$D$133)) + ($H53 - MIN($H$4:$H$133)) / (MAX($H$4:$H$133) - MIN($H$4:$H$133))) / 3</f>
        <v>0.56129426371675717</v>
      </c>
      <c r="Q53" s="81">
        <f xml:space="preserve"> ($L53 * (INDEX(PlaysPerGame!$BK$3:$BK$132, MATCH($A53,PlaysPerGame!$BC$3:$BC$132, 0), 0) * 0.8))+ ($M53 * (INDEX(PlaysPerGame!$BL$3:$BL$132, MATCH($A53,PlaysPerGame!$BC$3:$BC$132, 0), 0) * 0.8)) + ($N53 * (INDEX(PlaysPerGame!$BM$3:$BM$132, MATCH($A53,PlaysPerGame!$BC$3:$BC$132, 0), 0) * 0.8)) + ($O53 * 0.1) + ($P53 * 0.1)</f>
        <v>0.53598030291603416</v>
      </c>
      <c r="R53" s="9">
        <f t="shared" si="0"/>
        <v>50</v>
      </c>
      <c r="S53" s="112" t="s">
        <v>381</v>
      </c>
    </row>
    <row r="54" spans="1:22" x14ac:dyDescent="0.2">
      <c r="A54" s="68" t="s">
        <v>262</v>
      </c>
      <c r="B54" s="9" t="s">
        <v>113</v>
      </c>
      <c r="C54" s="72">
        <f>INDEX(FPI!$H$3:$H$138, MATCH($A54&amp;", "&amp;$B54,FPI!$B$3:$B$138, 0), 0)</f>
        <v>-3</v>
      </c>
      <c r="D54" s="73">
        <f>INDEX(Eff!$F$3:$F$138, MATCH($A54&amp;", "&amp;$B54,Eff!$B$3:$B$138, 0), 0)</f>
        <v>59.7</v>
      </c>
      <c r="E54" s="73">
        <f>INDEX(Eff!$C$3:$C$138, MATCH($A54&amp;", "&amp;$B54,Eff!$B$3:$B$138, 0), 0)</f>
        <v>67</v>
      </c>
      <c r="F54" s="73">
        <f>INDEX(Eff!$D$3:$D$138, MATCH($A54&amp;", "&amp;$B54,Eff!$B$3:$B$138, 0), 0)</f>
        <v>48.5</v>
      </c>
      <c r="G54" s="73">
        <f>INDEX(Eff!$E$3:$E$138, MATCH($A54&amp;", "&amp;$B54,Eff!$B$3:$B$138, 0), 0)</f>
        <v>43.6</v>
      </c>
      <c r="H54" s="31">
        <f>INDEX(FEI!$D$1:$D$139, MATCH($A54,FEI!$B$1:$B$139, 0), 0)</f>
        <v>0.21</v>
      </c>
      <c r="I54" s="31">
        <f>INDEX(FEI!$E$1:$E$139, MATCH($A54,FEI!$B$1:$B$139, 0), 0)</f>
        <v>0.68</v>
      </c>
      <c r="J54" s="31">
        <f>INDEX(FEI!$G$1:$G$139, MATCH($A54,FEI!$B$1:$B$139, 0), 0)</f>
        <v>-0.04</v>
      </c>
      <c r="K54" s="71">
        <f>INDEX('Billingsley 130'!$O$2:$O$131, MATCH($A54,'Billingsley 130'!$D$2:$D$131, 0), 0)</f>
        <v>222.49299999999999</v>
      </c>
      <c r="L54" s="81">
        <f>((($E54 - MIN($E$4:$E$133)) / (MAX($E$4:$E$133) - MIN($E$4:$E$133))) + (($I54 - MIN($I$4:$I$133)) / (MAX($I$4:$I$133) - MIN($I$4:$I$133)))) / 2</f>
        <v>0.59172427092295377</v>
      </c>
      <c r="M54" s="73">
        <f>((($F54 - MIN($F$4:$F$133)) / (MAX($F$4:$F$133) - MIN($F$4:$F$133))) + (($J54 - MIN($J$4:$J$133)) / (MAX($J$4:$J$133) - MIN($J$4:$J$133)))) / 2</f>
        <v>0.53535879737297432</v>
      </c>
      <c r="N54" s="73">
        <f>($G54 - MIN($G$4:$G$133)) / (MAX($G$4:$G$133) - MIN($G$4:$G$133))</f>
        <v>0.36968085106382981</v>
      </c>
      <c r="O54" s="73">
        <f>($K54 - MIN($K$4:$K$133)) / (MAX($K$4:$K$133) - MIN($K$4:$K$133))</f>
        <v>0.3759732422475881</v>
      </c>
      <c r="P54" s="84">
        <f>(($C54 - MIN($C$4:$C$133)) / (MAX($C$4:$C$133) - MIN($C$4:$C$133)) + ($D54 - MIN($D$4:$D$133)) / (MAX($D$4:$D$133) - MIN($D$4:$D$133)) + ($H54 - MIN($H$4:$H$133)) / (MAX($H$4:$H$133) - MIN($H$4:$H$133))) / 3</f>
        <v>0.5386838397364081</v>
      </c>
      <c r="Q54" s="81">
        <f xml:space="preserve"> ($L54 * (INDEX(PlaysPerGame!$BK$3:$BK$132, MATCH($A54,PlaysPerGame!$BC$3:$BC$132, 0), 0) * 0.8))+ ($M54 * (INDEX(PlaysPerGame!$BL$3:$BL$132, MATCH($A54,PlaysPerGame!$BC$3:$BC$132, 0), 0) * 0.8)) + ($N54 * (INDEX(PlaysPerGame!$BM$3:$BM$132, MATCH($A54,PlaysPerGame!$BC$3:$BC$132, 0), 0) * 0.8)) + ($O54 * 0.1) + ($P54 * 0.1)</f>
        <v>0.53155725659810027</v>
      </c>
      <c r="R54" s="9">
        <f t="shared" si="0"/>
        <v>51</v>
      </c>
      <c r="S54" s="112" t="s">
        <v>262</v>
      </c>
    </row>
    <row r="55" spans="1:22" x14ac:dyDescent="0.2">
      <c r="A55" s="68" t="s">
        <v>19</v>
      </c>
      <c r="B55" s="9" t="s">
        <v>762</v>
      </c>
      <c r="C55" s="72">
        <f>INDEX(FPI!$H$3:$H$138, MATCH($A55&amp;", "&amp;$B55,FPI!$B$3:$B$138, 0), 0)</f>
        <v>0.4</v>
      </c>
      <c r="D55" s="73">
        <f>INDEX(Eff!$F$3:$F$138, MATCH($A55&amp;", "&amp;$B55,Eff!$B$3:$B$138, 0), 0)</f>
        <v>66.2</v>
      </c>
      <c r="E55" s="73">
        <f>INDEX(Eff!$C$3:$C$138, MATCH($A55&amp;", "&amp;$B55,Eff!$B$3:$B$138, 0), 0)</f>
        <v>61.8</v>
      </c>
      <c r="F55" s="73">
        <f>INDEX(Eff!$D$3:$D$138, MATCH($A55&amp;", "&amp;$B55,Eff!$B$3:$B$138, 0), 0)</f>
        <v>57.6</v>
      </c>
      <c r="G55" s="73">
        <f>INDEX(Eff!$E$3:$E$138, MATCH($A55&amp;", "&amp;$B55,Eff!$B$3:$B$138, 0), 0)</f>
        <v>71.8</v>
      </c>
      <c r="H55" s="31">
        <f>INDEX(FEI!$D$1:$D$139, MATCH($A55,FEI!$B$1:$B$139, 0), 0)</f>
        <v>0.11</v>
      </c>
      <c r="I55" s="31">
        <f>INDEX(FEI!$E$1:$E$139, MATCH($A55,FEI!$B$1:$B$139, 0), 0)</f>
        <v>0.25</v>
      </c>
      <c r="J55" s="31">
        <f>INDEX(FEI!$G$1:$G$139, MATCH($A55,FEI!$B$1:$B$139, 0), 0)</f>
        <v>-0.19</v>
      </c>
      <c r="K55" s="71">
        <f>INDEX('Billingsley 130'!$O$2:$O$131, MATCH($A55,'Billingsley 130'!$D$2:$D$131, 0), 0)</f>
        <v>221.32300000000001</v>
      </c>
      <c r="L55" s="81">
        <f>((($E55 - MIN($E$4:$E$133)) / (MAX($E$4:$E$133) - MIN($E$4:$E$133))) + (($I55 - MIN($I$4:$I$133)) / (MAX($I$4:$I$133) - MIN($I$4:$I$133)))) / 2</f>
        <v>0.50507609695315514</v>
      </c>
      <c r="M55" s="73">
        <f>((($F55 - MIN($F$4:$F$133)) / (MAX($F$4:$F$133) - MIN($F$4:$F$133))) + (($J55 - MIN($J$4:$J$133)) / (MAX($J$4:$J$133) - MIN($J$4:$J$133)))) / 2</f>
        <v>0.56411747195296669</v>
      </c>
      <c r="N55" s="73">
        <f>($G55 - MIN($G$4:$G$133)) / (MAX($G$4:$G$133) - MIN($G$4:$G$133))</f>
        <v>0.74468085106382975</v>
      </c>
      <c r="O55" s="73">
        <f>($K55 - MIN($K$4:$K$133)) / (MAX($K$4:$K$133) - MIN($K$4:$K$133))</f>
        <v>0.36674371090267982</v>
      </c>
      <c r="P55" s="84">
        <f>(($C55 - MIN($C$4:$C$133)) / (MAX($C$4:$C$133) - MIN($C$4:$C$133)) + ($D55 - MIN($D$4:$D$133)) / (MAX($D$4:$D$133) - MIN($D$4:$D$133)) + ($H55 - MIN($H$4:$H$133)) / (MAX($H$4:$H$133) - MIN($H$4:$H$133))) / 3</f>
        <v>0.56977565949482134</v>
      </c>
      <c r="Q55" s="81">
        <f xml:space="preserve"> ($L55 * (INDEX(PlaysPerGame!$BK$3:$BK$132, MATCH($A55,PlaysPerGame!$BC$3:$BC$132, 0), 0) * 0.8))+ ($M55 * (INDEX(PlaysPerGame!$BL$3:$BL$132, MATCH($A55,PlaysPerGame!$BC$3:$BC$132, 0), 0) * 0.8)) + ($N55 * (INDEX(PlaysPerGame!$BM$3:$BM$132, MATCH($A55,PlaysPerGame!$BC$3:$BC$132, 0), 0) * 0.8)) + ($O55 * 0.1) + ($P55 * 0.1)</f>
        <v>0.5310139738108649</v>
      </c>
      <c r="R55" s="9">
        <f t="shared" si="0"/>
        <v>52</v>
      </c>
      <c r="S55" s="112" t="s">
        <v>19</v>
      </c>
    </row>
    <row r="56" spans="1:22" x14ac:dyDescent="0.2">
      <c r="A56" s="68" t="s">
        <v>337</v>
      </c>
      <c r="B56" s="9" t="s">
        <v>762</v>
      </c>
      <c r="C56" s="72">
        <f>INDEX(FPI!$H$3:$H$138, MATCH($A56&amp;", "&amp;$B56,FPI!$B$3:$B$138, 0), 0)</f>
        <v>-0.8</v>
      </c>
      <c r="D56" s="73">
        <f>INDEX(Eff!$F$3:$F$138, MATCH($A56&amp;", "&amp;$B56,Eff!$B$3:$B$138, 0), 0)</f>
        <v>59.9</v>
      </c>
      <c r="E56" s="73">
        <f>INDEX(Eff!$C$3:$C$138, MATCH($A56&amp;", "&amp;$B56,Eff!$B$3:$B$138, 0), 0)</f>
        <v>26.1</v>
      </c>
      <c r="F56" s="73">
        <f>INDEX(Eff!$D$3:$D$138, MATCH($A56&amp;", "&amp;$B56,Eff!$B$3:$B$138, 0), 0)</f>
        <v>86.1</v>
      </c>
      <c r="G56" s="73">
        <f>INDEX(Eff!$E$3:$E$138, MATCH($A56&amp;", "&amp;$B56,Eff!$B$3:$B$138, 0), 0)</f>
        <v>60.7</v>
      </c>
      <c r="H56" s="31">
        <f>INDEX(FEI!$D$1:$D$139, MATCH($A56,FEI!$B$1:$B$139, 0), 0)</f>
        <v>0.15</v>
      </c>
      <c r="I56" s="31">
        <f>INDEX(FEI!$E$1:$E$139, MATCH($A56,FEI!$B$1:$B$139, 0), 0)</f>
        <v>-0.41</v>
      </c>
      <c r="J56" s="31">
        <f>INDEX(FEI!$G$1:$G$139, MATCH($A56,FEI!$B$1:$B$139, 0), 0)</f>
        <v>0.67</v>
      </c>
      <c r="K56" s="71">
        <f>INDEX('Billingsley 130'!$O$2:$O$131, MATCH($A56,'Billingsley 130'!$D$2:$D$131, 0), 0)</f>
        <v>247.17</v>
      </c>
      <c r="L56" s="81">
        <f>((($E56 - MIN($E$4:$E$133)) / (MAX($E$4:$E$133) - MIN($E$4:$E$133))) + (($I56 - MIN($I$4:$I$133)) / (MAX($I$4:$I$133) - MIN($I$4:$I$133)))) / 2</f>
        <v>0.21994837867505268</v>
      </c>
      <c r="M56" s="73">
        <f>((($F56 - MIN($F$4:$F$133)) / (MAX($F$4:$F$133) - MIN($F$4:$F$133))) + (($J56 - MIN($J$4:$J$133)) / (MAX($J$4:$J$133) - MIN($J$4:$J$133)))) / 2</f>
        <v>0.84200791332551916</v>
      </c>
      <c r="N56" s="73">
        <f>($G56 - MIN($G$4:$G$133)) / (MAX($G$4:$G$133) - MIN($G$4:$G$133))</f>
        <v>0.59707446808510645</v>
      </c>
      <c r="O56" s="73">
        <f>($K56 - MIN($K$4:$K$133)) / (MAX($K$4:$K$133) - MIN($K$4:$K$133))</f>
        <v>0.57063746874186494</v>
      </c>
      <c r="P56" s="84">
        <f>(($C56 - MIN($C$4:$C$133)) / (MAX($C$4:$C$133) - MIN($C$4:$C$133)) + ($D56 - MIN($D$4:$D$133)) / (MAX($D$4:$D$133) - MIN($D$4:$D$133)) + ($H56 - MIN($H$4:$H$133)) / (MAX($H$4:$H$133) - MIN($H$4:$H$133))) / 3</f>
        <v>0.54508156433297195</v>
      </c>
      <c r="Q56" s="81">
        <f xml:space="preserve"> ($L56 * (INDEX(PlaysPerGame!$BK$3:$BK$132, MATCH("San Diego St",PlaysPerGame!$BC$3:$BC$132, 0), 0) * 0.8))+ ($M56 * (INDEX(PlaysPerGame!$BL$3:$BL$132, MATCH("San Diego St",PlaysPerGame!$BC$3:$BC$132, 0), 0) * 0.8)) + ($N56 * (INDEX(PlaysPerGame!$BM$3:$BM$132, MATCH("San Diego St",PlaysPerGame!$BC$3:$BC$132, 0), 0) * 0.8)) + ($O56 * 0.1) + ($P56 * 0.1)</f>
        <v>0.52914479961953798</v>
      </c>
      <c r="R56" s="9">
        <f t="shared" si="0"/>
        <v>53</v>
      </c>
      <c r="S56" s="112" t="s">
        <v>337</v>
      </c>
    </row>
    <row r="57" spans="1:22" x14ac:dyDescent="0.2">
      <c r="A57" s="68" t="s">
        <v>149</v>
      </c>
      <c r="B57" s="9" t="s">
        <v>87</v>
      </c>
      <c r="C57" s="72">
        <f>INDEX(FPI!$H$3:$H$138, MATCH($A57&amp;", "&amp;$B57,FPI!$B$3:$B$138, 0), 0)</f>
        <v>6.7</v>
      </c>
      <c r="D57" s="73">
        <f>INDEX(Eff!$F$3:$F$138, MATCH($A57&amp;", "&amp;$B57,Eff!$B$3:$B$138, 0), 0)</f>
        <v>55.4</v>
      </c>
      <c r="E57" s="73">
        <f>INDEX(Eff!$C$3:$C$138, MATCH($A57&amp;", "&amp;$B57,Eff!$B$3:$B$138, 0), 0)</f>
        <v>61.1</v>
      </c>
      <c r="F57" s="73">
        <f>INDEX(Eff!$D$3:$D$138, MATCH($A57&amp;", "&amp;$B57,Eff!$B$3:$B$138, 0), 0)</f>
        <v>47.9</v>
      </c>
      <c r="G57" s="73">
        <f>INDEX(Eff!$E$3:$E$138, MATCH($A57&amp;", "&amp;$B57,Eff!$B$3:$B$138, 0), 0)</f>
        <v>51.3</v>
      </c>
      <c r="H57" s="31">
        <f>INDEX(FEI!$D$1:$D$139, MATCH($A57,FEI!$B$1:$B$139, 0), 0)</f>
        <v>0.05</v>
      </c>
      <c r="I57" s="31">
        <f>INDEX(FEI!$E$1:$E$139, MATCH($A57,FEI!$B$1:$B$139, 0), 0)</f>
        <v>0.21</v>
      </c>
      <c r="J57" s="31">
        <f>INDEX(FEI!$G$1:$G$139, MATCH($A57,FEI!$B$1:$B$139, 0), 0)</f>
        <v>-0.02</v>
      </c>
      <c r="K57" s="71">
        <f>INDEX('Billingsley 130'!$O$2:$O$131, MATCH($A57,'Billingsley 130'!$D$2:$D$131, 0), 0)</f>
        <v>249.548</v>
      </c>
      <c r="L57" s="81">
        <f>((($E57 - MIN($E$4:$E$133)) / (MAX($E$4:$E$133) - MIN($E$4:$E$133))) + (($I57 - MIN($I$4:$I$133)) / (MAX($I$4:$I$133) - MIN($I$4:$I$133)))) / 2</f>
        <v>0.49582875960482986</v>
      </c>
      <c r="M57" s="73">
        <f>((($F57 - MIN($F$4:$F$133)) / (MAX($F$4:$F$133) - MIN($F$4:$F$133))) + (($J57 - MIN($J$4:$J$133)) / (MAX($J$4:$J$133) - MIN($J$4:$J$133)))) / 2</f>
        <v>0.53489057160753384</v>
      </c>
      <c r="N57" s="73">
        <f>($G57 - MIN($G$4:$G$133)) / (MAX($G$4:$G$133) - MIN($G$4:$G$133))</f>
        <v>0.47207446808510639</v>
      </c>
      <c r="O57" s="73">
        <f>($K57 - MIN($K$4:$K$133)) / (MAX($K$4:$K$133) - MIN($K$4:$K$133))</f>
        <v>0.58939629398818316</v>
      </c>
      <c r="P57" s="84">
        <f>(($C57 - MIN($C$4:$C$133)) / (MAX($C$4:$C$133) - MIN($C$4:$C$133)) + ($D57 - MIN($D$4:$D$133)) / (MAX($D$4:$D$133) - MIN($D$4:$D$133)) + ($H57 - MIN($H$4:$H$133)) / (MAX($H$4:$H$133) - MIN($H$4:$H$133))) / 3</f>
        <v>0.55896995276860673</v>
      </c>
      <c r="Q57" s="81">
        <f xml:space="preserve"> ($L57 * (INDEX(PlaysPerGame!$BK$3:$BK$132, MATCH("Florida St",PlaysPerGame!$BC$3:$BC$132, 0), 0) * 0.8))+ ($M57 * (INDEX(PlaysPerGame!$BL$3:$BL$132, MATCH("Florida St",PlaysPerGame!$BC$3:$BC$132, 0), 0) * 0.8)) + ($N57 * (INDEX(PlaysPerGame!$BM$3:$BM$132, MATCH("Florida St",PlaysPerGame!$BC$3:$BC$132, 0), 0) * 0.8)) + ($O57 * 0.1) + ($P57 * 0.1)</f>
        <v>0.52506797737705113</v>
      </c>
      <c r="R57" s="9">
        <f t="shared" si="0"/>
        <v>54</v>
      </c>
      <c r="S57" s="112" t="s">
        <v>149</v>
      </c>
    </row>
    <row r="58" spans="1:22" x14ac:dyDescent="0.2">
      <c r="A58" s="68" t="s">
        <v>69</v>
      </c>
      <c r="B58" s="9" t="s">
        <v>176</v>
      </c>
      <c r="C58" s="72">
        <f>INDEX(FPI!$H$3:$H$138, MATCH($A58&amp;", "&amp;$B58,FPI!$B$3:$B$138, 0), 0)</f>
        <v>3.7</v>
      </c>
      <c r="D58" s="73">
        <f>INDEX(Eff!$F$3:$F$138, MATCH($A58&amp;", "&amp;$B58,Eff!$B$3:$B$138, 0), 0)</f>
        <v>61.3</v>
      </c>
      <c r="E58" s="73">
        <f>INDEX(Eff!$C$3:$C$138, MATCH($A58&amp;", "&amp;$B58,Eff!$B$3:$B$138, 0), 0)</f>
        <v>69.400000000000006</v>
      </c>
      <c r="F58" s="73">
        <f>INDEX(Eff!$D$3:$D$138, MATCH($A58&amp;", "&amp;$B58,Eff!$B$3:$B$138, 0), 0)</f>
        <v>45.3</v>
      </c>
      <c r="G58" s="73">
        <f>INDEX(Eff!$E$3:$E$138, MATCH($A58&amp;", "&amp;$B58,Eff!$B$3:$B$138, 0), 0)</f>
        <v>57.8</v>
      </c>
      <c r="H58" s="31">
        <f>INDEX(FEI!$D$1:$D$139, MATCH($A58,FEI!$B$1:$B$139, 0), 0)</f>
        <v>0.22</v>
      </c>
      <c r="I58" s="31">
        <f>INDEX(FEI!$E$1:$E$139, MATCH($A58,FEI!$B$1:$B$139, 0), 0)</f>
        <v>0.63</v>
      </c>
      <c r="J58" s="31">
        <f>INDEX(FEI!$G$1:$G$139, MATCH($A58,FEI!$B$1:$B$139, 0), 0)</f>
        <v>-0.44</v>
      </c>
      <c r="K58" s="71">
        <f>INDEX('Billingsley 130'!$O$2:$O$131, MATCH($A58,'Billingsley 130'!$D$2:$D$131, 0), 0)</f>
        <v>226.32900000000001</v>
      </c>
      <c r="L58" s="81">
        <f>((($E58 - MIN($E$4:$E$133)) / (MAX($E$4:$E$133) - MIN($E$4:$E$133))) + (($I58 - MIN($I$4:$I$133)) / (MAX($I$4:$I$133) - MIN($I$4:$I$133)))) / 2</f>
        <v>0.59813985225620792</v>
      </c>
      <c r="M58" s="73">
        <f>((($F58 - MIN($F$4:$F$133)) / (MAX($F$4:$F$133) - MIN($F$4:$F$133))) + (($J58 - MIN($J$4:$J$133)) / (MAX($J$4:$J$133) - MIN($J$4:$J$133)))) / 2</f>
        <v>0.46129850477838352</v>
      </c>
      <c r="N58" s="73">
        <f>($G58 - MIN($G$4:$G$133)) / (MAX($G$4:$G$133) - MIN($G$4:$G$133))</f>
        <v>0.55851063829787229</v>
      </c>
      <c r="O58" s="73">
        <f>($K58 - MIN($K$4:$K$133)) / (MAX($K$4:$K$133) - MIN($K$4:$K$133))</f>
        <v>0.40623348347756133</v>
      </c>
      <c r="P58" s="84">
        <f>(($C58 - MIN($C$4:$C$133)) / (MAX($C$4:$C$133) - MIN($C$4:$C$133)) + ($D58 - MIN($D$4:$D$133)) / (MAX($D$4:$D$133) - MIN($D$4:$D$133)) + ($H58 - MIN($H$4:$H$133)) / (MAX($H$4:$H$133) - MIN($H$4:$H$133))) / 3</f>
        <v>0.58091220579073755</v>
      </c>
      <c r="Q58" s="81">
        <f xml:space="preserve"> ($L58 * (INDEX(PlaysPerGame!$BK$3:$BK$132, MATCH($A58,PlaysPerGame!$BC$3:$BC$132, 0), 0) * 0.8))+ ($M58 * (INDEX(PlaysPerGame!$BL$3:$BL$132, MATCH($A58,PlaysPerGame!$BC$3:$BC$132, 0), 0) * 0.8)) + ($N58 * (INDEX(PlaysPerGame!$BM$3:$BM$132, MATCH($A58,PlaysPerGame!$BC$3:$BC$132, 0), 0) * 0.8)) + ($O58 * 0.1) + ($P58 * 0.1)</f>
        <v>0.52479048717719956</v>
      </c>
      <c r="R58" s="9">
        <f t="shared" si="0"/>
        <v>55</v>
      </c>
      <c r="S58" s="112" t="s">
        <v>69</v>
      </c>
    </row>
    <row r="59" spans="1:22" x14ac:dyDescent="0.2">
      <c r="A59" s="68" t="s">
        <v>359</v>
      </c>
      <c r="B59" s="9" t="s">
        <v>45</v>
      </c>
      <c r="C59" s="72">
        <f>INDEX(FPI!$H$3:$H$138, MATCH($A59&amp;", "&amp;$B59,FPI!$B$3:$B$138, 0), 0)</f>
        <v>5.3</v>
      </c>
      <c r="D59" s="73">
        <f>INDEX(Eff!$F$3:$F$138, MATCH($A59&amp;", "&amp;$B59,Eff!$B$3:$B$138, 0), 0)</f>
        <v>56.9</v>
      </c>
      <c r="E59" s="73">
        <f>INDEX(Eff!$C$3:$C$138, MATCH($A59&amp;", "&amp;$B59,Eff!$B$3:$B$138, 0), 0)</f>
        <v>55.4</v>
      </c>
      <c r="F59" s="73">
        <f>INDEX(Eff!$D$3:$D$138, MATCH($A59&amp;", "&amp;$B59,Eff!$B$3:$B$138, 0), 0)</f>
        <v>49</v>
      </c>
      <c r="G59" s="73">
        <f>INDEX(Eff!$E$3:$E$138, MATCH($A59&amp;", "&amp;$B59,Eff!$B$3:$B$138, 0), 0)</f>
        <v>70.2</v>
      </c>
      <c r="H59" s="31">
        <f>INDEX(FEI!$D$1:$D$139, MATCH($A59,FEI!$B$1:$B$139, 0), 0)</f>
        <v>-0.05</v>
      </c>
      <c r="I59" s="31">
        <f>INDEX(FEI!$E$1:$E$139, MATCH($A59,FEI!$B$1:$B$139, 0), 0)</f>
        <v>0.06</v>
      </c>
      <c r="J59" s="31">
        <f>INDEX(FEI!$G$1:$G$139, MATCH($A59,FEI!$B$1:$B$139, 0), 0)</f>
        <v>-0.27</v>
      </c>
      <c r="K59" s="71">
        <f>INDEX('Billingsley 130'!$O$2:$O$131, MATCH($A59,'Billingsley 130'!$D$2:$D$131, 0), 0)</f>
        <v>260.47899999999998</v>
      </c>
      <c r="L59" s="81">
        <f>((($E59 - MIN($E$4:$E$133)) / (MAX($E$4:$E$133) - MIN($E$4:$E$133))) + (($I59 - MIN($I$4:$I$133)) / (MAX($I$4:$I$133) - MIN($I$4:$I$133)))) / 2</f>
        <v>0.44427418637078353</v>
      </c>
      <c r="M59" s="73">
        <f>((($F59 - MIN($F$4:$F$133)) / (MAX($F$4:$F$133) - MIN($F$4:$F$133))) + (($J59 - MIN($J$4:$J$133)) / (MAX($J$4:$J$133) - MIN($J$4:$J$133)))) / 2</f>
        <v>0.50561715876884539</v>
      </c>
      <c r="N59" s="73">
        <f>($G59 - MIN($G$4:$G$133)) / (MAX($G$4:$G$133) - MIN($G$4:$G$133))</f>
        <v>0.72340425531914898</v>
      </c>
      <c r="O59" s="73">
        <f>($K59 - MIN($K$4:$K$133)) / (MAX($K$4:$K$133) - MIN($K$4:$K$133))</f>
        <v>0.67562535991228001</v>
      </c>
      <c r="P59" s="84">
        <f>(($C59 - MIN($C$4:$C$133)) / (MAX($C$4:$C$133) - MIN($C$4:$C$133)) + ($D59 - MIN($D$4:$D$133)) / (MAX($D$4:$D$133) - MIN($D$4:$D$133)) + ($H59 - MIN($H$4:$H$133)) / (MAX($H$4:$H$133) - MIN($H$4:$H$133))) / 3</f>
        <v>0.54687241125214181</v>
      </c>
      <c r="Q59" s="81">
        <f xml:space="preserve"> ($L59 * (INDEX(PlaysPerGame!$BK$3:$BK$132, MATCH($A59,PlaysPerGame!$BC$3:$BC$132, 0), 0) * 0.8))+ ($M59 * (INDEX(PlaysPerGame!$BL$3:$BL$132, MATCH($A59,PlaysPerGame!$BC$3:$BC$132, 0), 0) * 0.8)) + ($N59 * (INDEX(PlaysPerGame!$BM$3:$BM$132, MATCH($A59,PlaysPerGame!$BC$3:$BC$132, 0), 0) * 0.8)) + ($O59 * 0.1) + ($P59 * 0.1)</f>
        <v>0.5172106711279143</v>
      </c>
      <c r="R59" s="9">
        <f t="shared" si="0"/>
        <v>56</v>
      </c>
      <c r="S59" s="112" t="s">
        <v>359</v>
      </c>
    </row>
    <row r="60" spans="1:22" x14ac:dyDescent="0.2">
      <c r="A60" s="68" t="s">
        <v>462</v>
      </c>
      <c r="B60" s="9" t="s">
        <v>762</v>
      </c>
      <c r="C60" s="72">
        <f>INDEX(FPI!$H$3:$H$138, MATCH($A60&amp;", "&amp;$B60,FPI!$B$3:$B$138, 0), 0)</f>
        <v>-1.6</v>
      </c>
      <c r="D60" s="73">
        <f>INDEX(Eff!$F$3:$F$138, MATCH($A60&amp;", "&amp;$B60,Eff!$B$3:$B$138, 0), 0)</f>
        <v>57.4</v>
      </c>
      <c r="E60" s="73">
        <f>INDEX(Eff!$C$3:$C$138, MATCH($A60&amp;", "&amp;$B60,Eff!$B$3:$B$138, 0), 0)</f>
        <v>52.7</v>
      </c>
      <c r="F60" s="73">
        <f>INDEX(Eff!$D$3:$D$138, MATCH($A60&amp;", "&amp;$B60,Eff!$B$3:$B$138, 0), 0)</f>
        <v>53.8</v>
      </c>
      <c r="G60" s="73">
        <f>INDEX(Eff!$E$3:$E$138, MATCH($A60&amp;", "&amp;$B60,Eff!$B$3:$B$138, 0), 0)</f>
        <v>64.3</v>
      </c>
      <c r="H60" s="31">
        <f>INDEX(FEI!$D$1:$D$139, MATCH($A60,FEI!$B$1:$B$139, 0), 0)</f>
        <v>-0.04</v>
      </c>
      <c r="I60" s="31">
        <f>INDEX(FEI!$E$1:$E$139, MATCH($A60,FEI!$B$1:$B$139, 0), 0)</f>
        <v>-0.02</v>
      </c>
      <c r="J60" s="31">
        <f>INDEX(FEI!$G$1:$G$139, MATCH($A60,FEI!$B$1:$B$139, 0), 0)</f>
        <v>-0.01</v>
      </c>
      <c r="K60" s="71">
        <f>INDEX('Billingsley 130'!$O$2:$O$131, MATCH($A60,'Billingsley 130'!$D$2:$D$131, 0), 0)</f>
        <v>233.15199999999999</v>
      </c>
      <c r="L60" s="81">
        <f>((($E60 - MIN($E$4:$E$133)) / (MAX($E$4:$E$133) - MIN($E$4:$E$133))) + (($I60 - MIN($I$4:$I$133)) / (MAX($I$4:$I$133) - MIN($I$4:$I$133)))) / 2</f>
        <v>0.41864449520871039</v>
      </c>
      <c r="M60" s="73">
        <f>((($F60 - MIN($F$4:$F$133)) / (MAX($F$4:$F$133) - MIN($F$4:$F$133))) + (($J60 - MIN($J$4:$J$133)) / (MAX($J$4:$J$133) - MIN($J$4:$J$133)))) / 2</f>
        <v>0.56868499879067524</v>
      </c>
      <c r="N60" s="73">
        <f>($G60 - MIN($G$4:$G$133)) / (MAX($G$4:$G$133) - MIN($G$4:$G$133))</f>
        <v>0.64494680851063824</v>
      </c>
      <c r="O60" s="73">
        <f>($K60 - MIN($K$4:$K$133)) / (MAX($K$4:$K$133) - MIN($K$4:$K$133))</f>
        <v>0.46005663934620206</v>
      </c>
      <c r="P60" s="84">
        <f>(($C60 - MIN($C$4:$C$133)) / (MAX($C$4:$C$133) - MIN($C$4:$C$133)) + ($D60 - MIN($D$4:$D$133)) / (MAX($D$4:$D$133) - MIN($D$4:$D$133)) + ($H60 - MIN($H$4:$H$133)) / (MAX($H$4:$H$133) - MIN($H$4:$H$133))) / 3</f>
        <v>0.51301737684935267</v>
      </c>
      <c r="Q60" s="81">
        <f xml:space="preserve"> ($L60 * (INDEX(PlaysPerGame!$BK$3:$BK$132, MATCH($A60,PlaysPerGame!$BC$3:$BC$132, 0), 0) * 0.8))+ ($M60 * (INDEX(PlaysPerGame!$BL$3:$BL$132, MATCH($A60,PlaysPerGame!$BC$3:$BC$132, 0), 0) * 0.8)) + ($N60 * (INDEX(PlaysPerGame!$BM$3:$BM$132, MATCH($A60,PlaysPerGame!$BC$3:$BC$132, 0), 0) * 0.8)) + ($O60 * 0.1) + ($P60 * 0.1)</f>
        <v>0.51257834741300135</v>
      </c>
      <c r="R60" s="9">
        <f t="shared" si="0"/>
        <v>57</v>
      </c>
      <c r="S60" s="112" t="s">
        <v>462</v>
      </c>
    </row>
    <row r="61" spans="1:22" x14ac:dyDescent="0.2">
      <c r="A61" s="68" t="s">
        <v>167</v>
      </c>
      <c r="B61" s="9" t="s">
        <v>762</v>
      </c>
      <c r="C61" s="72">
        <f>INDEX(FPI!$H$3:$H$138, MATCH("Hawai'I"&amp;", "&amp;$B61,FPI!$B$3:$B$138, 0), 0)</f>
        <v>0.2</v>
      </c>
      <c r="D61" s="73">
        <f>INDEX(Eff!$F$3:$F$138, MATCH("Hawai'I"&amp;", "&amp;$B61,Eff!$B$3:$B$138, 0), 0)</f>
        <v>59.4</v>
      </c>
      <c r="E61" s="73">
        <f>INDEX(Eff!$C$3:$C$138, MATCH("Hawai'I"&amp;", "&amp;$B61,Eff!$B$3:$B$138, 0), 0)</f>
        <v>59.6</v>
      </c>
      <c r="F61" s="73">
        <f>INDEX(Eff!$D$3:$D$138, MATCH("Hawai'I"&amp;", "&amp;$B61,Eff!$B$3:$B$138, 0), 0)</f>
        <v>56.2</v>
      </c>
      <c r="G61" s="73">
        <f>INDEX(Eff!$E$3:$E$138, MATCH("Hawai'I"&amp;", "&amp;$B61,Eff!$B$3:$B$138, 0), 0)</f>
        <v>47.3</v>
      </c>
      <c r="H61" s="31">
        <f>INDEX(FEI!$D$1:$D$139, MATCH($A61,FEI!$B$1:$B$139, 0), 0)</f>
        <v>-0.09</v>
      </c>
      <c r="I61" s="31">
        <f>INDEX(FEI!$E$1:$E$139, MATCH($A61,FEI!$B$1:$B$139, 0), 0)</f>
        <v>0.42</v>
      </c>
      <c r="J61" s="31">
        <f>INDEX(FEI!$G$1:$G$139, MATCH($A61,FEI!$B$1:$B$139, 0), 0)</f>
        <v>-0.5</v>
      </c>
      <c r="K61" s="71">
        <f>INDEX('Billingsley 130'!$O$2:$O$131, MATCH($A61,'Billingsley 130'!$D$2:$D$131, 0), 0)</f>
        <v>240.38499999999999</v>
      </c>
      <c r="L61" s="81">
        <f>((($E61 - MIN($E$4:$E$133)) / (MAX($E$4:$E$133) - MIN($E$4:$E$133))) + (($I61 - MIN($I$4:$I$133)) / (MAX($I$4:$I$133) - MIN($I$4:$I$133)))) / 2</f>
        <v>0.51597442667695137</v>
      </c>
      <c r="M61" s="73">
        <f>((($F61 - MIN($F$4:$F$133)) / (MAX($F$4:$F$133) - MIN($F$4:$F$133))) + (($J61 - MIN($J$4:$J$133)) / (MAX($J$4:$J$133) - MIN($J$4:$J$133)))) / 2</f>
        <v>0.51264829733266359</v>
      </c>
      <c r="N61" s="73">
        <f>($G61 - MIN($G$4:$G$133)) / (MAX($G$4:$G$133) - MIN($G$4:$G$133))</f>
        <v>0.41888297872340419</v>
      </c>
      <c r="O61" s="73">
        <f>($K61 - MIN($K$4:$K$133)) / (MAX($K$4:$K$133) - MIN($K$4:$K$133))</f>
        <v>0.51711407542972543</v>
      </c>
      <c r="P61" s="84">
        <f>(($C61 - MIN($C$4:$C$133)) / (MAX($C$4:$C$133) - MIN($C$4:$C$133)) + ($D61 - MIN($D$4:$D$133)) / (MAX($D$4:$D$133) - MIN($D$4:$D$133)) + ($H61 - MIN($H$4:$H$133)) / (MAX($H$4:$H$133) - MIN($H$4:$H$133))) / 3</f>
        <v>0.52466615872406486</v>
      </c>
      <c r="Q61" s="81">
        <f xml:space="preserve"> ($L61 * (INDEX(PlaysPerGame!$BK$3:$BK$132, MATCH($A61,PlaysPerGame!$BC$3:$BC$132, 0), 0) * 0.8))+ ($M61 * (INDEX(PlaysPerGame!$BL$3:$BL$132, MATCH($A61,PlaysPerGame!$BC$3:$BC$132, 0), 0) * 0.8)) + ($N61 * (INDEX(PlaysPerGame!$BM$3:$BM$132, MATCH($A61,PlaysPerGame!$BC$3:$BC$132, 0), 0) * 0.8)) + ($O61 * 0.1) + ($P61 * 0.1)</f>
        <v>0.51106290190000636</v>
      </c>
      <c r="R61" s="9">
        <f t="shared" si="0"/>
        <v>58</v>
      </c>
      <c r="S61" s="112" t="s">
        <v>167</v>
      </c>
    </row>
    <row r="62" spans="1:22" x14ac:dyDescent="0.2">
      <c r="A62" s="68" t="s">
        <v>199</v>
      </c>
      <c r="B62" s="9" t="s">
        <v>33</v>
      </c>
      <c r="C62" s="72">
        <f>INDEX(FPI!$H$3:$H$138, MATCH($A62&amp;", "&amp;$B62,FPI!$B$3:$B$138, 0), 0)</f>
        <v>5.2</v>
      </c>
      <c r="D62" s="73">
        <f>INDEX(Eff!$F$3:$F$138, MATCH($A62&amp;", "&amp;$B62,Eff!$B$3:$B$138, 0), 0)</f>
        <v>56.8</v>
      </c>
      <c r="E62" s="73">
        <f>INDEX(Eff!$C$3:$C$138, MATCH($A62&amp;", "&amp;$B62,Eff!$B$3:$B$138, 0), 0)</f>
        <v>46.3</v>
      </c>
      <c r="F62" s="73">
        <f>INDEX(Eff!$D$3:$D$138, MATCH($A62&amp;", "&amp;$B62,Eff!$B$3:$B$138, 0), 0)</f>
        <v>60.2</v>
      </c>
      <c r="G62" s="73">
        <f>INDEX(Eff!$E$3:$E$138, MATCH($A62&amp;", "&amp;$B62,Eff!$B$3:$B$138, 0), 0)</f>
        <v>65.7</v>
      </c>
      <c r="H62" s="31">
        <f>INDEX(FEI!$D$1:$D$139, MATCH($A62,FEI!$B$1:$B$139, 0), 0)</f>
        <v>-0.01</v>
      </c>
      <c r="I62" s="31">
        <f>INDEX(FEI!$E$1:$E$139, MATCH($A62,FEI!$B$1:$B$139, 0), 0)</f>
        <v>0.03</v>
      </c>
      <c r="J62" s="31">
        <f>INDEX(FEI!$G$1:$G$139, MATCH($A62,FEI!$B$1:$B$139, 0), 0)</f>
        <v>-0.01</v>
      </c>
      <c r="K62" s="71">
        <f>INDEX('Billingsley 130'!$O$2:$O$131, MATCH($A62,'Billingsley 130'!$D$2:$D$131, 0), 0)</f>
        <v>236.22900000000001</v>
      </c>
      <c r="L62" s="81">
        <f>((($E62 - MIN($E$4:$E$133)) / (MAX($E$4:$E$133) - MIN($E$4:$E$133))) + (($I62 - MIN($I$4:$I$133)) / (MAX($I$4:$I$133) - MIN($I$4:$I$133)))) / 2</f>
        <v>0.39027501705877116</v>
      </c>
      <c r="M62" s="73">
        <f>((($F62 - MIN($F$4:$F$133)) / (MAX($F$4:$F$133) - MIN($F$4:$F$133))) + (($J62 - MIN($J$4:$J$133)) / (MAX($J$4:$J$133) - MIN($J$4:$J$133)))) / 2</f>
        <v>0.60381123369737111</v>
      </c>
      <c r="N62" s="73">
        <f>($G62 - MIN($G$4:$G$133)) / (MAX($G$4:$G$133) - MIN($G$4:$G$133))</f>
        <v>0.66356382978723405</v>
      </c>
      <c r="O62" s="73">
        <f>($K62 - MIN($K$4:$K$133)) / (MAX($K$4:$K$133) - MIN($K$4:$K$133))</f>
        <v>0.48432951793447837</v>
      </c>
      <c r="P62" s="84">
        <f>(($C62 - MIN($C$4:$C$133)) / (MAX($C$4:$C$133) - MIN($C$4:$C$133)) + ($D62 - MIN($D$4:$D$133)) / (MAX($D$4:$D$133) - MIN($D$4:$D$133)) + ($H62 - MIN($H$4:$H$133)) / (MAX($H$4:$H$133) - MIN($H$4:$H$133))) / 3</f>
        <v>0.54997940857220284</v>
      </c>
      <c r="Q62" s="81">
        <f xml:space="preserve"> ($L62 * (INDEX(PlaysPerGame!$BK$3:$BK$132, MATCH($A62,PlaysPerGame!$BC$3:$BC$132, 0), 0) * 0.8))+ ($M62 * (INDEX(PlaysPerGame!$BL$3:$BL$132, MATCH($A62,PlaysPerGame!$BC$3:$BC$132, 0), 0) * 0.8)) + ($N62 * (INDEX(PlaysPerGame!$BM$3:$BM$132, MATCH($A62,PlaysPerGame!$BC$3:$BC$132, 0), 0) * 0.8)) + ($O62 * 0.1) + ($P62 * 0.1)</f>
        <v>0.5098241384938399</v>
      </c>
      <c r="R62" s="9">
        <f t="shared" si="0"/>
        <v>59</v>
      </c>
      <c r="S62" s="112" t="s">
        <v>199</v>
      </c>
    </row>
    <row r="63" spans="1:22" x14ac:dyDescent="0.2">
      <c r="A63" s="68" t="s">
        <v>224</v>
      </c>
      <c r="B63" s="9" t="s">
        <v>75</v>
      </c>
      <c r="C63" s="72">
        <f>INDEX(FPI!$H$3:$H$138, MATCH($A63&amp;", "&amp;$B63,FPI!$B$3:$B$138, 0), 0)</f>
        <v>-0.1</v>
      </c>
      <c r="D63" s="73">
        <f>INDEX(Eff!$F$3:$F$138, MATCH($A63&amp;", "&amp;$B63,Eff!$B$3:$B$138, 0), 0)</f>
        <v>49.7</v>
      </c>
      <c r="E63" s="73">
        <f>INDEX(Eff!$C$3:$C$138, MATCH($A63&amp;", "&amp;$B63,Eff!$B$3:$B$138, 0), 0)</f>
        <v>42.5</v>
      </c>
      <c r="F63" s="73">
        <f>INDEX(Eff!$D$3:$D$138, MATCH($A63&amp;", "&amp;$B63,Eff!$B$3:$B$138, 0), 0)</f>
        <v>53.2</v>
      </c>
      <c r="G63" s="73">
        <f>INDEX(Eff!$E$3:$E$138, MATCH($A63&amp;", "&amp;$B63,Eff!$B$3:$B$138, 0), 0)</f>
        <v>60</v>
      </c>
      <c r="H63" s="31">
        <f>INDEX(FEI!$D$1:$D$139, MATCH($A63,FEI!$B$1:$B$139, 0), 0)</f>
        <v>0.1</v>
      </c>
      <c r="I63" s="31">
        <f>INDEX(FEI!$E$1:$E$139, MATCH($A63,FEI!$B$1:$B$139, 0), 0)</f>
        <v>0.18</v>
      </c>
      <c r="J63" s="31">
        <f>INDEX(FEI!$G$1:$G$139, MATCH($A63,FEI!$B$1:$B$139, 0), 0)</f>
        <v>-0.03</v>
      </c>
      <c r="K63" s="71">
        <f>INDEX('Billingsley 130'!$O$2:$O$131, MATCH($A63,'Billingsley 130'!$D$2:$D$131, 0), 0)</f>
        <v>251.37700000000001</v>
      </c>
      <c r="L63" s="81">
        <f>((($E63 - MIN($E$4:$E$133)) / (MAX($E$4:$E$133) - MIN($E$4:$E$133))) + (($I63 - MIN($I$4:$I$133)) / (MAX($I$4:$I$133) - MIN($I$4:$I$133)))) / 2</f>
        <v>0.38968908535319069</v>
      </c>
      <c r="M63" s="73">
        <f>((($F63 - MIN($F$4:$F$133)) / (MAX($F$4:$F$133) - MIN($F$4:$F$133))) + (($J63 - MIN($J$4:$J$133)) / (MAX($J$4:$J$133) - MIN($J$4:$J$133)))) / 2</f>
        <v>0.56256705551111041</v>
      </c>
      <c r="N63" s="73">
        <f>($G63 - MIN($G$4:$G$133)) / (MAX($G$4:$G$133) - MIN($G$4:$G$133))</f>
        <v>0.58776595744680848</v>
      </c>
      <c r="O63" s="73">
        <f>($K63 - MIN($K$4:$K$133)) / (MAX($K$4:$K$133) - MIN($K$4:$K$133))</f>
        <v>0.60382433914189038</v>
      </c>
      <c r="P63" s="84">
        <f>(($C63 - MIN($C$4:$C$133)) / (MAX($C$4:$C$133) - MIN($C$4:$C$133)) + ($D63 - MIN($D$4:$D$133)) / (MAX($D$4:$D$133) - MIN($D$4:$D$133)) + ($H63 - MIN($H$4:$H$133)) / (MAX($H$4:$H$133) - MIN($H$4:$H$133))) / 3</f>
        <v>0.50767526860356327</v>
      </c>
      <c r="Q63" s="81">
        <f xml:space="preserve"> ($L63 * (INDEX(PlaysPerGame!$BK$3:$BK$132, MATCH("W Virginia",PlaysPerGame!$BC$3:$BC$132, 0), 0) * 0.8))+ ($M63 * (INDEX(PlaysPerGame!$BL$3:$BL$132, MATCH("W Virginia",PlaysPerGame!$BC$3:$BC$132, 0), 0) * 0.8)) + ($N63 * (INDEX(PlaysPerGame!$BM$3:$BM$132, MATCH("W Virginia",PlaysPerGame!$BC$3:$BC$132, 0), 0) * 0.8)) + ($O63 * 0.1) + ($P63 * 0.1)</f>
        <v>0.5018197082280591</v>
      </c>
      <c r="R63" s="9">
        <f t="shared" si="0"/>
        <v>60</v>
      </c>
      <c r="S63" s="112" t="s">
        <v>224</v>
      </c>
    </row>
    <row r="64" spans="1:22" x14ac:dyDescent="0.2">
      <c r="A64" s="68" t="s">
        <v>142</v>
      </c>
      <c r="B64" s="9" t="s">
        <v>87</v>
      </c>
      <c r="C64" s="72">
        <f>INDEX(FPI!$H$3:$H$138, MATCH("Miami"&amp;", "&amp;$B64,FPI!$B$3:$B$138, 0), 0)</f>
        <v>7.2</v>
      </c>
      <c r="D64" s="73">
        <f>INDEX(Eff!$F$3:$F$138, MATCH("Miami"&amp;", "&amp;$B64,Eff!$B$3:$B$138, 0), 0)</f>
        <v>53.1</v>
      </c>
      <c r="E64" s="73">
        <f>INDEX(Eff!$C$3:$C$138, MATCH("Miami"&amp;", "&amp;$B64,Eff!$B$3:$B$138, 0), 0)</f>
        <v>55.3</v>
      </c>
      <c r="F64" s="73">
        <f>INDEX(Eff!$D$3:$D$138, MATCH("Miami"&amp;", "&amp;$B64,Eff!$B$3:$B$138, 0), 0)</f>
        <v>56.4</v>
      </c>
      <c r="G64" s="73">
        <f>INDEX(Eff!$E$3:$E$138, MATCH("Miami"&amp;", "&amp;$B64,Eff!$B$3:$B$138, 0), 0)</f>
        <v>30.6</v>
      </c>
      <c r="H64" s="31">
        <f>INDEX(FEI!$D$1:$D$139, MATCH("Miami",FEI!$B$1:$B$139, 0), 0)</f>
        <v>0.12</v>
      </c>
      <c r="I64" s="31">
        <f>INDEX(FEI!$E$1:$E$139, MATCH($A64,FEI!$B$1:$B$139, 0), 0)</f>
        <v>0.01</v>
      </c>
      <c r="J64" s="31">
        <f>INDEX(FEI!$G$1:$G$139, MATCH($A64,FEI!$B$1:$B$139, 0), 0)</f>
        <v>0.24</v>
      </c>
      <c r="K64" s="71">
        <f>INDEX('Billingsley 130'!$O$2:$O$131, MATCH("Miami (Fla.)",'Billingsley 130'!$D$2:$D$131, 0), 0)</f>
        <v>232.69900000000001</v>
      </c>
      <c r="L64" s="81">
        <f>((($E64 - MIN($E$4:$E$133)) / (MAX($E$4:$E$133) - MIN($E$4:$E$133))) + (($I64 - MIN($I$4:$I$133)) / (MAX($I$4:$I$133) - MIN($I$4:$I$133)))) / 2</f>
        <v>0.43696858219360957</v>
      </c>
      <c r="M64" s="73">
        <f>((($F64 - MIN($F$4:$F$133)) / (MAX($F$4:$F$133) - MIN($F$4:$F$133))) + (($J64 - MIN($J$4:$J$133)) / (MAX($J$4:$J$133) - MIN($J$4:$J$133)))) / 2</f>
        <v>0.61826576618479723</v>
      </c>
      <c r="N64" s="73">
        <f>($G64 - MIN($G$4:$G$133)) / (MAX($G$4:$G$133) - MIN($G$4:$G$133))</f>
        <v>0.19680851063829788</v>
      </c>
      <c r="O64" s="73">
        <f>($K64 - MIN($K$4:$K$133)) / (MAX($K$4:$K$133) - MIN($K$4:$K$133))</f>
        <v>0.45648315413317364</v>
      </c>
      <c r="P64" s="84">
        <f>(($C64 - MIN($C$4:$C$133)) / (MAX($C$4:$C$133) - MIN($C$4:$C$133)) + ($D64 - MIN($D$4:$D$133)) / (MAX($D$4:$D$133) - MIN($D$4:$D$133)) + ($H64 - MIN($H$4:$H$133)) / (MAX($H$4:$H$133) - MIN($H$4:$H$133))) / 3</f>
        <v>0.56046254756236802</v>
      </c>
      <c r="Q64" s="81">
        <f xml:space="preserve"> ($L64 * (INDEX(PlaysPerGame!$BK$3:$BK$132, MATCH("Miami (FL)",PlaysPerGame!$BC$3:$BC$132, 0), 0) * 0.8))+ ($M64 * (INDEX(PlaysPerGame!$BL$3:$BL$132, MATCH("Miami (FL)",PlaysPerGame!$BC$3:$BC$132, 0), 0) * 0.8)) + ($N64 * (INDEX(PlaysPerGame!$BM$3:$BM$132, MATCH("Miami (FL)",PlaysPerGame!$BC$3:$BC$132, 0), 0) * 0.8)) + ($O64 * 0.1) + ($P64 * 0.1)</f>
        <v>0.49933574338250225</v>
      </c>
      <c r="R64" s="9">
        <f t="shared" si="0"/>
        <v>61</v>
      </c>
      <c r="S64" s="112" t="s">
        <v>142</v>
      </c>
    </row>
    <row r="65" spans="1:19" x14ac:dyDescent="0.2">
      <c r="A65" s="68" t="s">
        <v>313</v>
      </c>
      <c r="B65" s="9" t="s">
        <v>33</v>
      </c>
      <c r="C65" s="72">
        <f>INDEX(FPI!$H$3:$H$138, MATCH($A65&amp;", "&amp;$B65,FPI!$B$3:$B$138, 0), 0)</f>
        <v>3.7</v>
      </c>
      <c r="D65" s="73">
        <f>INDEX(Eff!$F$3:$F$138, MATCH($A65&amp;", "&amp;$B65,Eff!$B$3:$B$138, 0), 0)</f>
        <v>50.2</v>
      </c>
      <c r="E65" s="73">
        <f>INDEX(Eff!$C$3:$C$138, MATCH($A65&amp;", "&amp;$B65,Eff!$B$3:$B$138, 0), 0)</f>
        <v>46.4</v>
      </c>
      <c r="F65" s="73">
        <f>INDEX(Eff!$D$3:$D$138, MATCH($A65&amp;", "&amp;$B65,Eff!$B$3:$B$138, 0), 0)</f>
        <v>52.9</v>
      </c>
      <c r="G65" s="73">
        <f>INDEX(Eff!$E$3:$E$138, MATCH($A65&amp;", "&amp;$B65,Eff!$B$3:$B$138, 0), 0)</f>
        <v>53.5</v>
      </c>
      <c r="H65" s="31">
        <f>INDEX(FEI!$D$1:$D$139, MATCH("Mississippi",FEI!$B$1:$B$139, 0), 0)</f>
        <v>0.2</v>
      </c>
      <c r="I65" s="31">
        <f>INDEX(FEI!$E$1:$E$139, MATCH("Mississippi",FEI!$B$1:$B$139, 0), 0)</f>
        <v>0.19</v>
      </c>
      <c r="J65" s="31">
        <f>INDEX(FEI!$G$1:$G$139, MATCH("Mississippi",FEI!$B$1:$B$139, 0), 0)</f>
        <v>0.27</v>
      </c>
      <c r="K65" s="71">
        <f>INDEX('Billingsley 130'!$O$2:$O$131, MATCH("Mississippi",'Billingsley 130'!$D$2:$D$131, 0), 0)</f>
        <v>223.29499999999999</v>
      </c>
      <c r="L65" s="81">
        <f>((($E65 - MIN($E$4:$E$133)) / (MAX($E$4:$E$133) - MIN($E$4:$E$133))) + (($I65 - MIN($I$4:$I$133)) / (MAX($I$4:$I$133) - MIN($I$4:$I$133)))) / 2</f>
        <v>0.41244548610080989</v>
      </c>
      <c r="M65" s="73">
        <f>((($F65 - MIN($F$4:$F$133)) / (MAX($F$4:$F$133) - MIN($F$4:$F$133))) + (($J65 - MIN($J$4:$J$133)) / (MAX($J$4:$J$133) - MIN($J$4:$J$133)))) / 2</f>
        <v>0.60329339460579112</v>
      </c>
      <c r="N65" s="73">
        <f>($G65 - MIN($G$4:$G$133)) / (MAX($G$4:$G$133) - MIN($G$4:$G$133))</f>
        <v>0.50132978723404253</v>
      </c>
      <c r="O65" s="73">
        <f>($K65 - MIN($K$4:$K$133)) / (MAX($K$4:$K$133) - MIN($K$4:$K$133))</f>
        <v>0.38229980988743123</v>
      </c>
      <c r="P65" s="84">
        <f>(($C65 - MIN($C$4:$C$133)) / (MAX($C$4:$C$133) - MIN($C$4:$C$133)) + ($D65 - MIN($D$4:$D$133)) / (MAX($D$4:$D$133) - MIN($D$4:$D$133)) + ($H65 - MIN($H$4:$H$133)) / (MAX($H$4:$H$133) - MIN($H$4:$H$133))) / 3</f>
        <v>0.53959632533061641</v>
      </c>
      <c r="Q65" s="81">
        <f xml:space="preserve"> ($L65 * (INDEX(PlaysPerGame!$BK$3:$BK$132, MATCH("Mississippi",PlaysPerGame!$BC$3:$BC$132, 0), 0) * 0.8))+ ($M65 * (INDEX(PlaysPerGame!$BL$3:$BL$132, MATCH("Mississippi",PlaysPerGame!$BC$3:$BC$132, 0), 0) * 0.8)) + ($N65 * (INDEX(PlaysPerGame!$BM$3:$BM$132, MATCH("Mississippi",PlaysPerGame!$BC$3:$BC$132, 0), 0) * 0.8)) + ($O65 * 0.1) + ($P65 * 0.1)</f>
        <v>0.49765137525031661</v>
      </c>
      <c r="R65" s="9">
        <f t="shared" si="0"/>
        <v>62</v>
      </c>
      <c r="S65" s="112" t="s">
        <v>313</v>
      </c>
    </row>
    <row r="66" spans="1:19" x14ac:dyDescent="0.2">
      <c r="A66" s="68" t="s">
        <v>294</v>
      </c>
      <c r="B66" s="9" t="s">
        <v>176</v>
      </c>
      <c r="C66" s="72">
        <f>INDEX(FPI!$H$3:$H$138, MATCH($A66&amp;", "&amp;$B66,FPI!$B$3:$B$138, 0), 0)</f>
        <v>0.7</v>
      </c>
      <c r="D66" s="73">
        <f>INDEX(Eff!$F$3:$F$138, MATCH($A66&amp;", "&amp;$B66,Eff!$B$3:$B$138, 0), 0)</f>
        <v>52.5</v>
      </c>
      <c r="E66" s="73">
        <f>INDEX(Eff!$C$3:$C$138, MATCH($A66&amp;", "&amp;$B66,Eff!$B$3:$B$138, 0), 0)</f>
        <v>22.7</v>
      </c>
      <c r="F66" s="73">
        <f>INDEX(Eff!$D$3:$D$138, MATCH($A66&amp;", "&amp;$B66,Eff!$B$3:$B$138, 0), 0)</f>
        <v>78.900000000000006</v>
      </c>
      <c r="G66" s="73">
        <f>INDEX(Eff!$E$3:$E$138, MATCH($A66&amp;", "&amp;$B66,Eff!$B$3:$B$138, 0), 0)</f>
        <v>66.599999999999994</v>
      </c>
      <c r="H66" s="31">
        <f>INDEX(FEI!$D$1:$D$139, MATCH($A66,FEI!$B$1:$B$139, 0), 0)</f>
        <v>0.04</v>
      </c>
      <c r="I66" s="31">
        <f>INDEX(FEI!$E$1:$E$139, MATCH($A66,FEI!$B$1:$B$139, 0), 0)</f>
        <v>-0.84</v>
      </c>
      <c r="J66" s="31">
        <f>INDEX(FEI!$G$1:$G$139, MATCH($A66,FEI!$B$1:$B$139, 0), 0)</f>
        <v>0.92</v>
      </c>
      <c r="K66" s="71">
        <f>INDEX('Billingsley 130'!$O$2:$O$131, MATCH($A66,'Billingsley 130'!$D$2:$D$131, 0), 0)</f>
        <v>240.64500000000001</v>
      </c>
      <c r="L66" s="81">
        <f>((($E66 - MIN($E$4:$E$133)) / (MAX($E$4:$E$133) - MIN($E$4:$E$133))) + (($I66 - MIN($I$4:$I$133)) / (MAX($I$4:$I$133) - MIN($I$4:$I$133)))) / 2</f>
        <v>0.14317945827276235</v>
      </c>
      <c r="M66" s="73">
        <f>((($F66 - MIN($F$4:$F$133)) / (MAX($F$4:$F$133) - MIN($F$4:$F$133))) + (($J66 - MIN($J$4:$J$133)) / (MAX($J$4:$J$133) - MIN($J$4:$J$133)))) / 2</f>
        <v>0.83780163351876324</v>
      </c>
      <c r="N66" s="73">
        <f>($G66 - MIN($G$4:$G$133)) / (MAX($G$4:$G$133) - MIN($G$4:$G$133))</f>
        <v>0.67553191489361697</v>
      </c>
      <c r="O66" s="73">
        <f>($K66 - MIN($K$4:$K$133)) / (MAX($K$4:$K$133) - MIN($K$4:$K$133))</f>
        <v>0.51916508239526071</v>
      </c>
      <c r="P66" s="84">
        <f>(($C66 - MIN($C$4:$C$133)) / (MAX($C$4:$C$133) - MIN($C$4:$C$133)) + ($D66 - MIN($D$4:$D$133)) / (MAX($D$4:$D$133) - MIN($D$4:$D$133)) + ($H66 - MIN($H$4:$H$133)) / (MAX($H$4:$H$133) - MIN($H$4:$H$133))) / 3</f>
        <v>0.51585205554289393</v>
      </c>
      <c r="Q66" s="81">
        <f xml:space="preserve"> ($L66 * (INDEX(PlaysPerGame!$BK$3:$BK$132, MATCH($A66,PlaysPerGame!$BC$3:$BC$132, 0), 0) * 0.8))+ ($M66 * (INDEX(PlaysPerGame!$BL$3:$BL$132, MATCH($A66,PlaysPerGame!$BC$3:$BC$132, 0), 0) * 0.8)) + ($N66 * (INDEX(PlaysPerGame!$BM$3:$BM$132, MATCH($A66,PlaysPerGame!$BC$3:$BC$132, 0), 0) * 0.8)) + ($O66 * 0.1) + ($P66 * 0.1)</f>
        <v>0.49599317282065719</v>
      </c>
      <c r="R66" s="9">
        <f t="shared" si="0"/>
        <v>63</v>
      </c>
      <c r="S66" s="112" t="s">
        <v>294</v>
      </c>
    </row>
    <row r="67" spans="1:19" x14ac:dyDescent="0.2">
      <c r="A67" s="68" t="s">
        <v>153</v>
      </c>
      <c r="B67" s="9" t="s">
        <v>762</v>
      </c>
      <c r="C67" s="72">
        <f>INDEX(FPI!$H$3:$H$138, MATCH($A67&amp;", "&amp;$B67,FPI!$B$3:$B$138, 0), 0)</f>
        <v>-1.1000000000000001</v>
      </c>
      <c r="D67" s="73">
        <f>INDEX(Eff!$F$3:$F$138, MATCH($A67&amp;", "&amp;$B67,Eff!$B$3:$B$138, 0), 0)</f>
        <v>53.7</v>
      </c>
      <c r="E67" s="73">
        <f>INDEX(Eff!$C$3:$C$138, MATCH($A67&amp;", "&amp;$B67,Eff!$B$3:$B$138, 0), 0)</f>
        <v>42.5</v>
      </c>
      <c r="F67" s="73">
        <f>INDEX(Eff!$D$3:$D$138, MATCH($A67&amp;", "&amp;$B67,Eff!$B$3:$B$138, 0), 0)</f>
        <v>67</v>
      </c>
      <c r="G67" s="73">
        <f>INDEX(Eff!$E$3:$E$138, MATCH($A67&amp;", "&amp;$B67,Eff!$B$3:$B$138, 0), 0)</f>
        <v>39.799999999999997</v>
      </c>
      <c r="H67" s="31">
        <f>INDEX(FEI!$D$1:$D$139, MATCH($A67,FEI!$B$1:$B$139, 0), 0)</f>
        <v>-0.04</v>
      </c>
      <c r="I67" s="31">
        <f>INDEX(FEI!$E$1:$E$139, MATCH($A67,FEI!$B$1:$B$139, 0), 0)</f>
        <v>-0.18</v>
      </c>
      <c r="J67" s="31">
        <f>INDEX(FEI!$G$1:$G$139, MATCH($A67,FEI!$B$1:$B$139, 0), 0)</f>
        <v>0.16</v>
      </c>
      <c r="K67" s="71">
        <f>INDEX('Billingsley 130'!$O$2:$O$131, MATCH($A67,'Billingsley 130'!$D$2:$D$131, 0), 0)</f>
        <v>239.72499999999999</v>
      </c>
      <c r="L67" s="81">
        <f>((($E67 - MIN($E$4:$E$133)) / (MAX($E$4:$E$133) - MIN($E$4:$E$133))) + (($I67 - MIN($I$4:$I$133)) / (MAX($I$4:$I$133) - MIN($I$4:$I$133)))) / 2</f>
        <v>0.34104043670454209</v>
      </c>
      <c r="M67" s="73">
        <f>((($F67 - MIN($F$4:$F$133)) / (MAX($F$4:$F$133) - MIN($F$4:$F$133))) + (($J67 - MIN($J$4:$J$133)) / (MAX($J$4:$J$133) - MIN($J$4:$J$133)))) / 2</f>
        <v>0.66514415772076385</v>
      </c>
      <c r="N67" s="73">
        <f>($G67 - MIN($G$4:$G$133)) / (MAX($G$4:$G$133) - MIN($G$4:$G$133))</f>
        <v>0.31914893617021273</v>
      </c>
      <c r="O67" s="73">
        <f>($K67 - MIN($K$4:$K$133)) / (MAX($K$4:$K$133) - MIN($K$4:$K$133))</f>
        <v>0.51190767313259766</v>
      </c>
      <c r="P67" s="84">
        <f>(($C67 - MIN($C$4:$C$133)) / (MAX($C$4:$C$133) - MIN($C$4:$C$133)) + ($D67 - MIN($D$4:$D$133)) / (MAX($D$4:$D$133) - MIN($D$4:$D$133)) + ($H67 - MIN($H$4:$H$133)) / (MAX($H$4:$H$133) - MIN($H$4:$H$133))) / 3</f>
        <v>0.50256468050381986</v>
      </c>
      <c r="Q67" s="81">
        <f xml:space="preserve"> ($L67 * (INDEX(PlaysPerGame!$BK$3:$BK$132, MATCH("Fresno St",PlaysPerGame!$BC$3:$BC$132, 0), 0) * 0.8))+ ($M67 * (INDEX(PlaysPerGame!$BL$3:$BL$132, MATCH("Fresno St",PlaysPerGame!$BC$3:$BC$132, 0), 0) * 0.8)) + ($N67 * (INDEX(PlaysPerGame!$BM$3:$BM$132, MATCH("Fresno St",PlaysPerGame!$BC$3:$BC$132, 0), 0) * 0.8)) + ($O67 * 0.1) + ($P67 * 0.1)</f>
        <v>0.49476869166826187</v>
      </c>
      <c r="R67" s="9">
        <f t="shared" si="0"/>
        <v>64</v>
      </c>
      <c r="S67" s="112" t="s">
        <v>153</v>
      </c>
    </row>
    <row r="68" spans="1:19" x14ac:dyDescent="0.2">
      <c r="A68" s="68" t="s">
        <v>385</v>
      </c>
      <c r="B68" s="9" t="s">
        <v>28</v>
      </c>
      <c r="C68" s="72">
        <f>INDEX(FPI!$H$3:$H$138, MATCH($A68&amp;", "&amp;$B68,FPI!$B$3:$B$138, 0), 0)</f>
        <v>0.5</v>
      </c>
      <c r="D68" s="73">
        <f>INDEX(Eff!$F$3:$F$138, MATCH($A68&amp;", "&amp;$B68,Eff!$B$3:$B$138, 0), 0)</f>
        <v>56.7</v>
      </c>
      <c r="E68" s="73">
        <f>INDEX(Eff!$C$3:$C$138, MATCH($A68&amp;", "&amp;$B68,Eff!$B$3:$B$138, 0), 0)</f>
        <v>60.7</v>
      </c>
      <c r="F68" s="73">
        <f>INDEX(Eff!$D$3:$D$138, MATCH($A68&amp;", "&amp;$B68,Eff!$B$3:$B$138, 0), 0)</f>
        <v>46.7</v>
      </c>
      <c r="G68" s="73">
        <f>INDEX(Eff!$E$3:$E$138, MATCH($A68&amp;", "&amp;$B68,Eff!$B$3:$B$138, 0), 0)</f>
        <v>61.7</v>
      </c>
      <c r="H68" s="31">
        <f>INDEX(FEI!$D$1:$D$139, MATCH($A68,FEI!$B$1:$B$139, 0), 0)</f>
        <v>-0.21</v>
      </c>
      <c r="I68" s="31">
        <f>INDEX(FEI!$E$1:$E$139, MATCH($A68,FEI!$B$1:$B$139, 0), 0)</f>
        <v>0.03</v>
      </c>
      <c r="J68" s="31">
        <f>INDEX(FEI!$G$1:$G$139, MATCH($A68,FEI!$B$1:$B$139, 0), 0)</f>
        <v>-0.45</v>
      </c>
      <c r="K68" s="71">
        <f>INDEX('Billingsley 130'!$O$2:$O$131, MATCH($A68,'Billingsley 130'!$D$2:$D$131, 0), 0)</f>
        <v>244.315</v>
      </c>
      <c r="L68" s="81">
        <f>((($E68 - MIN($E$4:$E$133)) / (MAX($E$4:$E$133) - MIN($E$4:$E$133))) + (($I68 - MIN($I$4:$I$133)) / (MAX($I$4:$I$133) - MIN($I$4:$I$133)))) / 2</f>
        <v>0.46930904559883702</v>
      </c>
      <c r="M68" s="73">
        <f>((($F68 - MIN($F$4:$F$133)) / (MAX($F$4:$F$133) - MIN($F$4:$F$133))) + (($J68 - MIN($J$4:$J$133)) / (MAX($J$4:$J$133) - MIN($J$4:$J$133)))) / 2</f>
        <v>0.46756993928569218</v>
      </c>
      <c r="N68" s="73">
        <f>($G68 - MIN($G$4:$G$133)) / (MAX($G$4:$G$133) - MIN($G$4:$G$133))</f>
        <v>0.61037234042553201</v>
      </c>
      <c r="O68" s="73">
        <f>($K68 - MIN($K$4:$K$133)) / (MAX($K$4:$K$133) - MIN($K$4:$K$133))</f>
        <v>0.54811583456262281</v>
      </c>
      <c r="P68" s="84">
        <f>(($C68 - MIN($C$4:$C$133)) / (MAX($C$4:$C$133) - MIN($C$4:$C$133)) + ($D68 - MIN($D$4:$D$133)) / (MAX($D$4:$D$133) - MIN($D$4:$D$133)) + ($H68 - MIN($H$4:$H$133)) / (MAX($H$4:$H$133) - MIN($H$4:$H$133))) / 3</f>
        <v>0.50471817420277665</v>
      </c>
      <c r="Q68" s="81">
        <f xml:space="preserve"> ($L68 * (INDEX(PlaysPerGame!$BK$3:$BK$132, MATCH($A68,PlaysPerGame!$BC$3:$BC$132, 0), 0) * 0.8))+ ($M68 * (INDEX(PlaysPerGame!$BL$3:$BL$132, MATCH($A68,PlaysPerGame!$BC$3:$BC$132, 0), 0) * 0.8)) + ($N68 * (INDEX(PlaysPerGame!$BM$3:$BM$132, MATCH($A68,PlaysPerGame!$BC$3:$BC$132, 0), 0) * 0.8)) + ($O68 * 0.1) + ($P68 * 0.1)</f>
        <v>0.4901058537777272</v>
      </c>
      <c r="R68" s="9">
        <f t="shared" si="0"/>
        <v>65</v>
      </c>
      <c r="S68" s="112" t="s">
        <v>385</v>
      </c>
    </row>
    <row r="69" spans="1:19" x14ac:dyDescent="0.2">
      <c r="A69" s="68" t="s">
        <v>217</v>
      </c>
      <c r="B69" s="9" t="s">
        <v>87</v>
      </c>
      <c r="C69" s="72">
        <f>INDEX(FPI!$H$3:$H$138, MATCH($A69&amp;", "&amp;$B69,FPI!$B$3:$B$138, 0), 0)</f>
        <v>1.5</v>
      </c>
      <c r="D69" s="73">
        <f>INDEX(Eff!$F$3:$F$138, MATCH($A69&amp;", "&amp;$B69,Eff!$B$3:$B$138, 0), 0)</f>
        <v>56.5</v>
      </c>
      <c r="E69" s="73">
        <f>INDEX(Eff!$C$3:$C$138, MATCH($A69&amp;", "&amp;$B69,Eff!$B$3:$B$138, 0), 0)</f>
        <v>67.2</v>
      </c>
      <c r="F69" s="73">
        <f>INDEX(Eff!$D$3:$D$138, MATCH($A69&amp;", "&amp;$B69,Eff!$B$3:$B$138, 0), 0)</f>
        <v>44.5</v>
      </c>
      <c r="G69" s="73">
        <f>INDEX(Eff!$E$3:$E$138, MATCH($A69&amp;", "&amp;$B69,Eff!$B$3:$B$138, 0), 0)</f>
        <v>43.8</v>
      </c>
      <c r="H69" s="31">
        <f>INDEX(FEI!$D$1:$D$139, MATCH($A69,FEI!$B$1:$B$139, 0), 0)</f>
        <v>0</v>
      </c>
      <c r="I69" s="31">
        <f>INDEX(FEI!$E$1:$E$139, MATCH($A69,FEI!$B$1:$B$139, 0), 0)</f>
        <v>0.34</v>
      </c>
      <c r="J69" s="31">
        <f>INDEX(FEI!$G$1:$G$139, MATCH($A69,FEI!$B$1:$B$139, 0), 0)</f>
        <v>-0.41</v>
      </c>
      <c r="K69" s="71">
        <f>INDEX('Billingsley 130'!$O$2:$O$131, MATCH($A69,'Billingsley 130'!$D$2:$D$131, 0), 0)</f>
        <v>225.898</v>
      </c>
      <c r="L69" s="81">
        <f>((($E69 - MIN($E$4:$E$133)) / (MAX($E$4:$E$133) - MIN($E$4:$E$133))) + (($I69 - MIN($I$4:$I$133)) / (MAX($I$4:$I$133) - MIN($I$4:$I$133)))) / 2</f>
        <v>0.54687601981784195</v>
      </c>
      <c r="M69" s="73">
        <f>((($F69 - MIN($F$4:$F$133)) / (MAX($F$4:$F$133) - MIN($F$4:$F$133))) + (($J69 - MIN($J$4:$J$133)) / (MAX($J$4:$J$133) - MIN($J$4:$J$133)))) / 2</f>
        <v>0.46114501355063975</v>
      </c>
      <c r="N69" s="73">
        <f>($G69 - MIN($G$4:$G$133)) / (MAX($G$4:$G$133) - MIN($G$4:$G$133))</f>
        <v>0.37234042553191482</v>
      </c>
      <c r="O69" s="73">
        <f>($K69 - MIN($K$4:$K$133)) / (MAX($K$4:$K$133) - MIN($K$4:$K$133))</f>
        <v>0.40283354500777019</v>
      </c>
      <c r="P69" s="84">
        <f>(($C69 - MIN($C$4:$C$133)) / (MAX($C$4:$C$133) - MIN($C$4:$C$133)) + ($D69 - MIN($D$4:$D$133)) / (MAX($D$4:$D$133) - MIN($D$4:$D$133)) + ($H69 - MIN($H$4:$H$133)) / (MAX($H$4:$H$133) - MIN($H$4:$H$133))) / 3</f>
        <v>0.53027564749069855</v>
      </c>
      <c r="Q69" s="81">
        <f xml:space="preserve"> ($L69 * (INDEX(PlaysPerGame!$BK$3:$BK$132, MATCH($A69,PlaysPerGame!$BC$3:$BC$132, 0), 0) * 0.8))+ ($M69 * (INDEX(PlaysPerGame!$BL$3:$BL$132, MATCH($A69,PlaysPerGame!$BC$3:$BC$132, 0), 0) * 0.8)) + ($N69 * (INDEX(PlaysPerGame!$BM$3:$BM$132, MATCH($A69,PlaysPerGame!$BC$3:$BC$132, 0), 0) * 0.8)) + ($O69 * 0.1) + ($P69 * 0.1)</f>
        <v>0.48929702176597578</v>
      </c>
      <c r="R69" s="9">
        <f t="shared" ref="R69:R132" si="1">RANK(Q69, Q$4:Q$133, 0)</f>
        <v>66</v>
      </c>
      <c r="S69" s="112" t="s">
        <v>217</v>
      </c>
    </row>
    <row r="70" spans="1:19" x14ac:dyDescent="0.2">
      <c r="A70" s="68" t="s">
        <v>22</v>
      </c>
      <c r="B70" s="9" t="s">
        <v>45</v>
      </c>
      <c r="C70" s="72">
        <f>INDEX(FPI!$H$3:$H$138, MATCH($A70&amp;", "&amp;$B70,FPI!$B$3:$B$138, 0), 0)</f>
        <v>1.1000000000000001</v>
      </c>
      <c r="D70" s="73">
        <f>INDEX(Eff!$F$3:$F$138, MATCH($A70&amp;", "&amp;$B70,Eff!$B$3:$B$138, 0), 0)</f>
        <v>51.3</v>
      </c>
      <c r="E70" s="73">
        <f>INDEX(Eff!$C$3:$C$138, MATCH($A70&amp;", "&amp;$B70,Eff!$B$3:$B$138, 0), 0)</f>
        <v>68.099999999999994</v>
      </c>
      <c r="F70" s="73">
        <f>INDEX(Eff!$D$3:$D$138, MATCH($A70&amp;", "&amp;$B70,Eff!$B$3:$B$138, 0), 0)</f>
        <v>28.7</v>
      </c>
      <c r="G70" s="73">
        <f>INDEX(Eff!$E$3:$E$138, MATCH($A70&amp;", "&amp;$B70,Eff!$B$3:$B$138, 0), 0)</f>
        <v>59.8</v>
      </c>
      <c r="H70" s="31">
        <f>INDEX(FEI!$D$1:$D$139, MATCH($A70,FEI!$B$1:$B$139, 0), 0)</f>
        <v>0.05</v>
      </c>
      <c r="I70" s="31">
        <f>INDEX(FEI!$E$1:$E$139, MATCH($A70,FEI!$B$1:$B$139, 0), 0)</f>
        <v>0.75</v>
      </c>
      <c r="J70" s="31">
        <f>INDEX(FEI!$G$1:$G$139, MATCH($A70,FEI!$B$1:$B$139, 0), 0)</f>
        <v>-0.67</v>
      </c>
      <c r="K70" s="71">
        <f>INDEX('Billingsley 130'!$O$2:$O$131, MATCH($A70,'Billingsley 130'!$D$2:$D$131, 0), 0)</f>
        <v>239.899</v>
      </c>
      <c r="L70" s="81">
        <f>((($E70 - MIN($E$4:$E$133)) / (MAX($E$4:$E$133) - MIN($E$4:$E$133))) + (($I70 - MIN($I$4:$I$133)) / (MAX($I$4:$I$133) - MIN($I$4:$I$133)))) / 2</f>
        <v>0.60722105200700149</v>
      </c>
      <c r="M70" s="73">
        <f>((($F70 - MIN($F$4:$F$133)) / (MAX($F$4:$F$133) - MIN($F$4:$F$133))) + (($J70 - MIN($J$4:$J$133)) / (MAX($J$4:$J$133) - MIN($J$4:$J$133)))) / 2</f>
        <v>0.33770395728292624</v>
      </c>
      <c r="N70" s="73">
        <f>($G70 - MIN($G$4:$G$133)) / (MAX($G$4:$G$133) - MIN($G$4:$G$133))</f>
        <v>0.58510638297872342</v>
      </c>
      <c r="O70" s="73">
        <f>($K70 - MIN($K$4:$K$133)) / (MAX($K$4:$K$133) - MIN($K$4:$K$133))</f>
        <v>0.51328027010184041</v>
      </c>
      <c r="P70" s="84">
        <f>(($C70 - MIN($C$4:$C$133)) / (MAX($C$4:$C$133) - MIN($C$4:$C$133)) + ($D70 - MIN($D$4:$D$133)) / (MAX($D$4:$D$133) - MIN($D$4:$D$133)) + ($H70 - MIN($H$4:$H$133)) / (MAX($H$4:$H$133) - MIN($H$4:$H$133))) / 3</f>
        <v>0.51472240476099862</v>
      </c>
      <c r="Q70" s="81">
        <f xml:space="preserve"> ($L70 * (INDEX(PlaysPerGame!$BK$3:$BK$132, MATCH($A70,PlaysPerGame!$BC$3:$BC$132, 0), 0) * 0.8))+ ($M70 * (INDEX(PlaysPerGame!$BL$3:$BL$132, MATCH($A70,PlaysPerGame!$BC$3:$BC$132, 0), 0) * 0.8)) + ($N70 * (INDEX(PlaysPerGame!$BM$3:$BM$132, MATCH($A70,PlaysPerGame!$BC$3:$BC$132, 0), 0) * 0.8)) + ($O70 * 0.1) + ($P70 * 0.1)</f>
        <v>0.48845621900863034</v>
      </c>
      <c r="R70" s="9">
        <f t="shared" si="1"/>
        <v>67</v>
      </c>
      <c r="S70" s="112" t="s">
        <v>22</v>
      </c>
    </row>
    <row r="71" spans="1:19" x14ac:dyDescent="0.2">
      <c r="A71" s="68" t="s">
        <v>361</v>
      </c>
      <c r="B71" s="9" t="s">
        <v>87</v>
      </c>
      <c r="C71" s="72">
        <f>INDEX(FPI!$H$3:$H$138, MATCH($A71&amp;", "&amp;$B71,FPI!$B$3:$B$138, 0), 0)</f>
        <v>0.3</v>
      </c>
      <c r="D71" s="73">
        <f>INDEX(Eff!$F$3:$F$138, MATCH($A71&amp;", "&amp;$B71,Eff!$B$3:$B$138, 0), 0)</f>
        <v>57.6</v>
      </c>
      <c r="E71" s="73">
        <f>INDEX(Eff!$C$3:$C$138, MATCH($A71&amp;", "&amp;$B71,Eff!$B$3:$B$138, 0), 0)</f>
        <v>36.6</v>
      </c>
      <c r="F71" s="73">
        <f>INDEX(Eff!$D$3:$D$138, MATCH($A71&amp;", "&amp;$B71,Eff!$B$3:$B$138, 0), 0)</f>
        <v>63.5</v>
      </c>
      <c r="G71" s="73">
        <f>INDEX(Eff!$E$3:$E$138, MATCH($A71&amp;", "&amp;$B71,Eff!$B$3:$B$138, 0), 0)</f>
        <v>83.9</v>
      </c>
      <c r="H71" s="31">
        <f>INDEX(FEI!$D$1:$D$139, MATCH($A71,FEI!$B$1:$B$139, 0), 0)</f>
        <v>-0.25</v>
      </c>
      <c r="I71" s="31">
        <f>INDEX(FEI!$E$1:$E$139, MATCH($A71,FEI!$B$1:$B$139, 0), 0)</f>
        <v>-0.37</v>
      </c>
      <c r="J71" s="31">
        <f>INDEX(FEI!$G$1:$G$139, MATCH($A71,FEI!$B$1:$B$139, 0), 0)</f>
        <v>-0.12</v>
      </c>
      <c r="K71" s="71">
        <f>INDEX('Billingsley 130'!$O$2:$O$131, MATCH($A71,'Billingsley 130'!$D$2:$D$131, 0), 0)</f>
        <v>237.96</v>
      </c>
      <c r="L71" s="81">
        <f>((($E71 - MIN($E$4:$E$133)) / (MAX($E$4:$E$133) - MIN($E$4:$E$133))) + (($I71 - MIN($I$4:$I$133)) / (MAX($I$4:$I$133) - MIN($I$4:$I$133)))) / 2</f>
        <v>0.28298276322425608</v>
      </c>
      <c r="M71" s="73">
        <f>((($F71 - MIN($F$4:$F$133)) / (MAX($F$4:$F$133) - MIN($F$4:$F$133))) + (($J71 - MIN($J$4:$J$133)) / (MAX($J$4:$J$133) - MIN($J$4:$J$133)))) / 2</f>
        <v>0.6063864754072944</v>
      </c>
      <c r="N71" s="73">
        <f>($G71 - MIN($G$4:$G$133)) / (MAX($G$4:$G$133) - MIN($G$4:$G$133))</f>
        <v>0.90558510638297884</v>
      </c>
      <c r="O71" s="73">
        <f>($K71 - MIN($K$4:$K$133)) / (MAX($K$4:$K$133) - MIN($K$4:$K$133))</f>
        <v>0.49798449123194533</v>
      </c>
      <c r="P71" s="84">
        <f>(($C71 - MIN($C$4:$C$133)) / (MAX($C$4:$C$133) - MIN($C$4:$C$133)) + ($D71 - MIN($D$4:$D$133)) / (MAX($D$4:$D$133) - MIN($D$4:$D$133)) + ($H71 - MIN($H$4:$H$133)) / (MAX($H$4:$H$133) - MIN($H$4:$H$133))) / 3</f>
        <v>0.5028526848777789</v>
      </c>
      <c r="Q71" s="81">
        <f xml:space="preserve"> ($L71 * (INDEX(PlaysPerGame!$BK$3:$BK$132, MATCH($A71,PlaysPerGame!$BC$3:$BC$132, 0), 0) * 0.8))+ ($M71 * (INDEX(PlaysPerGame!$BL$3:$BL$132, MATCH($A71,PlaysPerGame!$BC$3:$BC$132, 0), 0) * 0.8)) + ($N71 * (INDEX(PlaysPerGame!$BM$3:$BM$132, MATCH($A71,PlaysPerGame!$BC$3:$BC$132, 0), 0) * 0.8)) + ($O71 * 0.1) + ($P71 * 0.1)</f>
        <v>0.48467939590598808</v>
      </c>
      <c r="R71" s="9">
        <f t="shared" si="1"/>
        <v>68</v>
      </c>
      <c r="S71" s="112" t="s">
        <v>361</v>
      </c>
    </row>
    <row r="72" spans="1:19" x14ac:dyDescent="0.2">
      <c r="A72" s="68" t="s">
        <v>269</v>
      </c>
      <c r="B72" s="9" t="s">
        <v>176</v>
      </c>
      <c r="C72" s="72">
        <f>INDEX(FPI!$H$3:$H$138, MATCH($A72&amp;", "&amp;$B72,FPI!$B$3:$B$138, 0), 0)</f>
        <v>2.7</v>
      </c>
      <c r="D72" s="73">
        <f>INDEX(Eff!$F$3:$F$138, MATCH($A72&amp;", "&amp;$B72,Eff!$B$3:$B$138, 0), 0)</f>
        <v>49.5</v>
      </c>
      <c r="E72" s="73">
        <f>INDEX(Eff!$C$3:$C$138, MATCH($A72&amp;", "&amp;$B72,Eff!$B$3:$B$138, 0), 0)</f>
        <v>46.3</v>
      </c>
      <c r="F72" s="73">
        <f>INDEX(Eff!$D$3:$D$138, MATCH($A72&amp;", "&amp;$B72,Eff!$B$3:$B$138, 0), 0)</f>
        <v>58.7</v>
      </c>
      <c r="G72" s="73">
        <f>INDEX(Eff!$E$3:$E$138, MATCH($A72&amp;", "&amp;$B72,Eff!$B$3:$B$138, 0), 0)</f>
        <v>33.1</v>
      </c>
      <c r="H72" s="31">
        <f>INDEX(FEI!$D$1:$D$139, MATCH($A72,FEI!$B$1:$B$139, 0), 0)</f>
        <v>-0.08</v>
      </c>
      <c r="I72" s="31">
        <f>INDEX(FEI!$E$1:$E$139, MATCH($A72,FEI!$B$1:$B$139, 0), 0)</f>
        <v>-0.16</v>
      </c>
      <c r="J72" s="31">
        <f>INDEX(FEI!$G$1:$G$139, MATCH($A72,FEI!$B$1:$B$139, 0), 0)</f>
        <v>0.15</v>
      </c>
      <c r="K72" s="71">
        <f>INDEX('Billingsley 130'!$O$2:$O$131, MATCH($A72,'Billingsley 130'!$D$2:$D$131, 0), 0)</f>
        <v>247.97800000000001</v>
      </c>
      <c r="L72" s="81">
        <f>((($E72 - MIN($E$4:$E$133)) / (MAX($E$4:$E$133) - MIN($E$4:$E$133))) + (($I72 - MIN($I$4:$I$133)) / (MAX($I$4:$I$133) - MIN($I$4:$I$133)))) / 2</f>
        <v>0.36459934138309547</v>
      </c>
      <c r="M72" s="73">
        <f>((($F72 - MIN($F$4:$F$133)) / (MAX($F$4:$F$133) - MIN($F$4:$F$133))) + (($J72 - MIN($J$4:$J$133)) / (MAX($J$4:$J$133) - MIN($J$4:$J$133)))) / 2</f>
        <v>0.6181773924476115</v>
      </c>
      <c r="N72" s="73">
        <f>($G72 - MIN($G$4:$G$133)) / (MAX($G$4:$G$133) - MIN($G$4:$G$133))</f>
        <v>0.23005319148936171</v>
      </c>
      <c r="O72" s="73">
        <f>($K72 - MIN($K$4:$K$133)) / (MAX($K$4:$K$133) - MIN($K$4:$K$133))</f>
        <v>0.57701136731168223</v>
      </c>
      <c r="P72" s="84">
        <f>(($C72 - MIN($C$4:$C$133)) / (MAX($C$4:$C$133) - MIN($C$4:$C$133)) + ($D72 - MIN($D$4:$D$133)) / (MAX($D$4:$D$133) - MIN($D$4:$D$133)) + ($H72 - MIN($H$4:$H$133)) / (MAX($H$4:$H$133) - MIN($H$4:$H$133))) / 3</f>
        <v>0.50386472633025103</v>
      </c>
      <c r="Q72" s="81">
        <f xml:space="preserve"> ($L72 * (INDEX(PlaysPerGame!$BK$3:$BK$132, MATCH($A72,PlaysPerGame!$BC$3:$BC$132, 0), 0) * 0.8))+ ($M72 * (INDEX(PlaysPerGame!$BL$3:$BL$132, MATCH($A72,PlaysPerGame!$BC$3:$BC$132, 0), 0) * 0.8)) + ($N72 * (INDEX(PlaysPerGame!$BM$3:$BM$132, MATCH($A72,PlaysPerGame!$BC$3:$BC$132, 0), 0) * 0.8)) + ($O72 * 0.1) + ($P72 * 0.1)</f>
        <v>0.48465612813116482</v>
      </c>
      <c r="R72" s="9">
        <f t="shared" si="1"/>
        <v>69</v>
      </c>
      <c r="S72" s="112" t="s">
        <v>269</v>
      </c>
    </row>
    <row r="73" spans="1:19" x14ac:dyDescent="0.2">
      <c r="A73" s="68" t="s">
        <v>265</v>
      </c>
      <c r="B73" s="9" t="s">
        <v>87</v>
      </c>
      <c r="C73" s="72">
        <f>INDEX(FPI!$H$3:$H$138, MATCH($A73&amp;", "&amp;$B73,FPI!$B$3:$B$138, 0), 0)</f>
        <v>0.4</v>
      </c>
      <c r="D73" s="73">
        <f>INDEX(Eff!$F$3:$F$138, MATCH($A73&amp;", "&amp;$B73,Eff!$B$3:$B$138, 0), 0)</f>
        <v>50.4</v>
      </c>
      <c r="E73" s="73">
        <f>INDEX(Eff!$C$3:$C$138, MATCH($A73&amp;", "&amp;$B73,Eff!$B$3:$B$138, 0), 0)</f>
        <v>40.9</v>
      </c>
      <c r="F73" s="73">
        <f>INDEX(Eff!$D$3:$D$138, MATCH($A73&amp;", "&amp;$B73,Eff!$B$3:$B$138, 0), 0)</f>
        <v>59</v>
      </c>
      <c r="G73" s="73">
        <f>INDEX(Eff!$E$3:$E$138, MATCH($A73&amp;", "&amp;$B73,Eff!$B$3:$B$138, 0), 0)</f>
        <v>53.6</v>
      </c>
      <c r="H73" s="31">
        <f>INDEX(FEI!$D$1:$D$139, MATCH("North Carolina State",FEI!$B$1:$B$139, 0), 0)</f>
        <v>-7.0000000000000007E-2</v>
      </c>
      <c r="I73" s="31">
        <f>INDEX(FEI!$E$1:$E$139, MATCH("North Carolina State",FEI!$B$1:$B$139, 0), 0)</f>
        <v>-0.09</v>
      </c>
      <c r="J73" s="31">
        <f>INDEX(FEI!$G$1:$G$139, MATCH("North Carolina State",FEI!$B$1:$B$139, 0), 0)</f>
        <v>-0.05</v>
      </c>
      <c r="K73" s="71">
        <f>INDEX('Billingsley 130'!$O$2:$O$131, MATCH("North Carolina St.",'Billingsley 130'!$D$2:$D$131, 0), 0)</f>
        <v>245.93700000000001</v>
      </c>
      <c r="L73" s="81">
        <f>((($E73 - MIN($E$4:$E$133)) / (MAX($E$4:$E$133) - MIN($E$4:$E$133))) + (($I73 - MIN($I$4:$I$133)) / (MAX($I$4:$I$133) - MIN($I$4:$I$133)))) / 2</f>
        <v>0.34442104014003022</v>
      </c>
      <c r="M73" s="73">
        <f>((($F73 - MIN($F$4:$F$133)) / (MAX($F$4:$F$133) - MIN($F$4:$F$133))) + (($J73 - MIN($J$4:$J$133)) / (MAX($J$4:$J$133) - MIN($J$4:$J$133)))) / 2</f>
        <v>0.59157534713824145</v>
      </c>
      <c r="N73" s="73">
        <f>($G73 - MIN($G$4:$G$133)) / (MAX($G$4:$G$133) - MIN($G$4:$G$133))</f>
        <v>0.50265957446808507</v>
      </c>
      <c r="O73" s="73">
        <f>($K73 - MIN($K$4:$K$133)) / (MAX($K$4:$K$133) - MIN($K$4:$K$133))</f>
        <v>0.56091096263223095</v>
      </c>
      <c r="P73" s="84">
        <f>(($C73 - MIN($C$4:$C$133)) / (MAX($C$4:$C$133) - MIN($C$4:$C$133)) + ($D73 - MIN($D$4:$D$133)) / (MAX($D$4:$D$133) - MIN($D$4:$D$133)) + ($H73 - MIN($H$4:$H$133)) / (MAX($H$4:$H$133) - MIN($H$4:$H$133))) / 3</f>
        <v>0.49584276015004652</v>
      </c>
      <c r="Q73" s="81">
        <f xml:space="preserve"> ($L73 * (INDEX(PlaysPerGame!$BK$3:$BK$132, MATCH($A73,PlaysPerGame!$BC$3:$BC$132, 0), 0) * 0.8))+ ($M73 * (INDEX(PlaysPerGame!$BL$3:$BL$132, MATCH($A73,PlaysPerGame!$BC$3:$BC$132, 0), 0) * 0.8)) + ($N73 * (INDEX(PlaysPerGame!$BM$3:$BM$132, MATCH($A73,PlaysPerGame!$BC$3:$BC$132, 0), 0) * 0.8)) + ($O73 * 0.1) + ($P73 * 0.1)</f>
        <v>0.48239595057867035</v>
      </c>
      <c r="R73" s="9">
        <f t="shared" si="1"/>
        <v>70</v>
      </c>
      <c r="S73" s="112" t="s">
        <v>265</v>
      </c>
    </row>
    <row r="74" spans="1:19" x14ac:dyDescent="0.2">
      <c r="A74" s="68" t="s">
        <v>146</v>
      </c>
      <c r="B74" s="9" t="s">
        <v>63</v>
      </c>
      <c r="C74" s="72">
        <f>INDEX(FPI!$H$3:$H$138, MATCH("FAU"&amp;", "&amp;$B74,FPI!$B$3:$B$138, 0), 0)</f>
        <v>-3.2</v>
      </c>
      <c r="D74" s="73">
        <f>INDEX(Eff!$F$3:$F$138, MATCH("FAU"&amp;", "&amp;$B74,Eff!$B$3:$B$138, 0), 0)</f>
        <v>50.8</v>
      </c>
      <c r="E74" s="73">
        <f>INDEX(Eff!$C$3:$C$138, MATCH("FAU"&amp;", "&amp;$B74,Eff!$B$3:$B$138, 0), 0)</f>
        <v>52</v>
      </c>
      <c r="F74" s="73">
        <f>INDEX(Eff!$D$3:$D$138, MATCH("FAU"&amp;", "&amp;$B74,Eff!$B$3:$B$138, 0), 0)</f>
        <v>50.6</v>
      </c>
      <c r="G74" s="73">
        <f>INDEX(Eff!$E$3:$E$138, MATCH("FAU"&amp;", "&amp;$B74,Eff!$B$3:$B$138, 0), 0)</f>
        <v>46.2</v>
      </c>
      <c r="H74" s="31">
        <f>INDEX(FEI!$D$1:$D$139, MATCH($A74,FEI!$B$1:$B$139, 0), 0)</f>
        <v>0.09</v>
      </c>
      <c r="I74" s="31">
        <f>INDEX(FEI!$E$1:$E$139, MATCH($A74,FEI!$B$1:$B$139, 0), 0)</f>
        <v>0.1</v>
      </c>
      <c r="J74" s="31">
        <f>INDEX(FEI!$G$1:$G$139, MATCH($A74,FEI!$B$1:$B$139, 0), 0)</f>
        <v>0</v>
      </c>
      <c r="K74" s="71">
        <f>INDEX('Billingsley 130'!$O$2:$O$131, MATCH($A74,'Billingsley 130'!$D$2:$D$131, 0), 0)</f>
        <v>229.5</v>
      </c>
      <c r="L74" s="81">
        <f>((($E74 - MIN($E$4:$E$133)) / (MAX($E$4:$E$133) - MIN($E$4:$E$133))) + (($I74 - MIN($I$4:$I$133)) / (MAX($I$4:$I$133) - MIN($I$4:$I$133)))) / 2</f>
        <v>0.43101877948200673</v>
      </c>
      <c r="M74" s="73">
        <f>((($F74 - MIN($F$4:$F$133)) / (MAX($F$4:$F$133) - MIN($F$4:$F$133))) + (($J74 - MIN($J$4:$J$133)) / (MAX($J$4:$J$133) - MIN($J$4:$J$133)))) / 2</f>
        <v>0.55253431071585823</v>
      </c>
      <c r="N74" s="73">
        <f>($G74 - MIN($G$4:$G$133)) / (MAX($G$4:$G$133) - MIN($G$4:$G$133))</f>
        <v>0.4042553191489362</v>
      </c>
      <c r="O74" s="73">
        <f>($K74 - MIN($K$4:$K$133)) / (MAX($K$4:$K$133) - MIN($K$4:$K$133))</f>
        <v>0.43124787996876163</v>
      </c>
      <c r="P74" s="84">
        <f>(($C74 - MIN($C$4:$C$133)) / (MAX($C$4:$C$133) - MIN($C$4:$C$133)) + ($D74 - MIN($D$4:$D$133)) / (MAX($D$4:$D$133) - MIN($D$4:$D$133)) + ($H74 - MIN($H$4:$H$133)) / (MAX($H$4:$H$133) - MIN($H$4:$H$133))) / 3</f>
        <v>0.4941194761090057</v>
      </c>
      <c r="Q74" s="81">
        <f xml:space="preserve"> ($L74 * (INDEX(PlaysPerGame!$BK$3:$BK$132, MATCH("Fla Atlantic",PlaysPerGame!$BC$3:$BC$132, 0), 0) * 0.8))+ ($M74 * (INDEX(PlaysPerGame!$BL$3:$BL$132, MATCH("Fla Atlantic",PlaysPerGame!$BC$3:$BC$132, 0), 0) * 0.8)) + ($N74 * (INDEX(PlaysPerGame!$BM$3:$BM$132, MATCH("Fla Atlantic",PlaysPerGame!$BC$3:$BC$132, 0), 0) * 0.8)) + ($O74 * 0.1) + ($P74 * 0.1)</f>
        <v>0.47633453326709535</v>
      </c>
      <c r="R74" s="9">
        <f t="shared" si="1"/>
        <v>71</v>
      </c>
      <c r="S74" s="112" t="s">
        <v>146</v>
      </c>
    </row>
    <row r="75" spans="1:19" x14ac:dyDescent="0.2">
      <c r="A75" s="68" t="s">
        <v>367</v>
      </c>
      <c r="B75" s="9" t="s">
        <v>113</v>
      </c>
      <c r="C75" s="72">
        <f>INDEX(FPI!$H$3:$H$138, MATCH($A75&amp;", "&amp;$B75,FPI!$B$3:$B$138, 0), 0)</f>
        <v>-3.1</v>
      </c>
      <c r="D75" s="73">
        <f>INDEX(Eff!$F$3:$F$138, MATCH($A75&amp;", "&amp;$B75,Eff!$B$3:$B$138, 0), 0)</f>
        <v>49.2</v>
      </c>
      <c r="E75" s="73">
        <f>INDEX(Eff!$C$3:$C$138, MATCH($A75&amp;", "&amp;$B75,Eff!$B$3:$B$138, 0), 0)</f>
        <v>33.9</v>
      </c>
      <c r="F75" s="73">
        <f>INDEX(Eff!$D$3:$D$138, MATCH($A75&amp;", "&amp;$B75,Eff!$B$3:$B$138, 0), 0)</f>
        <v>75.400000000000006</v>
      </c>
      <c r="G75" s="73">
        <f>INDEX(Eff!$E$3:$E$138, MATCH($A75&amp;", "&amp;$B75,Eff!$B$3:$B$138, 0), 0)</f>
        <v>20.8</v>
      </c>
      <c r="H75" s="31">
        <f>INDEX(FEI!$D$1:$D$139, MATCH($A75,FEI!$B$1:$B$139, 0), 0)</f>
        <v>0</v>
      </c>
      <c r="I75" s="31">
        <f>INDEX(FEI!$E$1:$E$139, MATCH($A75,FEI!$B$1:$B$139, 0), 0)</f>
        <v>-0.67</v>
      </c>
      <c r="J75" s="31">
        <f>INDEX(FEI!$G$1:$G$139, MATCH($A75,FEI!$B$1:$B$139, 0), 0)</f>
        <v>0.63</v>
      </c>
      <c r="K75" s="71">
        <f>INDEX('Billingsley 130'!$O$2:$O$131, MATCH($A75,'Billingsley 130'!$D$2:$D$131, 0), 0)</f>
        <v>244.702</v>
      </c>
      <c r="L75" s="81">
        <f>((($E75 - MIN($E$4:$E$133)) / (MAX($E$4:$E$133) - MIN($E$4:$E$133))) + (($I75 - MIN($I$4:$I$133)) / (MAX($I$4:$I$133) - MIN($I$4:$I$133)))) / 2</f>
        <v>0.22762334233245318</v>
      </c>
      <c r="M75" s="73">
        <f>((($F75 - MIN($F$4:$F$133)) / (MAX($F$4:$F$133) - MIN($F$4:$F$133))) + (($J75 - MIN($J$4:$J$133)) / (MAX($J$4:$J$133) - MIN($J$4:$J$133)))) / 2</f>
        <v>0.77763152182676265</v>
      </c>
      <c r="N75" s="73">
        <f>($G75 - MIN($G$4:$G$133)) / (MAX($G$4:$G$133) - MIN($G$4:$G$133))</f>
        <v>6.6489361702127658E-2</v>
      </c>
      <c r="O75" s="73">
        <f>($K75 - MIN($K$4:$K$133)) / (MAX($K$4:$K$133) - MIN($K$4:$K$133))</f>
        <v>0.55116867954593862</v>
      </c>
      <c r="P75" s="84">
        <f>(($C75 - MIN($C$4:$C$133)) / (MAX($C$4:$C$133) - MIN($C$4:$C$133)) + ($D75 - MIN($D$4:$D$133)) / (MAX($D$4:$D$133) - MIN($D$4:$D$133)) + ($H75 - MIN($H$4:$H$133)) / (MAX($H$4:$H$133) - MIN($H$4:$H$133))) / 3</f>
        <v>0.48000049637757186</v>
      </c>
      <c r="Q75" s="81">
        <f xml:space="preserve"> ($L75 * (INDEX(PlaysPerGame!$BK$3:$BK$132, MATCH($A75,PlaysPerGame!$BC$3:$BC$132, 0), 0) * 0.8))+ ($M75 * (INDEX(PlaysPerGame!$BL$3:$BL$132, MATCH($A75,PlaysPerGame!$BC$3:$BC$132, 0), 0) * 0.8)) + ($N75 * (INDEX(PlaysPerGame!$BM$3:$BM$132, MATCH($A75,PlaysPerGame!$BC$3:$BC$132, 0), 0) * 0.8)) + ($O75 * 0.1) + ($P75 * 0.1)</f>
        <v>0.4757579743676138</v>
      </c>
      <c r="R75" s="9">
        <f t="shared" si="1"/>
        <v>72</v>
      </c>
      <c r="S75" s="112" t="s">
        <v>367</v>
      </c>
    </row>
    <row r="76" spans="1:19" x14ac:dyDescent="0.2">
      <c r="A76" s="68" t="s">
        <v>456</v>
      </c>
      <c r="B76" s="9" t="s">
        <v>28</v>
      </c>
      <c r="C76" s="72">
        <f>INDEX(FPI!$H$3:$H$138, MATCH("W Michigan"&amp;", "&amp;$B76,FPI!$B$3:$B$138, 0), 0)</f>
        <v>0.2</v>
      </c>
      <c r="D76" s="73">
        <f>INDEX(Eff!$F$3:$F$138, MATCH("W Michigan"&amp;", "&amp;$B76,Eff!$B$3:$B$138, 0), 0)</f>
        <v>51.7</v>
      </c>
      <c r="E76" s="73">
        <f>INDEX(Eff!$C$3:$C$138, MATCH("W Michigan"&amp;", "&amp;$B76,Eff!$B$3:$B$138, 0), 0)</f>
        <v>70.5</v>
      </c>
      <c r="F76" s="73">
        <f>INDEX(Eff!$D$3:$D$138, MATCH("W Michigan"&amp;", "&amp;$B76,Eff!$B$3:$B$138, 0), 0)</f>
        <v>37.200000000000003</v>
      </c>
      <c r="G76" s="73">
        <f>INDEX(Eff!$E$3:$E$138, MATCH("W Michigan"&amp;", "&amp;$B76,Eff!$B$3:$B$138, 0), 0)</f>
        <v>29.8</v>
      </c>
      <c r="H76" s="31">
        <f>INDEX(FEI!$D$1:$D$139, MATCH($A76,FEI!$B$1:$B$139, 0), 0)</f>
        <v>0.05</v>
      </c>
      <c r="I76" s="31">
        <f>INDEX(FEI!$E$1:$E$139, MATCH($A76,FEI!$B$1:$B$139, 0), 0)</f>
        <v>0.54</v>
      </c>
      <c r="J76" s="31">
        <f>INDEX(FEI!$G$1:$G$139, MATCH($A76,FEI!$B$1:$B$139, 0), 0)</f>
        <v>-0.43</v>
      </c>
      <c r="K76" s="71">
        <f>INDEX('Billingsley 130'!$O$2:$O$131, MATCH($A76,'Billingsley 130'!$D$2:$D$131, 0), 0)</f>
        <v>221.98</v>
      </c>
      <c r="L76" s="81">
        <f>((($E76 - MIN($E$4:$E$133)) / (MAX($E$4:$E$133) - MIN($E$4:$E$133))) + (($I76 - MIN($I$4:$I$133)) / (MAX($I$4:$I$133) - MIN($I$4:$I$133)))) / 2</f>
        <v>0.59201501171863413</v>
      </c>
      <c r="M76" s="73">
        <f>((($F76 - MIN($F$4:$F$133)) / (MAX($F$4:$F$133) - MIN($F$4:$F$133))) + (($J76 - MIN($J$4:$J$133)) / (MAX($J$4:$J$133) - MIN($J$4:$J$133)))) / 2</f>
        <v>0.41825429310312756</v>
      </c>
      <c r="N76" s="73">
        <f>($G76 - MIN($G$4:$G$133)) / (MAX($G$4:$G$133) - MIN($G$4:$G$133))</f>
        <v>0.18617021276595744</v>
      </c>
      <c r="O76" s="73">
        <f>($K76 - MIN($K$4:$K$133)) / (MAX($K$4:$K$133) - MIN($K$4:$K$133))</f>
        <v>0.37192644773482053</v>
      </c>
      <c r="P76" s="84">
        <f>(($C76 - MIN($C$4:$C$133)) / (MAX($C$4:$C$133) - MIN($C$4:$C$133)) + ($D76 - MIN($D$4:$D$133)) / (MAX($D$4:$D$133) - MIN($D$4:$D$133)) + ($H76 - MIN($H$4:$H$133)) / (MAX($H$4:$H$133) - MIN($H$4:$H$133))) / 3</f>
        <v>0.51136226703878507</v>
      </c>
      <c r="Q76" s="81">
        <f xml:space="preserve"> ($L76 * (INDEX(PlaysPerGame!$BK$3:$BK$132, MATCH("W Michigan",PlaysPerGame!$BC$3:$BC$132, 0), 0) * 0.8))+ ($M76 * (INDEX(PlaysPerGame!$BL$3:$BL$132, MATCH("W Michigan",PlaysPerGame!$BC$3:$BC$132, 0), 0) * 0.8)) + ($N76 * (INDEX(PlaysPerGame!$BM$3:$BM$132, MATCH("W Michigan",PlaysPerGame!$BC$3:$BC$132, 0), 0) * 0.8)) + ($O76 * 0.1) + ($P76 * 0.1)</f>
        <v>0.47371919446368038</v>
      </c>
      <c r="R76" s="9">
        <f t="shared" si="1"/>
        <v>73</v>
      </c>
      <c r="S76" s="112" t="s">
        <v>456</v>
      </c>
    </row>
    <row r="77" spans="1:19" x14ac:dyDescent="0.2">
      <c r="A77" s="68" t="s">
        <v>58</v>
      </c>
      <c r="B77" s="9" t="s">
        <v>763</v>
      </c>
      <c r="C77" s="72">
        <f>INDEX(FPI!$H$3:$H$138, MATCH($A77&amp;", "&amp;$B77,FPI!$B$3:$B$138, 0), 0)</f>
        <v>-3.2</v>
      </c>
      <c r="D77" s="73">
        <f>INDEX(Eff!$F$3:$F$138, MATCH($A77&amp;", "&amp;$B77,Eff!$B$3:$B$138, 0), 0)</f>
        <v>41.4</v>
      </c>
      <c r="E77" s="73">
        <f>INDEX(Eff!$C$3:$C$138, MATCH($A77&amp;", "&amp;$B77,Eff!$B$3:$B$138, 0), 0)</f>
        <v>39.700000000000003</v>
      </c>
      <c r="F77" s="73">
        <f>INDEX(Eff!$D$3:$D$138, MATCH($A77&amp;", "&amp;$B77,Eff!$B$3:$B$138, 0), 0)</f>
        <v>45</v>
      </c>
      <c r="G77" s="73">
        <f>INDEX(Eff!$E$3:$E$138, MATCH($A77&amp;", "&amp;$B77,Eff!$B$3:$B$138, 0), 0)</f>
        <v>56.7</v>
      </c>
      <c r="H77" s="31">
        <f>INDEX(FEI!$D$1:$D$139, MATCH($A77,FEI!$B$1:$B$139, 0), 0)</f>
        <v>0.17</v>
      </c>
      <c r="I77" s="31">
        <f>INDEX(FEI!$E$1:$E$139, MATCH($A77,FEI!$B$1:$B$139, 0), 0)</f>
        <v>0.22</v>
      </c>
      <c r="J77" s="31">
        <f>INDEX(FEI!$G$1:$G$139, MATCH($A77,FEI!$B$1:$B$139, 0), 0)</f>
        <v>7.0000000000000007E-2</v>
      </c>
      <c r="K77" s="71">
        <f>INDEX('Billingsley 130'!$O$2:$O$131, MATCH($A77,'Billingsley 130'!$D$2:$D$131, 0), 0)</f>
        <v>246.012</v>
      </c>
      <c r="L77" s="81">
        <f>((($E77 - MIN($E$4:$E$133)) / (MAX($E$4:$E$133) - MIN($E$4:$E$133))) + (($I77 - MIN($I$4:$I$133)) / (MAX($I$4:$I$133) - MIN($I$4:$I$133)))) / 2</f>
        <v>0.37972676298691665</v>
      </c>
      <c r="M77" s="73">
        <f>((($F77 - MIN($F$4:$F$133)) / (MAX($F$4:$F$133) - MIN($F$4:$F$133))) + (($J77 - MIN($J$4:$J$133)) / (MAX($J$4:$J$133) - MIN($J$4:$J$133)))) / 2</f>
        <v>0.5316858608222168</v>
      </c>
      <c r="N77" s="73">
        <f>($G77 - MIN($G$4:$G$133)) / (MAX($G$4:$G$133) - MIN($G$4:$G$133))</f>
        <v>0.5438829787234043</v>
      </c>
      <c r="O77" s="73">
        <f>($K77 - MIN($K$4:$K$133)) / (MAX($K$4:$K$133) - MIN($K$4:$K$133))</f>
        <v>0.56150259925690449</v>
      </c>
      <c r="P77" s="84">
        <f>(($C77 - MIN($C$4:$C$133)) / (MAX($C$4:$C$133) - MIN($C$4:$C$133)) + ($D77 - MIN($D$4:$D$133)) / (MAX($D$4:$D$133) - MIN($D$4:$D$133)) + ($H77 - MIN($H$4:$H$133)) / (MAX($H$4:$H$133) - MIN($H$4:$H$133))) / 3</f>
        <v>0.46880559802033711</v>
      </c>
      <c r="Q77" s="81">
        <f xml:space="preserve"> ($L77 * (INDEX(PlaysPerGame!$BK$3:$BK$132, MATCH($A77,PlaysPerGame!$BC$3:$BC$132, 0), 0) * 0.8))+ ($M77 * (INDEX(PlaysPerGame!$BL$3:$BL$132, MATCH($A77,PlaysPerGame!$BC$3:$BC$132, 0), 0) * 0.8)) + ($N77 * (INDEX(PlaysPerGame!$BM$3:$BM$132, MATCH($A77,PlaysPerGame!$BC$3:$BC$132, 0), 0) * 0.8)) + ($O77 * 0.1) + ($P77 * 0.1)</f>
        <v>0.47294071803416243</v>
      </c>
      <c r="R77" s="9">
        <f t="shared" si="1"/>
        <v>74</v>
      </c>
      <c r="S77" s="112" t="s">
        <v>58</v>
      </c>
    </row>
    <row r="78" spans="1:19" x14ac:dyDescent="0.2">
      <c r="A78" s="68" t="s">
        <v>395</v>
      </c>
      <c r="B78" s="9" t="s">
        <v>113</v>
      </c>
      <c r="C78" s="72">
        <f>INDEX(FPI!$H$3:$H$138, MATCH($A78&amp;", "&amp;$B78,FPI!$B$3:$B$138, 0), 0)</f>
        <v>-3.7</v>
      </c>
      <c r="D78" s="73">
        <f>INDEX(Eff!$F$3:$F$138, MATCH($A78&amp;", "&amp;$B78,Eff!$B$3:$B$138, 0), 0)</f>
        <v>54</v>
      </c>
      <c r="E78" s="73">
        <f>INDEX(Eff!$C$3:$C$138, MATCH($A78&amp;", "&amp;$B78,Eff!$B$3:$B$138, 0), 0)</f>
        <v>43.7</v>
      </c>
      <c r="F78" s="73">
        <f>INDEX(Eff!$D$3:$D$138, MATCH($A78&amp;", "&amp;$B78,Eff!$B$3:$B$138, 0), 0)</f>
        <v>67.8</v>
      </c>
      <c r="G78" s="73">
        <f>INDEX(Eff!$E$3:$E$138, MATCH($A78&amp;", "&amp;$B78,Eff!$B$3:$B$138, 0), 0)</f>
        <v>36.299999999999997</v>
      </c>
      <c r="H78" s="31">
        <f>INDEX(FEI!$D$1:$D$139, MATCH($A78,FEI!$B$1:$B$139, 0), 0)</f>
        <v>0.04</v>
      </c>
      <c r="I78" s="31">
        <f>INDEX(FEI!$E$1:$E$139, MATCH($A78,FEI!$B$1:$B$139, 0), 0)</f>
        <v>7.0000000000000007E-2</v>
      </c>
      <c r="J78" s="31">
        <f>INDEX(FEI!$G$1:$G$139, MATCH($A78,FEI!$B$1:$B$139, 0), 0)</f>
        <v>0.11</v>
      </c>
      <c r="K78" s="71">
        <f>INDEX('Billingsley 130'!$O$2:$O$131, MATCH($A78,'Billingsley 130'!$D$2:$D$131, 0), 0)</f>
        <v>204.459</v>
      </c>
      <c r="L78" s="81">
        <f>((($E78 - MIN($E$4:$E$133)) / (MAX($E$4:$E$133) - MIN($E$4:$E$133))) + (($I78 - MIN($I$4:$I$133)) / (MAX($I$4:$I$133) - MIN($I$4:$I$133)))) / 2</f>
        <v>0.3814103895333314</v>
      </c>
      <c r="M78" s="73">
        <f>((($F78 - MIN($F$4:$F$133)) / (MAX($F$4:$F$133) - MIN($F$4:$F$133))) + (($J78 - MIN($J$4:$J$133)) / (MAX($J$4:$J$133) - MIN($J$4:$J$133)))) / 2</f>
        <v>0.66247279019144534</v>
      </c>
      <c r="N78" s="73">
        <f>($G78 - MIN($G$4:$G$133)) / (MAX($G$4:$G$133) - MIN($G$4:$G$133))</f>
        <v>0.27260638297872336</v>
      </c>
      <c r="O78" s="73">
        <f>($K78 - MIN($K$4:$K$133)) / (MAX($K$4:$K$133) - MIN($K$4:$K$133))</f>
        <v>0.2337122437227355</v>
      </c>
      <c r="P78" s="84">
        <f>(($C78 - MIN($C$4:$C$133)) / (MAX($C$4:$C$133) - MIN($C$4:$C$133)) + ($D78 - MIN($D$4:$D$133)) / (MAX($D$4:$D$133) - MIN($D$4:$D$133)) + ($H78 - MIN($H$4:$H$133)) / (MAX($H$4:$H$133) - MIN($H$4:$H$133))) / 3</f>
        <v>0.4978109870676079</v>
      </c>
      <c r="Q78" s="81">
        <f xml:space="preserve"> ($L78 * (INDEX(PlaysPerGame!$BK$3:$BK$132, MATCH($A78,PlaysPerGame!$BC$3:$BC$132, 0), 0) * 0.8))+ ($M78 * (INDEX(PlaysPerGame!$BL$3:$BL$132, MATCH($A78,PlaysPerGame!$BC$3:$BC$132, 0), 0) * 0.8)) + ($N78 * (INDEX(PlaysPerGame!$BM$3:$BM$132, MATCH($A78,PlaysPerGame!$BC$3:$BC$132, 0), 0) * 0.8)) + ($O78 * 0.1) + ($P78 * 0.1)</f>
        <v>0.46930904138393709</v>
      </c>
      <c r="R78" s="9">
        <f t="shared" si="1"/>
        <v>75</v>
      </c>
      <c r="S78" s="112" t="s">
        <v>395</v>
      </c>
    </row>
    <row r="79" spans="1:19" x14ac:dyDescent="0.2">
      <c r="A79" s="68" t="s">
        <v>319</v>
      </c>
      <c r="B79" s="9" t="s">
        <v>45</v>
      </c>
      <c r="C79" s="72">
        <f>INDEX(FPI!$H$3:$H$138, MATCH("Oregon St"&amp;", "&amp;$B79,FPI!$B$3:$B$138, 0), 0)</f>
        <v>1.1000000000000001</v>
      </c>
      <c r="D79" s="73">
        <f>INDEX(Eff!$F$3:$F$138, MATCH("Oregon St"&amp;", "&amp;$B79,Eff!$B$3:$B$138, 0), 0)</f>
        <v>58.7</v>
      </c>
      <c r="E79" s="73">
        <f>INDEX(Eff!$C$3:$C$138, MATCH("Oregon St"&amp;", "&amp;$B79,Eff!$B$3:$B$138, 0), 0)</f>
        <v>83.2</v>
      </c>
      <c r="F79" s="73">
        <f>INDEX(Eff!$D$3:$D$138, MATCH("Oregon St"&amp;", "&amp;$B79,Eff!$B$3:$B$138, 0), 0)</f>
        <v>25.8</v>
      </c>
      <c r="G79" s="73">
        <f>INDEX(Eff!$E$3:$E$138, MATCH("Oregon St"&amp;", "&amp;$B79,Eff!$B$3:$B$138, 0), 0)</f>
        <v>60</v>
      </c>
      <c r="H79" s="31">
        <f>INDEX(FEI!$D$1:$D$139, MATCH($A79,FEI!$B$1:$B$139, 0), 0)</f>
        <v>-0.24</v>
      </c>
      <c r="I79" s="31">
        <f>INDEX(FEI!$E$1:$E$139, MATCH($A79,FEI!$B$1:$B$139, 0), 0)</f>
        <v>0.89</v>
      </c>
      <c r="J79" s="31">
        <f>INDEX(FEI!$G$1:$G$139, MATCH($A79,FEI!$B$1:$B$139, 0), 0)</f>
        <v>-1.46</v>
      </c>
      <c r="K79" s="71">
        <f>INDEX('Billingsley 130'!$O$2:$O$131, MATCH($A79,'Billingsley 130'!$D$2:$D$131, 0), 0)</f>
        <v>218.71700000000001</v>
      </c>
      <c r="L79" s="81">
        <f>((($E79 - MIN($E$4:$E$133)) / (MAX($E$4:$E$133) - MIN($E$4:$E$133))) + (($I79 - MIN($I$4:$I$133)) / (MAX($I$4:$I$133) - MIN($I$4:$I$133)))) / 2</f>
        <v>0.70901593140890617</v>
      </c>
      <c r="M79" s="73">
        <f>((($F79 - MIN($F$4:$F$133)) / (MAX($F$4:$F$133) - MIN($F$4:$F$133))) + (($J79 - MIN($J$4:$J$133)) / (MAX($J$4:$J$133) - MIN($J$4:$J$133)))) / 2</f>
        <v>0.21020546118687483</v>
      </c>
      <c r="N79" s="73">
        <f>($G79 - MIN($G$4:$G$133)) / (MAX($G$4:$G$133) - MIN($G$4:$G$133))</f>
        <v>0.58776595744680848</v>
      </c>
      <c r="O79" s="73">
        <f>($K79 - MIN($K$4:$K$133)) / (MAX($K$4:$K$133) - MIN($K$4:$K$133))</f>
        <v>0.34618631031735403</v>
      </c>
      <c r="P79" s="84">
        <f>(($C79 - MIN($C$4:$C$133)) / (MAX($C$4:$C$133) - MIN($C$4:$C$133)) + ($D79 - MIN($D$4:$D$133)) / (MAX($D$4:$D$133) - MIN($D$4:$D$133)) + ($H79 - MIN($H$4:$H$133)) / (MAX($H$4:$H$133) - MIN($H$4:$H$133))) / 3</f>
        <v>0.51199353730992836</v>
      </c>
      <c r="Q79" s="81">
        <f xml:space="preserve"> ($L79 * (INDEX(PlaysPerGame!$BK$3:$BK$132, MATCH("Oregon St",PlaysPerGame!$BC$3:$BC$132, 0), 0) * 0.8))+ ($M79 * (INDEX(PlaysPerGame!$BL$3:$BL$132, MATCH("Oregon St",PlaysPerGame!$BC$3:$BC$132, 0), 0) * 0.8)) + ($N79 * (INDEX(PlaysPerGame!$BM$3:$BM$132, MATCH("Oregon St",PlaysPerGame!$BC$3:$BC$132, 0), 0) * 0.8)) + ($O79 * 0.1) + ($P79 * 0.1)</f>
        <v>0.45607718627013411</v>
      </c>
      <c r="R79" s="9">
        <f t="shared" si="1"/>
        <v>76</v>
      </c>
      <c r="S79" s="112" t="s">
        <v>319</v>
      </c>
    </row>
    <row r="80" spans="1:19" x14ac:dyDescent="0.2">
      <c r="A80" s="68" t="s">
        <v>94</v>
      </c>
      <c r="B80" s="9" t="s">
        <v>763</v>
      </c>
      <c r="C80" s="72">
        <f>INDEX(FPI!$H$3:$H$138, MATCH($A80&amp;", "&amp;$B80,FPI!$B$3:$B$138, 0), 0)</f>
        <v>1.5</v>
      </c>
      <c r="D80" s="73">
        <f>INDEX(Eff!$F$3:$F$138, MATCH($A80&amp;", "&amp;$B80,Eff!$B$3:$B$138, 0), 0)</f>
        <v>48.6</v>
      </c>
      <c r="E80" s="73">
        <f>INDEX(Eff!$C$3:$C$138, MATCH($A80&amp;", "&amp;$B80,Eff!$B$3:$B$138, 0), 0)</f>
        <v>35.9</v>
      </c>
      <c r="F80" s="73">
        <f>INDEX(Eff!$D$3:$D$138, MATCH($A80&amp;", "&amp;$B80,Eff!$B$3:$B$138, 0), 0)</f>
        <v>59</v>
      </c>
      <c r="G80" s="73">
        <f>INDEX(Eff!$E$3:$E$138, MATCH($A80&amp;", "&amp;$B80,Eff!$B$3:$B$138, 0), 0)</f>
        <v>54.9</v>
      </c>
      <c r="H80" s="31">
        <f>INDEX(FEI!$D$1:$D$139, MATCH($A80,FEI!$B$1:$B$139, 0), 0)</f>
        <v>-0.34</v>
      </c>
      <c r="I80" s="31">
        <f>INDEX(FEI!$E$1:$E$139, MATCH($A80,FEI!$B$1:$B$139, 0), 0)</f>
        <v>-0.4</v>
      </c>
      <c r="J80" s="31">
        <f>INDEX(FEI!$G$1:$G$139, MATCH($A80,FEI!$B$1:$B$139, 0), 0)</f>
        <v>-0.15</v>
      </c>
      <c r="K80" s="71">
        <f>INDEX('Billingsley 130'!$O$2:$O$131, MATCH("Brigham Young",'Billingsley 130'!$D$2:$D$131, 0), 0)</f>
        <v>239.154</v>
      </c>
      <c r="L80" s="81">
        <f>((($E80 - MIN($E$4:$E$133)) / (MAX($E$4:$E$133) - MIN($E$4:$E$133))) + (($I80 - MIN($I$4:$I$133)) / (MAX($I$4:$I$133) - MIN($I$4:$I$133)))) / 2</f>
        <v>0.27508677722728214</v>
      </c>
      <c r="M80" s="73">
        <f>((($F80 - MIN($F$4:$F$133)) / (MAX($F$4:$F$133) - MIN($F$4:$F$133))) + (($J80 - MIN($J$4:$J$133)) / (MAX($J$4:$J$133) - MIN($J$4:$J$133)))) / 2</f>
        <v>0.57745105335293068</v>
      </c>
      <c r="N80" s="73">
        <f>($G80 - MIN($G$4:$G$133)) / (MAX($G$4:$G$133) - MIN($G$4:$G$133))</f>
        <v>0.51994680851063824</v>
      </c>
      <c r="O80" s="73">
        <f>($K80 - MIN($K$4:$K$133)) / (MAX($K$4:$K$133) - MIN($K$4:$K$133))</f>
        <v>0.50740334629674921</v>
      </c>
      <c r="P80" s="84">
        <f>(($C80 - MIN($C$4:$C$133)) / (MAX($C$4:$C$133) - MIN($C$4:$C$133)) + ($D80 - MIN($D$4:$D$133)) / (MAX($D$4:$D$133) - MIN($D$4:$D$133)) + ($H80 - MIN($H$4:$H$133)) / (MAX($H$4:$H$133) - MIN($H$4:$H$133))) / 3</f>
        <v>0.46835909801791192</v>
      </c>
      <c r="Q80" s="81">
        <f xml:space="preserve"> ($L80 * (INDEX(PlaysPerGame!$BK$3:$BK$132, MATCH($A80,PlaysPerGame!$BC$3:$BC$132, 0), 0) * 0.8))+ ($M80 * (INDEX(PlaysPerGame!$BL$3:$BL$132, MATCH($A80,PlaysPerGame!$BC$3:$BC$132, 0), 0) * 0.8)) + ($N80 * (INDEX(PlaysPerGame!$BM$3:$BM$132, MATCH($A80,PlaysPerGame!$BC$3:$BC$132, 0), 0) * 0.8)) + ($O80 * 0.1) + ($P80 * 0.1)</f>
        <v>0.44999676899704993</v>
      </c>
      <c r="R80" s="9">
        <f t="shared" si="1"/>
        <v>77</v>
      </c>
      <c r="S80" s="112" t="s">
        <v>94</v>
      </c>
    </row>
    <row r="81" spans="1:19" x14ac:dyDescent="0.2">
      <c r="A81" s="68" t="s">
        <v>214</v>
      </c>
      <c r="B81" s="9" t="s">
        <v>63</v>
      </c>
      <c r="C81" s="72">
        <f>INDEX(FPI!$H$3:$H$138, MATCH("La Tech"&amp;", "&amp;$B81,FPI!$B$3:$B$138, 0), 0)</f>
        <v>-8.1</v>
      </c>
      <c r="D81" s="73">
        <f>INDEX(Eff!$F$3:$F$138, MATCH("La Tech"&amp;", "&amp;$B81,Eff!$B$3:$B$138, 0), 0)</f>
        <v>43.4</v>
      </c>
      <c r="E81" s="73">
        <f>INDEX(Eff!$C$3:$C$138, MATCH("La Tech"&amp;", "&amp;$B81,Eff!$B$3:$B$138, 0), 0)</f>
        <v>38.299999999999997</v>
      </c>
      <c r="F81" s="73">
        <f>INDEX(Eff!$D$3:$D$138, MATCH("La Tech"&amp;", "&amp;$B81,Eff!$B$3:$B$138, 0), 0)</f>
        <v>50</v>
      </c>
      <c r="G81" s="73">
        <f>INDEX(Eff!$E$3:$E$138, MATCH("La Tech"&amp;", "&amp;$B81,Eff!$B$3:$B$138, 0), 0)</f>
        <v>51.4</v>
      </c>
      <c r="H81" s="31">
        <f>INDEX(FEI!$D$1:$D$139, MATCH($A81,FEI!$B$1:$B$139, 0), 0)</f>
        <v>-0.05</v>
      </c>
      <c r="I81" s="31">
        <f>INDEX(FEI!$E$1:$E$139, MATCH($A81,FEI!$B$1:$B$139, 0), 0)</f>
        <v>-0.08</v>
      </c>
      <c r="J81" s="31">
        <f>INDEX(FEI!$G$1:$G$139, MATCH($A81,FEI!$B$1:$B$139, 0), 0)</f>
        <v>-0.15</v>
      </c>
      <c r="K81" s="71">
        <f>INDEX('Billingsley 130'!$O$2:$O$131, MATCH($A81,'Billingsley 130'!$D$2:$D$131, 0), 0)</f>
        <v>238.79300000000001</v>
      </c>
      <c r="L81" s="81">
        <f>((($E81 - MIN($E$4:$E$133)) / (MAX($E$4:$E$133) - MIN($E$4:$E$133))) + (($I81 - MIN($I$4:$I$133)) / (MAX($I$4:$I$133) - MIN($I$4:$I$133)))) / 2</f>
        <v>0.33150235856053639</v>
      </c>
      <c r="M81" s="73">
        <f>((($F81 - MIN($F$4:$F$133)) / (MAX($F$4:$F$133) - MIN($F$4:$F$133))) + (($J81 - MIN($J$4:$J$133)) / (MAX($J$4:$J$133) - MIN($J$4:$J$133)))) / 2</f>
        <v>0.52805478551538954</v>
      </c>
      <c r="N81" s="73">
        <f>($G81 - MIN($G$4:$G$133)) / (MAX($G$4:$G$133) - MIN($G$4:$G$133))</f>
        <v>0.47340425531914887</v>
      </c>
      <c r="O81" s="73">
        <f>($K81 - MIN($K$4:$K$133)) / (MAX($K$4:$K$133) - MIN($K$4:$K$133))</f>
        <v>0.50455560200998695</v>
      </c>
      <c r="P81" s="84">
        <f>(($C81 - MIN($C$4:$C$133)) / (MAX($C$4:$C$133) - MIN($C$4:$C$133)) + ($D81 - MIN($D$4:$D$133)) / (MAX($D$4:$D$133) - MIN($D$4:$D$133)) + ($H81 - MIN($H$4:$H$133)) / (MAX($H$4:$H$133) - MIN($H$4:$H$133))) / 3</f>
        <v>0.42792567933438713</v>
      </c>
      <c r="Q81" s="81">
        <f xml:space="preserve"> ($L81 * (INDEX(PlaysPerGame!$BK$3:$BK$132, MATCH("LA Tech",PlaysPerGame!$BC$3:$BC$132, 0), 0) * 0.8))+ ($M81 * (INDEX(PlaysPerGame!$BL$3:$BL$132, MATCH("LA Tech",PlaysPerGame!$BC$3:$BC$132, 0), 0) * 0.8)) + ($N81 * (INDEX(PlaysPerGame!$BM$3:$BM$132, MATCH("LA Tech",PlaysPerGame!$BC$3:$BC$132, 0), 0) * 0.8)) + ($O81 * 0.1) + ($P81 * 0.1)</f>
        <v>0.43970419853338</v>
      </c>
      <c r="R81" s="9">
        <f t="shared" si="1"/>
        <v>78</v>
      </c>
      <c r="S81" s="112" t="s">
        <v>214</v>
      </c>
    </row>
    <row r="82" spans="1:19" x14ac:dyDescent="0.2">
      <c r="A82" s="68" t="s">
        <v>54</v>
      </c>
      <c r="B82" s="9" t="s">
        <v>39</v>
      </c>
      <c r="C82" s="72">
        <f>INDEX(FPI!$H$3:$H$138, MATCH($A82&amp;", "&amp;$B82,FPI!$B$3:$B$138, 0), 0)</f>
        <v>-6.1</v>
      </c>
      <c r="D82" s="73">
        <f>INDEX(Eff!$F$3:$F$138, MATCH($A82&amp;", "&amp;$B82,Eff!$B$3:$B$138, 0), 0)</f>
        <v>49.7</v>
      </c>
      <c r="E82" s="73">
        <f>INDEX(Eff!$C$3:$C$138, MATCH($A82&amp;", "&amp;$B82,Eff!$B$3:$B$138, 0), 0)</f>
        <v>55.9</v>
      </c>
      <c r="F82" s="73">
        <f>INDEX(Eff!$D$3:$D$138, MATCH($A82&amp;", "&amp;$B82,Eff!$B$3:$B$138, 0), 0)</f>
        <v>41.6</v>
      </c>
      <c r="G82" s="73">
        <f>INDEX(Eff!$E$3:$E$138, MATCH($A82&amp;", "&amp;$B82,Eff!$B$3:$B$138, 0), 0)</f>
        <v>60.1</v>
      </c>
      <c r="H82" s="31">
        <f>INDEX(FEI!$D$1:$D$139, MATCH($A82,FEI!$B$1:$B$139, 0), 0)</f>
        <v>-0.25</v>
      </c>
      <c r="I82" s="31">
        <f>INDEX(FEI!$E$1:$E$139, MATCH($A82,FEI!$B$1:$B$139, 0), 0)</f>
        <v>-0.02</v>
      </c>
      <c r="J82" s="31">
        <f>INDEX(FEI!$G$1:$G$139, MATCH($A82,FEI!$B$1:$B$139, 0), 0)</f>
        <v>-0.45</v>
      </c>
      <c r="K82" s="71">
        <f>INDEX('Billingsley 130'!$O$2:$O$131, MATCH($A82,'Billingsley 130'!$D$2:$D$131, 0), 0)</f>
        <v>215.57</v>
      </c>
      <c r="L82" s="81">
        <f>((($E82 - MIN($E$4:$E$133)) / (MAX($E$4:$E$133) - MIN($E$4:$E$133))) + (($I82 - MIN($I$4:$I$133)) / (MAX($I$4:$I$133) - MIN($I$4:$I$133)))) / 2</f>
        <v>0.43620761266205832</v>
      </c>
      <c r="M82" s="73">
        <f>((($F82 - MIN($F$4:$F$133)) / (MAX($F$4:$F$133) - MIN($F$4:$F$133))) + (($J82 - MIN($J$4:$J$133)) / (MAX($J$4:$J$133) - MIN($J$4:$J$133)))) / 2</f>
        <v>0.43957872084441885</v>
      </c>
      <c r="N82" s="73">
        <f>($G82 - MIN($G$4:$G$133)) / (MAX($G$4:$G$133) - MIN($G$4:$G$133))</f>
        <v>0.58909574468085102</v>
      </c>
      <c r="O82" s="73">
        <f>($K82 - MIN($K$4:$K$133)) / (MAX($K$4:$K$133) - MIN($K$4:$K$133))</f>
        <v>0.32136123754604906</v>
      </c>
      <c r="P82" s="84">
        <f>(($C82 - MIN($C$4:$C$133)) / (MAX($C$4:$C$133) - MIN($C$4:$C$133)) + ($D82 - MIN($D$4:$D$133)) / (MAX($D$4:$D$133) - MIN($D$4:$D$133)) + ($H82 - MIN($H$4:$H$133)) / (MAX($H$4:$H$133) - MIN($H$4:$H$133))) / 3</f>
        <v>0.44089799512504263</v>
      </c>
      <c r="Q82" s="81">
        <f xml:space="preserve"> ($L82 * (INDEX(PlaysPerGame!$BK$3:$BK$132, MATCH("Arkansas St",PlaysPerGame!$BC$3:$BC$132, 0), 0) * 0.8))+ ($M82 * (INDEX(PlaysPerGame!$BL$3:$BL$132, MATCH("Arkansas St",PlaysPerGame!$BC$3:$BC$132, 0), 0) * 0.8)) + ($N82 * (INDEX(PlaysPerGame!$BM$3:$BM$132, MATCH("Arkansas St",PlaysPerGame!$BC$3:$BC$132, 0), 0) * 0.8)) + ($O82 * 0.1) + ($P82 * 0.1)</f>
        <v>0.43639596087483656</v>
      </c>
      <c r="R82" s="9">
        <f t="shared" si="1"/>
        <v>79</v>
      </c>
      <c r="S82" s="112" t="s">
        <v>54</v>
      </c>
    </row>
    <row r="83" spans="1:19" x14ac:dyDescent="0.2">
      <c r="A83" s="68" t="s">
        <v>439</v>
      </c>
      <c r="B83" s="9" t="s">
        <v>87</v>
      </c>
      <c r="C83" s="72">
        <f>INDEX(FPI!$H$3:$H$138, MATCH($A83&amp;", "&amp;$B83,FPI!$B$3:$B$138, 0), 0)</f>
        <v>-1</v>
      </c>
      <c r="D83" s="73">
        <f>INDEX(Eff!$F$3:$F$138, MATCH($A83&amp;", "&amp;$B83,Eff!$B$3:$B$138, 0), 0)</f>
        <v>45.5</v>
      </c>
      <c r="E83" s="73">
        <f>INDEX(Eff!$C$3:$C$138, MATCH($A83&amp;", "&amp;$B83,Eff!$B$3:$B$138, 0), 0)</f>
        <v>44.8</v>
      </c>
      <c r="F83" s="73">
        <f>INDEX(Eff!$D$3:$D$138, MATCH($A83&amp;", "&amp;$B83,Eff!$B$3:$B$138, 0), 0)</f>
        <v>46.8</v>
      </c>
      <c r="G83" s="73">
        <f>INDEX(Eff!$E$3:$E$138, MATCH($A83&amp;", "&amp;$B83,Eff!$B$3:$B$138, 0), 0)</f>
        <v>53.4</v>
      </c>
      <c r="H83" s="31">
        <f>INDEX(FEI!$D$1:$D$139, MATCH($A83,FEI!$B$1:$B$139, 0), 0)</f>
        <v>-0.26</v>
      </c>
      <c r="I83" s="31">
        <f>INDEX(FEI!$E$1:$E$139, MATCH($A83,FEI!$B$1:$B$139, 0), 0)</f>
        <v>-0.05</v>
      </c>
      <c r="J83" s="31">
        <f>INDEX(FEI!$G$1:$G$139, MATCH($A83,FEI!$B$1:$B$139, 0), 0)</f>
        <v>-0.49</v>
      </c>
      <c r="K83" s="71">
        <f>INDEX('Billingsley 130'!$O$2:$O$131, MATCH($A83,'Billingsley 130'!$D$2:$D$131, 0), 0)</f>
        <v>237.202</v>
      </c>
      <c r="L83" s="81">
        <f>((($E83 - MIN($E$4:$E$133)) / (MAX($E$4:$E$133) - MIN($E$4:$E$133))) + (($I83 - MIN($I$4:$I$133)) / (MAX($I$4:$I$133) - MIN($I$4:$I$133)))) / 2</f>
        <v>0.37123149494170349</v>
      </c>
      <c r="M83" s="73">
        <f>((($F83 - MIN($F$4:$F$133)) / (MAX($F$4:$F$133) - MIN($F$4:$F$133))) + (($J83 - MIN($J$4:$J$133)) / (MAX($J$4:$J$133) - MIN($J$4:$J$133)))) / 2</f>
        <v>0.46246906919198499</v>
      </c>
      <c r="N83" s="73">
        <f>($G83 - MIN($G$4:$G$133)) / (MAX($G$4:$G$133) - MIN($G$4:$G$133))</f>
        <v>0.49999999999999989</v>
      </c>
      <c r="O83" s="73">
        <f>($K83 - MIN($K$4:$K$133)) / (MAX($K$4:$K$133) - MIN($K$4:$K$133))</f>
        <v>0.4920050170785773</v>
      </c>
      <c r="P83" s="84">
        <f>(($C83 - MIN($C$4:$C$133)) / (MAX($C$4:$C$133) - MIN($C$4:$C$133)) + ($D83 - MIN($D$4:$D$133)) / (MAX($D$4:$D$133) - MIN($D$4:$D$133)) + ($H83 - MIN($H$4:$H$133)) / (MAX($H$4:$H$133) - MIN($H$4:$H$133))) / 3</f>
        <v>0.45209226524174689</v>
      </c>
      <c r="Q83" s="81">
        <f xml:space="preserve"> ($L83 * (INDEX(PlaysPerGame!$BK$3:$BK$132, MATCH("VA Tech",PlaysPerGame!$BC$3:$BC$132, 0), 0) * 0.8))+ ($M83 * (INDEX(PlaysPerGame!$BL$3:$BL$132, MATCH("VA Tech",PlaysPerGame!$BC$3:$BC$132, 0), 0) * 0.8)) + ($N83 * (INDEX(PlaysPerGame!$BM$3:$BM$132, MATCH("VA Tech",PlaysPerGame!$BC$3:$BC$132, 0), 0) * 0.8)) + ($O83 * 0.1) + ($P83 * 0.1)</f>
        <v>0.43352494176319883</v>
      </c>
      <c r="R83" s="9">
        <f t="shared" si="1"/>
        <v>80</v>
      </c>
      <c r="S83" s="112" t="s">
        <v>439</v>
      </c>
    </row>
    <row r="84" spans="1:19" x14ac:dyDescent="0.2">
      <c r="A84" s="68" t="s">
        <v>83</v>
      </c>
      <c r="B84" s="9" t="s">
        <v>87</v>
      </c>
      <c r="C84" s="72">
        <f>INDEX(FPI!$H$3:$H$138, MATCH($A84&amp;", "&amp;$B84,FPI!$B$3:$B$138, 0), 0)</f>
        <v>-3.1</v>
      </c>
      <c r="D84" s="73">
        <f>INDEX(Eff!$F$3:$F$138, MATCH($A84&amp;", "&amp;$B84,Eff!$B$3:$B$138, 0), 0)</f>
        <v>46</v>
      </c>
      <c r="E84" s="73">
        <f>INDEX(Eff!$C$3:$C$138, MATCH($A84&amp;", "&amp;$B84,Eff!$B$3:$B$138, 0), 0)</f>
        <v>60.5</v>
      </c>
      <c r="F84" s="73">
        <f>INDEX(Eff!$D$3:$D$138, MATCH($A84&amp;", "&amp;$B84,Eff!$B$3:$B$138, 0), 0)</f>
        <v>34</v>
      </c>
      <c r="G84" s="73">
        <f>INDEX(Eff!$E$3:$E$138, MATCH($A84&amp;", "&amp;$B84,Eff!$B$3:$B$138, 0), 0)</f>
        <v>47.6</v>
      </c>
      <c r="H84" s="31">
        <f>INDEX(FEI!$D$1:$D$139, MATCH($A84,FEI!$B$1:$B$139, 0), 0)</f>
        <v>-0.21</v>
      </c>
      <c r="I84" s="31">
        <f>INDEX(FEI!$E$1:$E$139, MATCH($A84,FEI!$B$1:$B$139, 0), 0)</f>
        <v>7.0000000000000007E-2</v>
      </c>
      <c r="J84" s="31">
        <f>INDEX(FEI!$G$1:$G$139, MATCH($A84,FEI!$B$1:$B$139, 0), 0)</f>
        <v>-0.46</v>
      </c>
      <c r="K84" s="71">
        <f>INDEX('Billingsley 130'!$O$2:$O$131, MATCH($A84,'Billingsley 130'!$D$2:$D$131, 0), 0)</f>
        <v>224.72800000000001</v>
      </c>
      <c r="L84" s="81">
        <f>((($E84 - MIN($E$4:$E$133)) / (MAX($E$4:$E$133) - MIN($E$4:$E$133))) + (($I84 - MIN($I$4:$I$133)) / (MAX($I$4:$I$133) - MIN($I$4:$I$133)))) / 2</f>
        <v>0.47361675616340826</v>
      </c>
      <c r="M84" s="73">
        <f>((($F84 - MIN($F$4:$F$133)) / (MAX($F$4:$F$133) - MIN($F$4:$F$133))) + (($J84 - MIN($J$4:$J$133)) / (MAX($J$4:$J$133) - MIN($J$4:$J$133)))) / 2</f>
        <v>0.39645388751418636</v>
      </c>
      <c r="N84" s="73">
        <f>($G84 - MIN($G$4:$G$133)) / (MAX($G$4:$G$133) - MIN($G$4:$G$133))</f>
        <v>0.4228723404255319</v>
      </c>
      <c r="O84" s="73">
        <f>($K84 - MIN($K$4:$K$133)) / (MAX($K$4:$K$133) - MIN($K$4:$K$133))</f>
        <v>0.39360401366286191</v>
      </c>
      <c r="P84" s="84">
        <f>(($C84 - MIN($C$4:$C$133)) / (MAX($C$4:$C$133) - MIN($C$4:$C$133)) + ($D84 - MIN($D$4:$D$133)) / (MAX($D$4:$D$133) - MIN($D$4:$D$133)) + ($H84 - MIN($H$4:$H$133)) / (MAX($H$4:$H$133) - MIN($H$4:$H$133))) / 3</f>
        <v>0.44770695381339093</v>
      </c>
      <c r="Q84" s="81">
        <f xml:space="preserve"> ($L84 * (INDEX(PlaysPerGame!$BK$3:$BK$132, MATCH("Boston Col",PlaysPerGame!$BC$3:$BC$132, 0), 0) * 0.8))+ ($M84 * (INDEX(PlaysPerGame!$BL$3:$BL$132, MATCH("Boston Col",PlaysPerGame!$BC$3:$BC$132, 0), 0) * 0.8)) + ($N84 * (INDEX(PlaysPerGame!$BM$3:$BM$132, MATCH("Boston Col",PlaysPerGame!$BC$3:$BC$132, 0), 0) * 0.8)) + ($O84 * 0.1) + ($P84 * 0.1)</f>
        <v>0.4319622637284371</v>
      </c>
      <c r="R84" s="9">
        <f t="shared" si="1"/>
        <v>81</v>
      </c>
      <c r="S84" s="112" t="s">
        <v>83</v>
      </c>
    </row>
    <row r="85" spans="1:19" x14ac:dyDescent="0.2">
      <c r="A85" s="68" t="s">
        <v>355</v>
      </c>
      <c r="B85" s="9" t="s">
        <v>63</v>
      </c>
      <c r="C85" s="72">
        <f>INDEX(FPI!$H$3:$H$138, MATCH($A85&amp;", "&amp;$B85,FPI!$B$3:$B$138, 0), 0)</f>
        <v>-4.5</v>
      </c>
      <c r="D85" s="73">
        <f>INDEX(Eff!$F$3:$F$138, MATCH($A85&amp;", "&amp;$B85,Eff!$B$3:$B$138, 0), 0)</f>
        <v>45.2</v>
      </c>
      <c r="E85" s="73">
        <f>INDEX(Eff!$C$3:$C$138, MATCH($A85&amp;", "&amp;$B85,Eff!$B$3:$B$138, 0), 0)</f>
        <v>61.2</v>
      </c>
      <c r="F85" s="73">
        <f>INDEX(Eff!$D$3:$D$138, MATCH($A85&amp;", "&amp;$B85,Eff!$B$3:$B$138, 0), 0)</f>
        <v>23.3</v>
      </c>
      <c r="G85" s="73">
        <f>INDEX(Eff!$E$3:$E$138, MATCH($A85&amp;", "&amp;$B85,Eff!$B$3:$B$138, 0), 0)</f>
        <v>73.400000000000006</v>
      </c>
      <c r="H85" s="31">
        <f>INDEX(FEI!$D$1:$D$139, MATCH("Southern Mississippi",FEI!$B$1:$B$139, 0), 0)</f>
        <v>-0.3</v>
      </c>
      <c r="I85" s="31">
        <f>INDEX(FEI!$E$1:$E$139, MATCH("Southern Mississippi",FEI!$B$1:$B$139, 0), 0)</f>
        <v>0.2</v>
      </c>
      <c r="J85" s="31">
        <f>INDEX(FEI!$G$1:$G$139, MATCH("Southern Mississippi",FEI!$B$1:$B$139, 0), 0)</f>
        <v>-0.87</v>
      </c>
      <c r="K85" s="71">
        <f>INDEX('Billingsley 130'!$O$2:$O$131, MATCH($A85,'Billingsley 130'!$D$2:$D$131, 0), 0)</f>
        <v>239.96100000000001</v>
      </c>
      <c r="L85" s="81">
        <f>((($E85 - MIN($E$4:$E$133)) / (MAX($E$4:$E$133) - MIN($E$4:$E$133))) + (($I85 - MIN($I$4:$I$133)) / (MAX($I$4:$I$133) - MIN($I$4:$I$133)))) / 2</f>
        <v>0.49502625567389569</v>
      </c>
      <c r="M85" s="73">
        <f>((($F85 - MIN($F$4:$F$133)) / (MAX($F$4:$F$133) - MIN($F$4:$F$133))) + (($J85 - MIN($J$4:$J$133)) / (MAX($J$4:$J$133) - MIN($J$4:$J$133)))) / 2</f>
        <v>0.27981760900978003</v>
      </c>
      <c r="N85" s="73">
        <f>($G85 - MIN($G$4:$G$133)) / (MAX($G$4:$G$133) - MIN($G$4:$G$133))</f>
        <v>0.76595744680851074</v>
      </c>
      <c r="O85" s="73">
        <f>($K85 - MIN($K$4:$K$133)) / (MAX($K$4:$K$133) - MIN($K$4:$K$133))</f>
        <v>0.5137693563782374</v>
      </c>
      <c r="P85" s="84">
        <f>(($C85 - MIN($C$4:$C$133)) / (MAX($C$4:$C$133) - MIN($C$4:$C$133)) + ($D85 - MIN($D$4:$D$133)) / (MAX($D$4:$D$133) - MIN($D$4:$D$133)) + ($H85 - MIN($H$4:$H$133)) / (MAX($H$4:$H$133) - MIN($H$4:$H$133))) / 3</f>
        <v>0.42846005532542808</v>
      </c>
      <c r="Q85" s="81">
        <f xml:space="preserve"> ($L85 * (INDEX(PlaysPerGame!$BK$3:$BK$132, MATCH("S Mississippi",PlaysPerGame!$BC$3:$BC$132, 0), 0) * 0.8))+ ($M85 * (INDEX(PlaysPerGame!$BL$3:$BL$132, MATCH("S Mississippi",PlaysPerGame!$BC$3:$BC$132, 0), 0) * 0.8)) + ($N85 * (INDEX(PlaysPerGame!$BM$3:$BM$132, MATCH("S Mississippi",PlaysPerGame!$BC$3:$BC$132, 0), 0) * 0.8)) + ($O85 * 0.1) + ($P85 * 0.1)</f>
        <v>0.43056198773283039</v>
      </c>
      <c r="R85" s="9">
        <f t="shared" si="1"/>
        <v>82</v>
      </c>
      <c r="S85" s="112" t="s">
        <v>355</v>
      </c>
    </row>
    <row r="86" spans="1:19" x14ac:dyDescent="0.2">
      <c r="A86" s="68" t="s">
        <v>398</v>
      </c>
      <c r="B86" s="9" t="s">
        <v>63</v>
      </c>
      <c r="C86" s="72">
        <f>INDEX(FPI!$H$3:$H$138, MATCH($A86&amp;", "&amp;$B86,FPI!$B$3:$B$138, 0), 0)</f>
        <v>-10.3</v>
      </c>
      <c r="D86" s="73">
        <f>INDEX(Eff!$F$3:$F$138, MATCH($A86&amp;", "&amp;$B86,Eff!$B$3:$B$138, 0), 0)</f>
        <v>34.4</v>
      </c>
      <c r="E86" s="73">
        <f>INDEX(Eff!$C$3:$C$138, MATCH($A86&amp;", "&amp;$B86,Eff!$B$3:$B$138, 0), 0)</f>
        <v>31.5</v>
      </c>
      <c r="F86" s="73">
        <f>INDEX(Eff!$D$3:$D$138, MATCH($A86&amp;", "&amp;$B86,Eff!$B$3:$B$138, 0), 0)</f>
        <v>38.799999999999997</v>
      </c>
      <c r="G86" s="73">
        <f>INDEX(Eff!$E$3:$E$138, MATCH($A86&amp;", "&amp;$B86,Eff!$B$3:$B$138, 0), 0)</f>
        <v>62.6</v>
      </c>
      <c r="H86" s="31">
        <f>INDEX(FEI!$D$1:$D$139, MATCH($A86,FEI!$B$1:$B$139, 0), 0)</f>
        <v>-0.04</v>
      </c>
      <c r="I86" s="31">
        <f>INDEX(FEI!$E$1:$E$139, MATCH($A86,FEI!$B$1:$B$139, 0), 0)</f>
        <v>0.13</v>
      </c>
      <c r="J86" s="31">
        <f>INDEX(FEI!$G$1:$G$139, MATCH($A86,FEI!$B$1:$B$139, 0), 0)</f>
        <v>-0.04</v>
      </c>
      <c r="K86" s="71">
        <f>INDEX('Billingsley 130'!$O$2:$O$131, MATCH($A86,'Billingsley 130'!$D$2:$D$131, 0), 0)</f>
        <v>233.203</v>
      </c>
      <c r="L86" s="81">
        <f>((($E86 - MIN($E$4:$E$133)) / (MAX($E$4:$E$133) - MIN($E$4:$E$133))) + (($I86 - MIN($I$4:$I$133)) / (MAX($I$4:$I$133) - MIN($I$4:$I$133)))) / 2</f>
        <v>0.32255911235055035</v>
      </c>
      <c r="M86" s="73">
        <f>((($F86 - MIN($F$4:$F$133)) / (MAX($F$4:$F$133) - MIN($F$4:$F$133))) + (($J86 - MIN($J$4:$J$133)) / (MAX($J$4:$J$133) - MIN($J$4:$J$133)))) / 2</f>
        <v>0.48212059759251336</v>
      </c>
      <c r="N86" s="73">
        <f>($G86 - MIN($G$4:$G$133)) / (MAX($G$4:$G$133) - MIN($G$4:$G$133))</f>
        <v>0.62234042553191482</v>
      </c>
      <c r="O86" s="73">
        <f>($K86 - MIN($K$4:$K$133)) / (MAX($K$4:$K$133) - MIN($K$4:$K$133))</f>
        <v>0.46045895225098021</v>
      </c>
      <c r="P86" s="84">
        <f>(($C86 - MIN($C$4:$C$133)) / (MAX($C$4:$C$133) - MIN($C$4:$C$133)) + ($D86 - MIN($D$4:$D$133)) / (MAX($D$4:$D$133) - MIN($D$4:$D$133)) + ($H86 - MIN($H$4:$H$133)) / (MAX($H$4:$H$133) - MIN($H$4:$H$133))) / 3</f>
        <v>0.38536542326516815</v>
      </c>
      <c r="Q86" s="81">
        <f xml:space="preserve"> ($L86 * (INDEX(PlaysPerGame!$BK$3:$BK$132, MATCH($A86,PlaysPerGame!$BC$3:$BC$132, 0), 0) * 0.8))+ ($M86 * (INDEX(PlaysPerGame!$BL$3:$BL$132, MATCH($A86,PlaysPerGame!$BC$3:$BC$132, 0), 0) * 0.8)) + ($N86 * (INDEX(PlaysPerGame!$BM$3:$BM$132, MATCH($A86,PlaysPerGame!$BC$3:$BC$132, 0), 0) * 0.8)) + ($O86 * 0.1) + ($P86 * 0.1)</f>
        <v>0.42051553778007977</v>
      </c>
      <c r="R86" s="9">
        <f t="shared" si="1"/>
        <v>83</v>
      </c>
      <c r="S86" s="112" t="s">
        <v>398</v>
      </c>
    </row>
    <row r="87" spans="1:19" x14ac:dyDescent="0.2">
      <c r="A87" s="68" t="s">
        <v>239</v>
      </c>
      <c r="B87" s="9" t="s">
        <v>28</v>
      </c>
      <c r="C87" s="72">
        <f>INDEX(FPI!$H$3:$H$138, MATCH($A87&amp;", "&amp;$B87,FPI!$B$3:$B$138, 0), 0)</f>
        <v>-11.7</v>
      </c>
      <c r="D87" s="73">
        <f>INDEX(Eff!$F$3:$F$138, MATCH($A87&amp;", "&amp;$B87,Eff!$B$3:$B$138, 0), 0)</f>
        <v>45.7</v>
      </c>
      <c r="E87" s="73">
        <f>INDEX(Eff!$C$3:$C$138, MATCH($A87&amp;", "&amp;$B87,Eff!$B$3:$B$138, 0), 0)</f>
        <v>28.4</v>
      </c>
      <c r="F87" s="73">
        <f>INDEX(Eff!$D$3:$D$138, MATCH($A87&amp;", "&amp;$B87,Eff!$B$3:$B$138, 0), 0)</f>
        <v>57.2</v>
      </c>
      <c r="G87" s="73">
        <f>INDEX(Eff!$E$3:$E$138, MATCH($A87&amp;", "&amp;$B87,Eff!$B$3:$B$138, 0), 0)</f>
        <v>71.2</v>
      </c>
      <c r="H87" s="31">
        <f>INDEX(FEI!$D$1:$D$139, MATCH($A87,FEI!$B$1:$B$139, 0), 0)</f>
        <v>-0.4</v>
      </c>
      <c r="I87" s="31">
        <f>INDEX(FEI!$E$1:$E$139, MATCH($A87,FEI!$B$1:$B$139, 0), 0)</f>
        <v>-0.43</v>
      </c>
      <c r="J87" s="31">
        <f>INDEX(FEI!$G$1:$G$139, MATCH($A87,FEI!$B$1:$B$139, 0), 0)</f>
        <v>-0.35</v>
      </c>
      <c r="K87" s="71">
        <f>INDEX('Billingsley 130'!$O$2:$O$131, MATCH("Miami (Ohio)",'Billingsley 130'!$D$2:$D$131, 0), 0)</f>
        <v>224.62299999999999</v>
      </c>
      <c r="L87" s="81">
        <f>((($E87 - MIN($E$4:$E$133)) / (MAX($E$4:$E$133) - MIN($E$4:$E$133))) + (($I87 - MIN($I$4:$I$133)) / (MAX($I$4:$I$133) - MIN($I$4:$I$133)))) / 2</f>
        <v>0.22986916664194382</v>
      </c>
      <c r="M87" s="73">
        <f>((($F87 - MIN($F$4:$F$133)) / (MAX($F$4:$F$133) - MIN($F$4:$F$133))) + (($J87 - MIN($J$4:$J$133)) / (MAX($J$4:$J$133) - MIN($J$4:$J$133)))) / 2</f>
        <v>0.53932321221480095</v>
      </c>
      <c r="N87" s="73">
        <f>($G87 - MIN($G$4:$G$133)) / (MAX($G$4:$G$133) - MIN($G$4:$G$133))</f>
        <v>0.73670212765957455</v>
      </c>
      <c r="O87" s="73">
        <f>($K87 - MIN($K$4:$K$133)) / (MAX($K$4:$K$133) - MIN($K$4:$K$133))</f>
        <v>0.3927757223883187</v>
      </c>
      <c r="P87" s="84">
        <f>(($C87 - MIN($C$4:$C$133)) / (MAX($C$4:$C$133) - MIN($C$4:$C$133)) + ($D87 - MIN($D$4:$D$133)) / (MAX($D$4:$D$133) - MIN($D$4:$D$133)) + ($H87 - MIN($H$4:$H$133)) / (MAX($H$4:$H$133) - MIN($H$4:$H$133))) / 3</f>
        <v>0.38203462032256513</v>
      </c>
      <c r="Q87" s="81">
        <f xml:space="preserve"> ($L87 * (INDEX(PlaysPerGame!$BK$3:$BK$132, MATCH($A87,PlaysPerGame!$BC$3:$BC$132, 0), 0) * 0.8))+ ($M87 * (INDEX(PlaysPerGame!$BL$3:$BL$132, MATCH($A87,PlaysPerGame!$BC$3:$BC$132, 0), 0) * 0.8)) + ($N87 * (INDEX(PlaysPerGame!$BM$3:$BM$132, MATCH($A87,PlaysPerGame!$BC$3:$BC$132, 0), 0) * 0.8)) + ($O87 * 0.1) + ($P87 * 0.1)</f>
        <v>0.4164202200334679</v>
      </c>
      <c r="R87" s="9">
        <f t="shared" si="1"/>
        <v>84</v>
      </c>
      <c r="S87" s="112" t="s">
        <v>239</v>
      </c>
    </row>
    <row r="88" spans="1:19" x14ac:dyDescent="0.2">
      <c r="A88" s="68" t="s">
        <v>405</v>
      </c>
      <c r="B88" s="9" t="s">
        <v>45</v>
      </c>
      <c r="C88" s="72">
        <f>INDEX(FPI!$H$3:$H$138, MATCH($A88&amp;", "&amp;$B88,FPI!$B$3:$B$138, 0), 0)</f>
        <v>1.4</v>
      </c>
      <c r="D88" s="73">
        <f>INDEX(Eff!$F$3:$F$138, MATCH($A88&amp;", "&amp;$B88,Eff!$B$3:$B$138, 0), 0)</f>
        <v>41.2</v>
      </c>
      <c r="E88" s="73">
        <f>INDEX(Eff!$C$3:$C$138, MATCH($A88&amp;", "&amp;$B88,Eff!$B$3:$B$138, 0), 0)</f>
        <v>41.9</v>
      </c>
      <c r="F88" s="73">
        <f>INDEX(Eff!$D$3:$D$138, MATCH($A88&amp;", "&amp;$B88,Eff!$B$3:$B$138, 0), 0)</f>
        <v>41.7</v>
      </c>
      <c r="G88" s="73">
        <f>INDEX(Eff!$E$3:$E$138, MATCH($A88&amp;", "&amp;$B88,Eff!$B$3:$B$138, 0), 0)</f>
        <v>57.3</v>
      </c>
      <c r="H88" s="31">
        <f>INDEX(FEI!$D$1:$D$139, MATCH($A88,FEI!$B$1:$B$139, 0), 0)</f>
        <v>-0.2</v>
      </c>
      <c r="I88" s="31">
        <f>INDEX(FEI!$E$1:$E$139, MATCH($A88,FEI!$B$1:$B$139, 0), 0)</f>
        <v>0.13</v>
      </c>
      <c r="J88" s="31">
        <f>INDEX(FEI!$G$1:$G$139, MATCH($A88,FEI!$B$1:$B$139, 0), 0)</f>
        <v>-0.47</v>
      </c>
      <c r="K88" s="71">
        <f>INDEX('Billingsley 130'!$O$2:$O$131, MATCH($A88,'Billingsley 130'!$D$2:$D$131, 0), 0)</f>
        <v>217.547</v>
      </c>
      <c r="L88" s="81">
        <f>((($E88 - MIN($E$4:$E$133)) / (MAX($E$4:$E$133) - MIN($E$4:$E$133))) + (($I88 - MIN($I$4:$I$133)) / (MAX($I$4:$I$133) - MIN($I$4:$I$133)))) / 2</f>
        <v>0.37963924407393124</v>
      </c>
      <c r="M88" s="73">
        <f>((($F88 - MIN($F$4:$F$133)) / (MAX($F$4:$F$133) - MIN($F$4:$F$133))) + (($J88 - MIN($J$4:$J$133)) / (MAX($J$4:$J$133) - MIN($J$4:$J$133)))) / 2</f>
        <v>0.43730270950777383</v>
      </c>
      <c r="N88" s="73">
        <f>($G88 - MIN($G$4:$G$133)) / (MAX($G$4:$G$133) - MIN($G$4:$G$133))</f>
        <v>0.5518617021276595</v>
      </c>
      <c r="O88" s="73">
        <f>($K88 - MIN($K$4:$K$133)) / (MAX($K$4:$K$133) - MIN($K$4:$K$133))</f>
        <v>0.33695677897244553</v>
      </c>
      <c r="P88" s="84">
        <f>(($C88 - MIN($C$4:$C$133)) / (MAX($C$4:$C$133) - MIN($C$4:$C$133)) + ($D88 - MIN($D$4:$D$133)) / (MAX($D$4:$D$133) - MIN($D$4:$D$133)) + ($H88 - MIN($H$4:$H$133)) / (MAX($H$4:$H$133) - MIN($H$4:$H$133))) / 3</f>
        <v>0.45558712002610996</v>
      </c>
      <c r="Q88" s="81">
        <f xml:space="preserve"> ($L88 * (INDEX(PlaysPerGame!$BK$3:$BK$132, MATCH($A88,PlaysPerGame!$BC$3:$BC$132, 0), 0) * 0.8))+ ($M88 * (INDEX(PlaysPerGame!$BL$3:$BL$132, MATCH($A88,PlaysPerGame!$BC$3:$BC$132, 0), 0) * 0.8)) + ($N88 * (INDEX(PlaysPerGame!$BM$3:$BM$132, MATCH($A88,PlaysPerGame!$BC$3:$BC$132, 0), 0) * 0.8)) + ($O88 * 0.1) + ($P88 * 0.1)</f>
        <v>0.41308183702476753</v>
      </c>
      <c r="R88" s="9">
        <f t="shared" si="1"/>
        <v>85</v>
      </c>
      <c r="S88" s="112" t="s">
        <v>405</v>
      </c>
    </row>
    <row r="89" spans="1:19" x14ac:dyDescent="0.2">
      <c r="A89" s="68" t="s">
        <v>27</v>
      </c>
      <c r="B89" s="9" t="s">
        <v>28</v>
      </c>
      <c r="C89" s="72">
        <f>INDEX(FPI!$H$3:$H$138, MATCH($A89&amp;", "&amp;$B89,FPI!$B$3:$B$138, 0), 0)</f>
        <v>-7.6</v>
      </c>
      <c r="D89" s="73">
        <f>INDEX(Eff!$F$3:$F$138, MATCH($A89&amp;", "&amp;$B89,Eff!$B$3:$B$138, 0), 0)</f>
        <v>39.700000000000003</v>
      </c>
      <c r="E89" s="73">
        <f>INDEX(Eff!$C$3:$C$138, MATCH($A89&amp;", "&amp;$B89,Eff!$B$3:$B$138, 0), 0)</f>
        <v>46.5</v>
      </c>
      <c r="F89" s="73">
        <f>INDEX(Eff!$D$3:$D$138, MATCH($A89&amp;", "&amp;$B89,Eff!$B$3:$B$138, 0), 0)</f>
        <v>37.299999999999997</v>
      </c>
      <c r="G89" s="73">
        <f>INDEX(Eff!$E$3:$E$138, MATCH($A89&amp;", "&amp;$B89,Eff!$B$3:$B$138, 0), 0)</f>
        <v>50.3</v>
      </c>
      <c r="H89" s="31">
        <f>INDEX(FEI!$D$1:$D$139, MATCH($A89,FEI!$B$1:$B$139, 0), 0)</f>
        <v>-0.18</v>
      </c>
      <c r="I89" s="31">
        <f>INDEX(FEI!$E$1:$E$139, MATCH($A89,FEI!$B$1:$B$139, 0), 0)</f>
        <v>-0.06</v>
      </c>
      <c r="J89" s="31">
        <f>INDEX(FEI!$G$1:$G$139, MATCH($A89,FEI!$B$1:$B$139, 0), 0)</f>
        <v>-0.39</v>
      </c>
      <c r="K89" s="71">
        <f>INDEX('Billingsley 130'!$O$2:$O$131, MATCH($A89,'Billingsley 130'!$D$2:$D$131, 0), 0)</f>
        <v>229.06700000000001</v>
      </c>
      <c r="L89" s="81">
        <f>((($E89 - MIN($E$4:$E$133)) / (MAX($E$4:$E$133) - MIN($E$4:$E$133))) + (($I89 - MIN($I$4:$I$133)) / (MAX($I$4:$I$133) - MIN($I$4:$I$133)))) / 2</f>
        <v>0.37921054973744328</v>
      </c>
      <c r="M89" s="73">
        <f>((($F89 - MIN($F$4:$F$133)) / (MAX($F$4:$F$133) - MIN($F$4:$F$133))) + (($J89 - MIN($J$4:$J$133)) / (MAX($J$4:$J$133) - MIN($J$4:$J$133)))) / 2</f>
        <v>0.42445285803766891</v>
      </c>
      <c r="N89" s="73">
        <f>($G89 - MIN($G$4:$G$133)) / (MAX($G$4:$G$133) - MIN($G$4:$G$133))</f>
        <v>0.45877659574468083</v>
      </c>
      <c r="O89" s="73">
        <f>($K89 - MIN($K$4:$K$133)) / (MAX($K$4:$K$133) - MIN($K$4:$K$133))</f>
        <v>0.42783216452231271</v>
      </c>
      <c r="P89" s="84">
        <f>(($C89 - MIN($C$4:$C$133)) / (MAX($C$4:$C$133) - MIN($C$4:$C$133)) + ($D89 - MIN($D$4:$D$133)) / (MAX($D$4:$D$133) - MIN($D$4:$D$133)) + ($H89 - MIN($H$4:$H$133)) / (MAX($H$4:$H$133) - MIN($H$4:$H$133))) / 3</f>
        <v>0.40449893109264662</v>
      </c>
      <c r="Q89" s="81">
        <f xml:space="preserve"> ($L89 * (INDEX(PlaysPerGame!$BK$3:$BK$132, MATCH($A89,PlaysPerGame!$BC$3:$BC$132, 0), 0) * 0.8))+ ($M89 * (INDEX(PlaysPerGame!$BL$3:$BL$132, MATCH($A89,PlaysPerGame!$BC$3:$BC$132, 0), 0) * 0.8)) + ($N89 * (INDEX(PlaysPerGame!$BM$3:$BM$132, MATCH($A89,PlaysPerGame!$BC$3:$BC$132, 0), 0) * 0.8)) + ($O89 * 0.1) + ($P89 * 0.1)</f>
        <v>0.41038895577455775</v>
      </c>
      <c r="R89" s="9">
        <f t="shared" si="1"/>
        <v>86</v>
      </c>
      <c r="S89" s="112" t="s">
        <v>27</v>
      </c>
    </row>
    <row r="90" spans="1:19" x14ac:dyDescent="0.2">
      <c r="A90" s="68" t="s">
        <v>453</v>
      </c>
      <c r="B90" s="9" t="s">
        <v>63</v>
      </c>
      <c r="C90" s="72">
        <f>INDEX(FPI!$H$3:$H$138, MATCH("W Kentucky"&amp;", "&amp;$B90,FPI!$B$3:$B$138, 0), 0)</f>
        <v>-8.5</v>
      </c>
      <c r="D90" s="73">
        <f>INDEX(Eff!$F$3:$F$138, MATCH("W Kentucky"&amp;", "&amp;$B90,Eff!$B$3:$B$138, 0), 0)</f>
        <v>38.200000000000003</v>
      </c>
      <c r="E90" s="73">
        <f>INDEX(Eff!$C$3:$C$138, MATCH("W Kentucky"&amp;", "&amp;$B90,Eff!$B$3:$B$138, 0), 0)</f>
        <v>25.5</v>
      </c>
      <c r="F90" s="73">
        <f>INDEX(Eff!$D$3:$D$138, MATCH("W Kentucky"&amp;", "&amp;$B90,Eff!$B$3:$B$138, 0), 0)</f>
        <v>54.7</v>
      </c>
      <c r="G90" s="73">
        <f>INDEX(Eff!$E$3:$E$138, MATCH("W Kentucky"&amp;", "&amp;$B90,Eff!$B$3:$B$138, 0), 0)</f>
        <v>57.8</v>
      </c>
      <c r="H90" s="31">
        <f>INDEX(FEI!$D$1:$D$139, MATCH($A90,FEI!$B$1:$B$139, 0), 0)</f>
        <v>-0.08</v>
      </c>
      <c r="I90" s="31">
        <f>INDEX(FEI!$E$1:$E$139, MATCH($A90,FEI!$B$1:$B$139, 0), 0)</f>
        <v>-0.57999999999999996</v>
      </c>
      <c r="J90" s="31">
        <f>INDEX(FEI!$G$1:$G$139, MATCH($A90,FEI!$B$1:$B$139, 0), 0)</f>
        <v>0.31</v>
      </c>
      <c r="K90" s="71">
        <f>INDEX('Billingsley 130'!$O$2:$O$131, MATCH($A90,'Billingsley 130'!$D$2:$D$131, 0), 0)</f>
        <v>211.88300000000001</v>
      </c>
      <c r="L90" s="81">
        <f>((($E90 - MIN($E$4:$E$133)) / (MAX($E$4:$E$133) - MIN($E$4:$E$133))) + (($I90 - MIN($I$4:$I$133)) / (MAX($I$4:$I$133) - MIN($I$4:$I$133)))) / 2</f>
        <v>0.19368232117957696</v>
      </c>
      <c r="M90" s="73">
        <f>((($F90 - MIN($F$4:$F$133)) / (MAX($F$4:$F$133) - MIN($F$4:$F$133))) + (($J90 - MIN($J$4:$J$133)) / (MAX($J$4:$J$133) - MIN($J$4:$J$133)))) / 2</f>
        <v>0.61882236568742366</v>
      </c>
      <c r="N90" s="73">
        <f>($G90 - MIN($G$4:$G$133)) / (MAX($G$4:$G$133) - MIN($G$4:$G$133))</f>
        <v>0.55851063829787229</v>
      </c>
      <c r="O90" s="73">
        <f>($K90 - MIN($K$4:$K$133)) / (MAX($K$4:$K$133) - MIN($K$4:$K$133))</f>
        <v>0.29227638107709436</v>
      </c>
      <c r="P90" s="84">
        <f>(($C90 - MIN($C$4:$C$133)) / (MAX($C$4:$C$133) - MIN($C$4:$C$133)) + ($D90 - MIN($D$4:$D$133)) / (MAX($D$4:$D$133) - MIN($D$4:$D$133)) + ($H90 - MIN($H$4:$H$133)) / (MAX($H$4:$H$133) - MIN($H$4:$H$133))) / 3</f>
        <v>0.40438840466855946</v>
      </c>
      <c r="Q90" s="81">
        <f xml:space="preserve"> ($L90 * (INDEX(PlaysPerGame!$BK$3:$BK$132, MATCH("W Kentucky",PlaysPerGame!$BC$3:$BC$132, 0), 0) * 0.8))+ ($M90 * (INDEX(PlaysPerGame!$BL$3:$BL$132, MATCH("W Kentucky",PlaysPerGame!$BC$3:$BC$132, 0), 0) * 0.8)) + ($N90 * (INDEX(PlaysPerGame!$BM$3:$BM$132, MATCH("W Kentucky",PlaysPerGame!$BC$3:$BC$132, 0), 0) * 0.8)) + ($O90 * 0.1) + ($P90 * 0.1)</f>
        <v>0.40714613494397123</v>
      </c>
      <c r="R90" s="9">
        <f t="shared" si="1"/>
        <v>87</v>
      </c>
      <c r="S90" s="112" t="s">
        <v>453</v>
      </c>
    </row>
    <row r="91" spans="1:19" x14ac:dyDescent="0.2">
      <c r="A91" s="68" t="s">
        <v>161</v>
      </c>
      <c r="B91" s="9" t="s">
        <v>39</v>
      </c>
      <c r="C91" s="72">
        <f>INDEX(FPI!$H$3:$H$138, MATCH($A91&amp;", "&amp;$B91,FPI!$B$3:$B$138, 0), 0)</f>
        <v>-9.6999999999999993</v>
      </c>
      <c r="D91" s="73">
        <f>INDEX(Eff!$F$3:$F$138, MATCH($A91&amp;", "&amp;$B91,Eff!$B$3:$B$138, 0), 0)</f>
        <v>48.6</v>
      </c>
      <c r="E91" s="73">
        <f>INDEX(Eff!$C$3:$C$138, MATCH($A91&amp;", "&amp;$B91,Eff!$B$3:$B$138, 0), 0)</f>
        <v>79.8</v>
      </c>
      <c r="F91" s="73">
        <f>INDEX(Eff!$D$3:$D$138, MATCH($A91&amp;", "&amp;$B91,Eff!$B$3:$B$138, 0), 0)</f>
        <v>20.7</v>
      </c>
      <c r="G91" s="73">
        <f>INDEX(Eff!$E$3:$E$138, MATCH($A91&amp;", "&amp;$B91,Eff!$B$3:$B$138, 0), 0)</f>
        <v>22.6</v>
      </c>
      <c r="H91" s="31">
        <f>INDEX(FEI!$D$1:$D$139, MATCH($A91,FEI!$B$1:$B$139, 0), 0)</f>
        <v>-0.49</v>
      </c>
      <c r="I91" s="31">
        <f>INDEX(FEI!$E$1:$E$139, MATCH($A91,FEI!$B$1:$B$139, 0), 0)</f>
        <v>0.31</v>
      </c>
      <c r="J91" s="31">
        <f>INDEX(FEI!$G$1:$G$139, MATCH($A91,FEI!$B$1:$B$139, 0), 0)</f>
        <v>-1.1200000000000001</v>
      </c>
      <c r="K91" s="71">
        <f>INDEX('Billingsley 130'!$O$2:$O$131, MATCH($A91,'Billingsley 130'!$D$2:$D$131, 0), 0)</f>
        <v>216.74</v>
      </c>
      <c r="L91" s="81">
        <f>((($E91 - MIN($E$4:$E$133)) / (MAX($E$4:$E$133) - MIN($E$4:$E$133))) + (($I91 - MIN($I$4:$I$133)) / (MAX($I$4:$I$133) - MIN($I$4:$I$133)))) / 2</f>
        <v>0.61197674073634556</v>
      </c>
      <c r="M91" s="73">
        <f>((($F91 - MIN($F$4:$F$133)) / (MAX($F$4:$F$133) - MIN($F$4:$F$133))) + (($J91 - MIN($J$4:$J$133)) / (MAX($J$4:$J$133) - MIN($J$4:$J$133)))) / 2</f>
        <v>0.23023684161565797</v>
      </c>
      <c r="N91" s="73">
        <f>($G91 - MIN($G$4:$G$133)) / (MAX($G$4:$G$133) - MIN($G$4:$G$133))</f>
        <v>9.0425531914893623E-2</v>
      </c>
      <c r="O91" s="73">
        <f>($K91 - MIN($K$4:$K$133)) / (MAX($K$4:$K$133) - MIN($K$4:$K$133))</f>
        <v>0.33059076889095756</v>
      </c>
      <c r="P91" s="84">
        <f>(($C91 - MIN($C$4:$C$133)) / (MAX($C$4:$C$133) - MIN($C$4:$C$133)) + ($D91 - MIN($D$4:$D$133)) / (MAX($D$4:$D$133) - MIN($D$4:$D$133)) + ($H91 - MIN($H$4:$H$133)) / (MAX($H$4:$H$133) - MIN($H$4:$H$133))) / 3</f>
        <v>0.39394105512281041</v>
      </c>
      <c r="Q91" s="81">
        <f xml:space="preserve"> ($L91 * (INDEX(PlaysPerGame!$BK$3:$BK$132, MATCH($A91,PlaysPerGame!$BC$3:$BC$132, 0), 0) * 0.8))+ ($M91 * (INDEX(PlaysPerGame!$BL$3:$BL$132, MATCH($A91,PlaysPerGame!$BC$3:$BC$132, 0), 0) * 0.8)) + ($N91 * (INDEX(PlaysPerGame!$BM$3:$BM$132, MATCH($A91,PlaysPerGame!$BC$3:$BC$132, 0), 0) * 0.8)) + ($O91 * 0.1) + ($P91 * 0.1)</f>
        <v>0.40674357023238211</v>
      </c>
      <c r="R91" s="9">
        <f t="shared" si="1"/>
        <v>88</v>
      </c>
      <c r="S91" s="112" t="s">
        <v>161</v>
      </c>
    </row>
    <row r="92" spans="1:19" x14ac:dyDescent="0.2">
      <c r="A92" s="68" t="s">
        <v>286</v>
      </c>
      <c r="B92" s="9" t="s">
        <v>63</v>
      </c>
      <c r="C92" s="72">
        <f>INDEX(FPI!$H$3:$H$138, MATCH($A92&amp;", "&amp;$B92,FPI!$B$3:$B$138, 0), 0)</f>
        <v>-4.7</v>
      </c>
      <c r="D92" s="73">
        <f>INDEX(Eff!$F$3:$F$138, MATCH($A92&amp;", "&amp;$B92,Eff!$B$3:$B$138, 0), 0)</f>
        <v>36.6</v>
      </c>
      <c r="E92" s="73">
        <f>INDEX(Eff!$C$3:$C$138, MATCH($A92&amp;", "&amp;$B92,Eff!$B$3:$B$138, 0), 0)</f>
        <v>44.8</v>
      </c>
      <c r="F92" s="73">
        <f>INDEX(Eff!$D$3:$D$138, MATCH($A92&amp;", "&amp;$B92,Eff!$B$3:$B$138, 0), 0)</f>
        <v>35.6</v>
      </c>
      <c r="G92" s="73">
        <f>INDEX(Eff!$E$3:$E$138, MATCH($A92&amp;", "&amp;$B92,Eff!$B$3:$B$138, 0), 0)</f>
        <v>42.5</v>
      </c>
      <c r="H92" s="31">
        <f>INDEX(FEI!$D$1:$D$139, MATCH($A92,FEI!$B$1:$B$139, 0), 0)</f>
        <v>-0.03</v>
      </c>
      <c r="I92" s="31">
        <f>INDEX(FEI!$E$1:$E$139, MATCH($A92,FEI!$B$1:$B$139, 0), 0)</f>
        <v>0.15</v>
      </c>
      <c r="J92" s="31">
        <f>INDEX(FEI!$G$1:$G$139, MATCH($A92,FEI!$B$1:$B$139, 0), 0)</f>
        <v>-0.24</v>
      </c>
      <c r="K92" s="71">
        <f>INDEX('Billingsley 130'!$O$2:$O$131, MATCH($A92,'Billingsley 130'!$D$2:$D$131, 0), 0)</f>
        <v>217.12799999999999</v>
      </c>
      <c r="L92" s="81">
        <f>((($E92 - MIN($E$4:$E$133)) / (MAX($E$4:$E$133) - MIN($E$4:$E$133))) + (($I92 - MIN($I$4:$I$133)) / (MAX($I$4:$I$133) - MIN($I$4:$I$133)))) / 2</f>
        <v>0.39825852196873046</v>
      </c>
      <c r="M92" s="73">
        <f>((($F92 - MIN($F$4:$F$133)) / (MAX($F$4:$F$133) - MIN($F$4:$F$133))) + (($J92 - MIN($J$4:$J$133)) / (MAX($J$4:$J$133) - MIN($J$4:$J$133)))) / 2</f>
        <v>0.43630889256854399</v>
      </c>
      <c r="N92" s="73">
        <f>($G92 - MIN($G$4:$G$133)) / (MAX($G$4:$G$133) - MIN($G$4:$G$133))</f>
        <v>0.35505319148936165</v>
      </c>
      <c r="O92" s="73">
        <f>($K92 - MIN($K$4:$K$133)) / (MAX($K$4:$K$133) - MIN($K$4:$K$133))</f>
        <v>0.33365150236260221</v>
      </c>
      <c r="P92" s="84">
        <f>(($C92 - MIN($C$4:$C$133)) / (MAX($C$4:$C$133) - MIN($C$4:$C$133)) + ($D92 - MIN($D$4:$D$133)) / (MAX($D$4:$D$133) - MIN($D$4:$D$133)) + ($H92 - MIN($H$4:$H$133)) / (MAX($H$4:$H$133) - MIN($H$4:$H$133))) / 3</f>
        <v>0.42388054664275893</v>
      </c>
      <c r="Q92" s="81">
        <f xml:space="preserve"> ($L92 * (INDEX(PlaysPerGame!$BK$3:$BK$132, MATCH($A92,PlaysPerGame!$BC$3:$BC$132, 0), 0) * 0.8))+ ($M92 * (INDEX(PlaysPerGame!$BL$3:$BL$132, MATCH($A92,PlaysPerGame!$BC$3:$BC$132, 0), 0) * 0.8)) + ($N92 * (INDEX(PlaysPerGame!$BM$3:$BM$132, MATCH($A92,PlaysPerGame!$BC$3:$BC$132, 0), 0) * 0.8)) + ($O92 * 0.1) + ($P92 * 0.1)</f>
        <v>0.40518349611962035</v>
      </c>
      <c r="R92" s="9">
        <f t="shared" si="1"/>
        <v>89</v>
      </c>
      <c r="S92" s="112" t="s">
        <v>286</v>
      </c>
    </row>
    <row r="93" spans="1:19" x14ac:dyDescent="0.2">
      <c r="A93" s="68" t="s">
        <v>118</v>
      </c>
      <c r="B93" s="9" t="s">
        <v>39</v>
      </c>
      <c r="C93" s="72">
        <f>INDEX(FPI!$H$3:$H$138, MATCH("C. Carolina"&amp;", "&amp;$B93,FPI!$B$3:$B$138, 0), 0)</f>
        <v>-9.5</v>
      </c>
      <c r="D93" s="73">
        <f>INDEX(Eff!$F$3:$F$138, MATCH("C. Carolina"&amp;", "&amp;$B93,Eff!$B$3:$B$138, 0), 0)</f>
        <v>37</v>
      </c>
      <c r="E93" s="73">
        <f>INDEX(Eff!$C$3:$C$138, MATCH("C. Carolina"&amp;", "&amp;$B93,Eff!$B$3:$B$138, 0), 0)</f>
        <v>46.4</v>
      </c>
      <c r="F93" s="73">
        <f>INDEX(Eff!$D$3:$D$138, MATCH("C. Carolina"&amp;", "&amp;$B93,Eff!$B$3:$B$138, 0), 0)</f>
        <v>38.700000000000003</v>
      </c>
      <c r="G93" s="73">
        <f>INDEX(Eff!$E$3:$E$138, MATCH("C. Carolina"&amp;", "&amp;$B93,Eff!$B$3:$B$138, 0), 0)</f>
        <v>27.3</v>
      </c>
      <c r="H93" s="31">
        <f>INDEX(FEI!$D$1:$D$139, MATCH($A93,FEI!$B$1:$B$139, 0), 0)</f>
        <v>0.05</v>
      </c>
      <c r="I93" s="31">
        <f>INDEX(FEI!$E$1:$E$139, MATCH($A93,FEI!$B$1:$B$139, 0), 0)</f>
        <v>0.55000000000000004</v>
      </c>
      <c r="J93" s="31">
        <f>INDEX(FEI!$G$1:$G$139, MATCH($A93,FEI!$B$1:$B$139, 0), 0)</f>
        <v>-0.56000000000000005</v>
      </c>
      <c r="K93" s="71">
        <f>INDEX('Billingsley 130'!$O$2:$O$131, MATCH($A93,'Billingsley 130'!$D$2:$D$131, 0), 0)</f>
        <v>206.43600000000001</v>
      </c>
      <c r="L93" s="81">
        <f>((($E93 - MIN($E$4:$E$133)) / (MAX($E$4:$E$133) - MIN($E$4:$E$133))) + (($I93 - MIN($I$4:$I$133)) / (MAX($I$4:$I$133) - MIN($I$4:$I$133)))) / 2</f>
        <v>0.46109413474945854</v>
      </c>
      <c r="M93" s="73">
        <f>((($F93 - MIN($F$4:$F$133)) / (MAX($F$4:$F$133) - MIN($F$4:$F$133))) + (($J93 - MIN($J$4:$J$133)) / (MAX($J$4:$J$133) - MIN($J$4:$J$133)))) / 2</f>
        <v>0.40812542248848044</v>
      </c>
      <c r="N93" s="73">
        <f>($G93 - MIN($G$4:$G$133)) / (MAX($G$4:$G$133) - MIN($G$4:$G$133))</f>
        <v>0.15292553191489361</v>
      </c>
      <c r="O93" s="73">
        <f>($K93 - MIN($K$4:$K$133)) / (MAX($K$4:$K$133) - MIN($K$4:$K$133))</f>
        <v>0.24930778514913199</v>
      </c>
      <c r="P93" s="84">
        <f>(($C93 - MIN($C$4:$C$133)) / (MAX($C$4:$C$133) - MIN($C$4:$C$133)) + ($D93 - MIN($D$4:$D$133)) / (MAX($D$4:$D$133) - MIN($D$4:$D$133)) + ($H93 - MIN($H$4:$H$133)) / (MAX($H$4:$H$133) - MIN($H$4:$H$133))) / 3</f>
        <v>0.40780380391399795</v>
      </c>
      <c r="Q93" s="81">
        <f xml:space="preserve"> ($L93 * (INDEX(PlaysPerGame!$BK$3:$BK$132, MATCH("Coastal Car",PlaysPerGame!$BC$3:$BC$132, 0), 0) * 0.8))+ ($M93 * (INDEX(PlaysPerGame!$BL$3:$BL$132, MATCH("Coastal Car",PlaysPerGame!$BC$3:$BC$132, 0), 0) * 0.8)) + ($N93 * (INDEX(PlaysPerGame!$BM$3:$BM$132, MATCH("Coastal Car",PlaysPerGame!$BC$3:$BC$132, 0), 0) * 0.8)) + ($O93 * 0.1) + ($P93 * 0.1)</f>
        <v>0.40081848588642571</v>
      </c>
      <c r="R93" s="9">
        <f t="shared" si="1"/>
        <v>90</v>
      </c>
      <c r="S93" s="112" t="s">
        <v>118</v>
      </c>
    </row>
    <row r="94" spans="1:19" x14ac:dyDescent="0.2">
      <c r="A94" s="68" t="s">
        <v>103</v>
      </c>
      <c r="B94" s="9" t="s">
        <v>28</v>
      </c>
      <c r="C94" s="72">
        <f>INDEX(FPI!$H$3:$H$138, MATCH("Cent Michigan"&amp;", "&amp;$B94,FPI!$B$3:$B$138, 0), 0)</f>
        <v>-10.7</v>
      </c>
      <c r="D94" s="73">
        <f>INDEX(Eff!$F$3:$F$138, MATCH("Cent Michigan"&amp;", "&amp;$B94,Eff!$B$3:$B$138, 0), 0)</f>
        <v>44.8</v>
      </c>
      <c r="E94" s="73">
        <f>INDEX(Eff!$C$3:$C$138, MATCH("Cent Michigan"&amp;", "&amp;$B94,Eff!$B$3:$B$138, 0), 0)</f>
        <v>39.4</v>
      </c>
      <c r="F94" s="73">
        <f>INDEX(Eff!$D$3:$D$138, MATCH("Cent Michigan"&amp;", "&amp;$B94,Eff!$B$3:$B$138, 0), 0)</f>
        <v>54.2</v>
      </c>
      <c r="G94" s="73">
        <f>INDEX(Eff!$E$3:$E$138, MATCH("Cent Michigan"&amp;", "&amp;$B94,Eff!$B$3:$B$138, 0), 0)</f>
        <v>47.1</v>
      </c>
      <c r="H94" s="31">
        <f>INDEX(FEI!$D$1:$D$139, MATCH($A94,FEI!$B$1:$B$139, 0), 0)</f>
        <v>-0.28000000000000003</v>
      </c>
      <c r="I94" s="31">
        <f>INDEX(FEI!$E$1:$E$139, MATCH($A94,FEI!$B$1:$B$139, 0), 0)</f>
        <v>-0.44</v>
      </c>
      <c r="J94" s="31">
        <f>INDEX(FEI!$G$1:$G$139, MATCH($A94,FEI!$B$1:$B$139, 0), 0)</f>
        <v>-0.18</v>
      </c>
      <c r="K94" s="71">
        <f>INDEX('Billingsley 130'!$O$2:$O$131, MATCH($A94,'Billingsley 130'!$D$2:$D$131, 0), 0)</f>
        <v>204.274</v>
      </c>
      <c r="L94" s="81">
        <f>((($E94 - MIN($E$4:$E$133)) / (MAX($E$4:$E$133) - MIN($E$4:$E$133))) + (($I94 - MIN($I$4:$I$133)) / (MAX($I$4:$I$133) - MIN($I$4:$I$133)))) / 2</f>
        <v>0.28889103153647611</v>
      </c>
      <c r="M94" s="73">
        <f>((($F94 - MIN($F$4:$F$133)) / (MAX($F$4:$F$133) - MIN($F$4:$F$133))) + (($J94 - MIN($J$4:$J$133)) / (MAX($J$4:$J$133) - MIN($J$4:$J$133)))) / 2</f>
        <v>0.54686908903731546</v>
      </c>
      <c r="N94" s="73">
        <f>($G94 - MIN($G$4:$G$133)) / (MAX($G$4:$G$133) - MIN($G$4:$G$133))</f>
        <v>0.41622340425531912</v>
      </c>
      <c r="O94" s="73">
        <f>($K94 - MIN($K$4:$K$133)) / (MAX($K$4:$K$133) - MIN($K$4:$K$133))</f>
        <v>0.23225287338187389</v>
      </c>
      <c r="P94" s="84">
        <f>(($C94 - MIN($C$4:$C$133)) / (MAX($C$4:$C$133) - MIN($C$4:$C$133)) + ($D94 - MIN($D$4:$D$133)) / (MAX($D$4:$D$133) - MIN($D$4:$D$133)) + ($H94 - MIN($H$4:$H$133)) / (MAX($H$4:$H$133) - MIN($H$4:$H$133))) / 3</f>
        <v>0.39613042608475219</v>
      </c>
      <c r="Q94" s="81">
        <f xml:space="preserve"> ($L94 * (INDEX(PlaysPerGame!$BK$3:$BK$132, MATCH("Central Mich",PlaysPerGame!$BC$3:$BC$132, 0), 0) * 0.8))+ ($M94 * (INDEX(PlaysPerGame!$BL$3:$BL$132, MATCH("Central Mich",PlaysPerGame!$BC$3:$BC$132, 0), 0) * 0.8)) + ($N94 * (INDEX(PlaysPerGame!$BM$3:$BM$132, MATCH("Central Mich",PlaysPerGame!$BC$3:$BC$132, 0), 0) * 0.8)) + ($O94 * 0.1) + ($P94 * 0.1)</f>
        <v>0.39961821788318092</v>
      </c>
      <c r="R94" s="9">
        <f t="shared" si="1"/>
        <v>91</v>
      </c>
      <c r="S94" s="112" t="s">
        <v>103</v>
      </c>
    </row>
    <row r="95" spans="1:19" x14ac:dyDescent="0.2">
      <c r="A95" s="68" t="s">
        <v>91</v>
      </c>
      <c r="B95" s="9" t="s">
        <v>28</v>
      </c>
      <c r="C95" s="72">
        <f>INDEX(FPI!$H$3:$H$138, MATCH($A95&amp;", "&amp;$B95,FPI!$B$3:$B$138, 0), 0)</f>
        <v>-12</v>
      </c>
      <c r="D95" s="73">
        <f>INDEX(Eff!$F$3:$F$138, MATCH($A95&amp;", "&amp;$B95,Eff!$B$3:$B$138, 0), 0)</f>
        <v>36.200000000000003</v>
      </c>
      <c r="E95" s="73">
        <f>INDEX(Eff!$C$3:$C$138, MATCH($A95&amp;", "&amp;$B95,Eff!$B$3:$B$138, 0), 0)</f>
        <v>40.4</v>
      </c>
      <c r="F95" s="73">
        <f>INDEX(Eff!$D$3:$D$138, MATCH($A95&amp;", "&amp;$B95,Eff!$B$3:$B$138, 0), 0)</f>
        <v>50.7</v>
      </c>
      <c r="G95" s="73">
        <f>INDEX(Eff!$E$3:$E$138, MATCH($A95&amp;", "&amp;$B95,Eff!$B$3:$B$138, 0), 0)</f>
        <v>15.8</v>
      </c>
      <c r="H95" s="31">
        <f>INDEX(FEI!$D$1:$D$139, MATCH($A95,FEI!$B$1:$B$139, 0), 0)</f>
        <v>-0.19</v>
      </c>
      <c r="I95" s="31">
        <f>INDEX(FEI!$E$1:$E$139, MATCH($A95,FEI!$B$1:$B$139, 0), 0)</f>
        <v>-0.25</v>
      </c>
      <c r="J95" s="31">
        <f>INDEX(FEI!$G$1:$G$139, MATCH($A95,FEI!$B$1:$B$139, 0), 0)</f>
        <v>0.02</v>
      </c>
      <c r="K95" s="71">
        <f>INDEX('Billingsley 130'!$O$2:$O$131, MATCH($A95,'Billingsley 130'!$D$2:$D$131, 0), 0)</f>
        <v>220.9</v>
      </c>
      <c r="L95" s="81">
        <f>((($E95 - MIN($E$4:$E$133)) / (MAX($E$4:$E$133) - MIN($E$4:$E$133))) + (($I95 - MIN($I$4:$I$133)) / (MAX($I$4:$I$133) - MIN($I$4:$I$133)))) / 2</f>
        <v>0.32005518141632305</v>
      </c>
      <c r="M95" s="73">
        <f>((($F95 - MIN($F$4:$F$133)) / (MAX($F$4:$F$133) - MIN($F$4:$F$133))) + (($J95 - MIN($J$4:$J$133)) / (MAX($J$4:$J$133) - MIN($J$4:$J$133)))) / 2</f>
        <v>0.55590801689333758</v>
      </c>
      <c r="N95" s="73">
        <f>($G95 - MIN($G$4:$G$133)) / (MAX($G$4:$G$133) - MIN($G$4:$G$133))</f>
        <v>0</v>
      </c>
      <c r="O95" s="73">
        <f>($K95 - MIN($K$4:$K$133)) / (MAX($K$4:$K$133) - MIN($K$4:$K$133))</f>
        <v>0.36340688033952062</v>
      </c>
      <c r="P95" s="84">
        <f>(($C95 - MIN($C$4:$C$133)) / (MAX($C$4:$C$133) - MIN($C$4:$C$133)) + ($D95 - MIN($D$4:$D$133)) / (MAX($D$4:$D$133) - MIN($D$4:$D$133)) + ($H95 - MIN($H$4:$H$133)) / (MAX($H$4:$H$133) - MIN($H$4:$H$133))) / 3</f>
        <v>0.36774820435683592</v>
      </c>
      <c r="Q95" s="81">
        <f xml:space="preserve"> ($L95 * (INDEX(PlaysPerGame!$BK$3:$BK$132, MATCH($A95,PlaysPerGame!$BC$3:$BC$132, 0), 0) * 0.8))+ ($M95 * (INDEX(PlaysPerGame!$BL$3:$BL$132, MATCH($A95,PlaysPerGame!$BC$3:$BC$132, 0), 0) * 0.8)) + ($N95 * (INDEX(PlaysPerGame!$BM$3:$BM$132, MATCH($A95,PlaysPerGame!$BC$3:$BC$132, 0), 0) * 0.8)) + ($O95 * 0.1) + ($P95 * 0.1)</f>
        <v>0.38884424751468638</v>
      </c>
      <c r="R95" s="9">
        <f t="shared" si="1"/>
        <v>92</v>
      </c>
      <c r="S95" s="112" t="s">
        <v>91</v>
      </c>
    </row>
    <row r="96" spans="1:19" x14ac:dyDescent="0.2">
      <c r="A96" s="68" t="s">
        <v>201</v>
      </c>
      <c r="B96" s="9" t="s">
        <v>763</v>
      </c>
      <c r="C96" s="72">
        <f>INDEX(FPI!$H$3:$H$138, MATCH($A96&amp;", "&amp;$B96,FPI!$B$3:$B$138, 0), 0)</f>
        <v>-11.2</v>
      </c>
      <c r="D96" s="73">
        <f>INDEX(Eff!$F$3:$F$138, MATCH($A96&amp;", "&amp;$B96,Eff!$B$3:$B$138, 0), 0)</f>
        <v>39.9</v>
      </c>
      <c r="E96" s="73">
        <f>INDEX(Eff!$C$3:$C$138, MATCH($A96&amp;", "&amp;$B96,Eff!$B$3:$B$138, 0), 0)</f>
        <v>36.299999999999997</v>
      </c>
      <c r="F96" s="73">
        <f>INDEX(Eff!$D$3:$D$138, MATCH($A96&amp;", "&amp;$B96,Eff!$B$3:$B$138, 0), 0)</f>
        <v>47.1</v>
      </c>
      <c r="G96" s="73">
        <f>INDEX(Eff!$E$3:$E$138, MATCH($A96&amp;", "&amp;$B96,Eff!$B$3:$B$138, 0), 0)</f>
        <v>48.4</v>
      </c>
      <c r="H96" s="31">
        <f>INDEX(FEI!$D$1:$D$139, MATCH($A96,FEI!$B$1:$B$139, 0), 0)</f>
        <v>-0.31</v>
      </c>
      <c r="I96" s="31">
        <f>INDEX(FEI!$E$1:$E$139, MATCH($A96,FEI!$B$1:$B$139, 0), 0)</f>
        <v>-0.56999999999999995</v>
      </c>
      <c r="J96" s="31">
        <f>INDEX(FEI!$G$1:$G$139, MATCH($A96,FEI!$B$1:$B$139, 0), 0)</f>
        <v>-0.02</v>
      </c>
      <c r="K96" s="71">
        <f>INDEX('Billingsley 130'!$O$2:$O$131, MATCH($A96,'Billingsley 130'!$D$2:$D$131, 0), 0)</f>
        <v>214.947</v>
      </c>
      <c r="L96" s="81">
        <f>((($E96 - MIN($E$4:$E$133)) / (MAX($E$4:$E$133) - MIN($E$4:$E$133))) + (($I96 - MIN($I$4:$I$133)) / (MAX($I$4:$I$133) - MIN($I$4:$I$133)))) / 2</f>
        <v>0.25430919393597773</v>
      </c>
      <c r="M96" s="73">
        <f>((($F96 - MIN($F$4:$F$133)) / (MAX($F$4:$F$133) - MIN($F$4:$F$133))) + (($J96 - MIN($J$4:$J$133)) / (MAX($J$4:$J$133) - MIN($J$4:$J$133)))) / 2</f>
        <v>0.53049979224419685</v>
      </c>
      <c r="N96" s="73">
        <f>($G96 - MIN($G$4:$G$133)) / (MAX($G$4:$G$133) - MIN($G$4:$G$133))</f>
        <v>0.43351063829787223</v>
      </c>
      <c r="O96" s="73">
        <f>($K96 - MIN($K$4:$K$133)) / (MAX($K$4:$K$133) - MIN($K$4:$K$133))</f>
        <v>0.31644670931709362</v>
      </c>
      <c r="P96" s="84">
        <f>(($C96 - MIN($C$4:$C$133)) / (MAX($C$4:$C$133) - MIN($C$4:$C$133)) + ($D96 - MIN($D$4:$D$133)) / (MAX($D$4:$D$133) - MIN($D$4:$D$133)) + ($H96 - MIN($H$4:$H$133)) / (MAX($H$4:$H$133) - MIN($H$4:$H$133))) / 3</f>
        <v>0.37312506511240229</v>
      </c>
      <c r="Q96" s="81">
        <f xml:space="preserve"> ($L96 * (INDEX(PlaysPerGame!$BK$3:$BK$132, MATCH($A96,PlaysPerGame!$BC$3:$BC$132, 0), 0) * 0.8))+ ($M96 * (INDEX(PlaysPerGame!$BL$3:$BL$132, MATCH($A96,PlaysPerGame!$BC$3:$BC$132, 0), 0) * 0.8)) + ($N96 * (INDEX(PlaysPerGame!$BM$3:$BM$132, MATCH($A96,PlaysPerGame!$BC$3:$BC$132, 0), 0) * 0.8)) + ($O96 * 0.1) + ($P96 * 0.1)</f>
        <v>0.38826455821464356</v>
      </c>
      <c r="R96" s="9">
        <f t="shared" si="1"/>
        <v>93</v>
      </c>
      <c r="S96" s="112" t="s">
        <v>201</v>
      </c>
    </row>
    <row r="97" spans="1:19" x14ac:dyDescent="0.2">
      <c r="A97" s="68" t="s">
        <v>327</v>
      </c>
      <c r="B97" s="9" t="s">
        <v>176</v>
      </c>
      <c r="C97" s="72">
        <f>INDEX(FPI!$H$3:$H$138, MATCH($A97&amp;", "&amp;$B97,FPI!$B$3:$B$138, 0), 0)</f>
        <v>-3.1</v>
      </c>
      <c r="D97" s="73">
        <f>INDEX(Eff!$F$3:$F$138, MATCH($A97&amp;", "&amp;$B97,Eff!$B$3:$B$138, 0), 0)</f>
        <v>33.299999999999997</v>
      </c>
      <c r="E97" s="73">
        <f>INDEX(Eff!$C$3:$C$138, MATCH($A97&amp;", "&amp;$B97,Eff!$B$3:$B$138, 0), 0)</f>
        <v>45.2</v>
      </c>
      <c r="F97" s="73">
        <f>INDEX(Eff!$D$3:$D$138, MATCH($A97&amp;", "&amp;$B97,Eff!$B$3:$B$138, 0), 0)</f>
        <v>32.299999999999997</v>
      </c>
      <c r="G97" s="73">
        <f>INDEX(Eff!$E$3:$E$138, MATCH($A97&amp;", "&amp;$B97,Eff!$B$3:$B$138, 0), 0)</f>
        <v>37.1</v>
      </c>
      <c r="H97" s="31">
        <f>INDEX(FEI!$D$1:$D$139, MATCH($A97,FEI!$B$1:$B$139, 0), 0)</f>
        <v>-0.13</v>
      </c>
      <c r="I97" s="31">
        <f>INDEX(FEI!$E$1:$E$139, MATCH($A97,FEI!$B$1:$B$139, 0), 0)</f>
        <v>-0.06</v>
      </c>
      <c r="J97" s="31">
        <f>INDEX(FEI!$G$1:$G$139, MATCH($A97,FEI!$B$1:$B$139, 0), 0)</f>
        <v>-0.23</v>
      </c>
      <c r="K97" s="71">
        <f>INDEX('Billingsley 130'!$O$2:$O$131, MATCH($A97,'Billingsley 130'!$D$2:$D$131, 0), 0)</f>
        <v>221.066</v>
      </c>
      <c r="L97" s="81">
        <f>((($E97 - MIN($E$4:$E$133)) / (MAX($E$4:$E$133) - MIN($E$4:$E$133))) + (($I97 - MIN($I$4:$I$133)) / (MAX($I$4:$I$133) - MIN($I$4:$I$133)))) / 2</f>
        <v>0.3720755332720207</v>
      </c>
      <c r="M97" s="73">
        <f>((($F97 - MIN($F$4:$F$133)) / (MAX($F$4:$F$133) - MIN($F$4:$F$133))) + (($J97 - MIN($J$4:$J$133)) / (MAX($J$4:$J$133) - MIN($J$4:$J$133)))) / 2</f>
        <v>0.41960935707330993</v>
      </c>
      <c r="N97" s="73">
        <f>($G97 - MIN($G$4:$G$133)) / (MAX($G$4:$G$133) - MIN($G$4:$G$133))</f>
        <v>0.2832446808510638</v>
      </c>
      <c r="O97" s="73">
        <f>($K97 - MIN($K$4:$K$133)) / (MAX($K$4:$K$133) - MIN($K$4:$K$133))</f>
        <v>0.36471636940213153</v>
      </c>
      <c r="P97" s="84">
        <f>(($C97 - MIN($C$4:$C$133)) / (MAX($C$4:$C$133) - MIN($C$4:$C$133)) + ($D97 - MIN($D$4:$D$133)) / (MAX($D$4:$D$133) - MIN($D$4:$D$133)) + ($H97 - MIN($H$4:$H$133)) / (MAX($H$4:$H$133) - MIN($H$4:$H$133))) / 3</f>
        <v>0.41070338390750666</v>
      </c>
      <c r="Q97" s="81">
        <f xml:space="preserve"> ($L97 * (INDEX(PlaysPerGame!$BK$3:$BK$132, MATCH($A97,PlaysPerGame!$BC$3:$BC$132, 0), 0) * 0.8))+ ($M97 * (INDEX(PlaysPerGame!$BL$3:$BL$132, MATCH($A97,PlaysPerGame!$BC$3:$BC$132, 0), 0) * 0.8)) + ($N97 * (INDEX(PlaysPerGame!$BM$3:$BM$132, MATCH($A97,PlaysPerGame!$BC$3:$BC$132, 0), 0) * 0.8)) + ($O97 * 0.1) + ($P97 * 0.1)</f>
        <v>0.38591750193072338</v>
      </c>
      <c r="R97" s="9">
        <f t="shared" si="1"/>
        <v>94</v>
      </c>
      <c r="S97" s="112" t="s">
        <v>327</v>
      </c>
    </row>
    <row r="98" spans="1:19" x14ac:dyDescent="0.2">
      <c r="A98" s="68" t="s">
        <v>173</v>
      </c>
      <c r="B98" s="9" t="s">
        <v>176</v>
      </c>
      <c r="C98" s="72">
        <f>INDEX(FPI!$H$3:$H$138, MATCH($A98&amp;", "&amp;$B98,FPI!$B$3:$B$138, 0), 0)</f>
        <v>-7</v>
      </c>
      <c r="D98" s="73">
        <f>INDEX(Eff!$F$3:$F$138, MATCH($A98&amp;", "&amp;$B98,Eff!$B$3:$B$138, 0), 0)</f>
        <v>35.200000000000003</v>
      </c>
      <c r="E98" s="73">
        <f>INDEX(Eff!$C$3:$C$138, MATCH($A98&amp;", "&amp;$B98,Eff!$B$3:$B$138, 0), 0)</f>
        <v>22.6</v>
      </c>
      <c r="F98" s="73">
        <f>INDEX(Eff!$D$3:$D$138, MATCH($A98&amp;", "&amp;$B98,Eff!$B$3:$B$138, 0), 0)</f>
        <v>44.7</v>
      </c>
      <c r="G98" s="73">
        <f>INDEX(Eff!$E$3:$E$138, MATCH($A98&amp;", "&amp;$B98,Eff!$B$3:$B$138, 0), 0)</f>
        <v>74.400000000000006</v>
      </c>
      <c r="H98" s="31">
        <f>INDEX(FEI!$D$1:$D$139, MATCH($A98,FEI!$B$1:$B$139, 0), 0)</f>
        <v>-0.28000000000000003</v>
      </c>
      <c r="I98" s="31">
        <f>INDEX(FEI!$E$1:$E$139, MATCH($A98,FEI!$B$1:$B$139, 0), 0)</f>
        <v>-0.38</v>
      </c>
      <c r="J98" s="31">
        <f>INDEX(FEI!$G$1:$G$139, MATCH($A98,FEI!$B$1:$B$139, 0), 0)</f>
        <v>-0.26</v>
      </c>
      <c r="K98" s="71">
        <f>INDEX('Billingsley 130'!$O$2:$O$131, MATCH($A98,'Billingsley 130'!$D$2:$D$131, 0), 0)</f>
        <v>207.07400000000001</v>
      </c>
      <c r="L98" s="81">
        <f>((($E98 - MIN($E$4:$E$133)) / (MAX($E$4:$E$133) - MIN($E$4:$E$133))) + (($I98 - MIN($I$4:$I$133)) / (MAX($I$4:$I$133) - MIN($I$4:$I$133)))) / 2</f>
        <v>0.20479277301450738</v>
      </c>
      <c r="M98" s="73">
        <f>((($F98 - MIN($F$4:$F$133)) / (MAX($F$4:$F$133) - MIN($F$4:$F$133))) + (($J98 - MIN($J$4:$J$133)) / (MAX($J$4:$J$133) - MIN($J$4:$J$133)))) / 2</f>
        <v>0.48342914906944007</v>
      </c>
      <c r="N98" s="73">
        <f>($G98 - MIN($G$4:$G$133)) / (MAX($G$4:$G$133) - MIN($G$4:$G$133))</f>
        <v>0.77925531914893631</v>
      </c>
      <c r="O98" s="73">
        <f>($K98 - MIN($K$4:$K$133)) / (MAX($K$4:$K$133) - MIN($K$4:$K$133))</f>
        <v>0.25434064070302226</v>
      </c>
      <c r="P98" s="84">
        <f>(($C98 - MIN($C$4:$C$133)) / (MAX($C$4:$C$133) - MIN($C$4:$C$133)) + ($D98 - MIN($D$4:$D$133)) / (MAX($D$4:$D$133) - MIN($D$4:$D$133)) + ($H98 - MIN($H$4:$H$133)) / (MAX($H$4:$H$133) - MIN($H$4:$H$133))) / 3</f>
        <v>0.3817631157066253</v>
      </c>
      <c r="Q98" s="81">
        <f xml:space="preserve"> ($L98 * (INDEX(PlaysPerGame!$BK$3:$BK$132, MATCH($A98,PlaysPerGame!$BC$3:$BC$132, 0), 0) * 0.8))+ ($M98 * (INDEX(PlaysPerGame!$BL$3:$BL$132, MATCH($A98,PlaysPerGame!$BC$3:$BC$132, 0), 0) * 0.8)) + ($N98 * (INDEX(PlaysPerGame!$BM$3:$BM$132, MATCH($A98,PlaysPerGame!$BC$3:$BC$132, 0), 0) * 0.8)) + ($O98 * 0.1) + ($P98 * 0.1)</f>
        <v>0.37401968897320009</v>
      </c>
      <c r="R98" s="9">
        <f t="shared" si="1"/>
        <v>95</v>
      </c>
      <c r="S98" s="112" t="s">
        <v>173</v>
      </c>
    </row>
    <row r="99" spans="1:19" x14ac:dyDescent="0.2">
      <c r="A99" s="68" t="s">
        <v>232</v>
      </c>
      <c r="B99" s="9" t="s">
        <v>33</v>
      </c>
      <c r="C99" s="72">
        <f>INDEX(FPI!$H$3:$H$138, MATCH($A99&amp;", "&amp;$B99,FPI!$B$3:$B$138, 0), 0)</f>
        <v>2.9</v>
      </c>
      <c r="D99" s="73">
        <f>INDEX(Eff!$F$3:$F$138, MATCH($A99&amp;", "&amp;$B99,Eff!$B$3:$B$138, 0), 0)</f>
        <v>40.200000000000003</v>
      </c>
      <c r="E99" s="73">
        <f>INDEX(Eff!$C$3:$C$138, MATCH($A99&amp;", "&amp;$B99,Eff!$B$3:$B$138, 0), 0)</f>
        <v>34.9</v>
      </c>
      <c r="F99" s="73">
        <f>INDEX(Eff!$D$3:$D$138, MATCH($A99&amp;", "&amp;$B99,Eff!$B$3:$B$138, 0), 0)</f>
        <v>46.1</v>
      </c>
      <c r="G99" s="73">
        <f>INDEX(Eff!$E$3:$E$138, MATCH($A99&amp;", "&amp;$B99,Eff!$B$3:$B$138, 0), 0)</f>
        <v>59.6</v>
      </c>
      <c r="H99" s="31">
        <f>INDEX(FEI!$D$1:$D$139, MATCH($A99,FEI!$B$1:$B$139, 0), 0)</f>
        <v>-0.41</v>
      </c>
      <c r="I99" s="31">
        <f>INDEX(FEI!$E$1:$E$139, MATCH($A99,FEI!$B$1:$B$139, 0), 0)</f>
        <v>-0.48</v>
      </c>
      <c r="J99" s="31">
        <f>INDEX(FEI!$G$1:$G$139, MATCH($A99,FEI!$B$1:$B$139, 0), 0)</f>
        <v>-0.43</v>
      </c>
      <c r="K99" s="71">
        <f>INDEX('Billingsley 130'!$O$2:$O$131, MATCH($A99,'Billingsley 130'!$D$2:$D$131, 0), 0)</f>
        <v>207.346</v>
      </c>
      <c r="L99" s="81">
        <f>((($E99 - MIN($E$4:$E$133)) / (MAX($E$4:$E$133) - MIN($E$4:$E$133))) + (($I99 - MIN($I$4:$I$133)) / (MAX($I$4:$I$133) - MIN($I$4:$I$133)))) / 2</f>
        <v>0.25878749221230013</v>
      </c>
      <c r="M99" s="73">
        <f>((($F99 - MIN($F$4:$F$133)) / (MAX($F$4:$F$133) - MIN($F$4:$F$133))) + (($J99 - MIN($J$4:$J$133)) / (MAX($J$4:$J$133) - MIN($J$4:$J$133)))) / 2</f>
        <v>0.46710171352025159</v>
      </c>
      <c r="N99" s="73">
        <f>($G99 - MIN($G$4:$G$133)) / (MAX($G$4:$G$133) - MIN($G$4:$G$133))</f>
        <v>0.58244680851063824</v>
      </c>
      <c r="O99" s="73">
        <f>($K99 - MIN($K$4:$K$133)) / (MAX($K$4:$K$133) - MIN($K$4:$K$133))</f>
        <v>0.25648630952850515</v>
      </c>
      <c r="P99" s="84">
        <f>(($C99 - MIN($C$4:$C$133)) / (MAX($C$4:$C$133) - MIN($C$4:$C$133)) + ($D99 - MIN($D$4:$D$133)) / (MAX($D$4:$D$133) - MIN($D$4:$D$133)) + ($H99 - MIN($H$4:$H$133)) / (MAX($H$4:$H$133) - MIN($H$4:$H$133))) / 3</f>
        <v>0.43904848877956337</v>
      </c>
      <c r="Q99" s="81">
        <f xml:space="preserve"> ($L99 * (INDEX(PlaysPerGame!$BK$3:$BK$132, MATCH($A99,PlaysPerGame!$BC$3:$BC$132, 0), 0) * 0.8))+ ($M99 * (INDEX(PlaysPerGame!$BL$3:$BL$132, MATCH($A99,PlaysPerGame!$BC$3:$BC$132, 0), 0) * 0.8)) + ($N99 * (INDEX(PlaysPerGame!$BM$3:$BM$132, MATCH($A99,PlaysPerGame!$BC$3:$BC$132, 0), 0) * 0.8)) + ($O99 * 0.1) + ($P99 * 0.1)</f>
        <v>0.3737990586727864</v>
      </c>
      <c r="R99" s="9">
        <f t="shared" si="1"/>
        <v>96</v>
      </c>
      <c r="S99" s="112" t="s">
        <v>232</v>
      </c>
    </row>
    <row r="100" spans="1:19" x14ac:dyDescent="0.2">
      <c r="A100" s="68" t="s">
        <v>483</v>
      </c>
      <c r="B100" s="9" t="s">
        <v>39</v>
      </c>
      <c r="C100" s="72">
        <f>INDEX(FPI!$H$3:$H$138, MATCH("UL Monroe"&amp;", "&amp;$B100,FPI!$B$3:$B$138, 0), 0)</f>
        <v>-11.6</v>
      </c>
      <c r="D100" s="73">
        <f>INDEX(Eff!$F$3:$F$138, MATCH("UL Monroe"&amp;", "&amp;$B100,Eff!$B$3:$B$138, 0), 0)</f>
        <v>33.799999999999997</v>
      </c>
      <c r="E100" s="73">
        <f>INDEX(Eff!$C$3:$C$138, MATCH("UL Monroe"&amp;", "&amp;$B100,Eff!$B$3:$B$138, 0), 0)</f>
        <v>62.3</v>
      </c>
      <c r="F100" s="73">
        <f>INDEX(Eff!$D$3:$D$138, MATCH("UL Monroe"&amp;", "&amp;$B100,Eff!$B$3:$B$138, 0), 0)</f>
        <v>22.2</v>
      </c>
      <c r="G100" s="73">
        <f>INDEX(Eff!$E$3:$E$138, MATCH("UL Monroe"&amp;", "&amp;$B100,Eff!$B$3:$B$138, 0), 0)</f>
        <v>25.7</v>
      </c>
      <c r="H100" s="31">
        <f>INDEX(FEI!$D$1:$D$139, MATCH("Louisiana Monroe",FEI!$B$1:$B$139, 0), 0)</f>
        <v>-0.32</v>
      </c>
      <c r="I100" s="31">
        <f>INDEX(FEI!$E$1:$E$139, MATCH("Louisiana Monroe",FEI!$B$1:$B$139, 0), 0)</f>
        <v>0.52</v>
      </c>
      <c r="J100" s="31">
        <f>INDEX(FEI!$G$1:$G$139, MATCH("Louisiana Monroe",FEI!$B$1:$B$139, 0), 0)</f>
        <v>-0.96</v>
      </c>
      <c r="K100" s="71">
        <f>INDEX('Billingsley 130'!$O$2:$O$131, MATCH($A100,'Billingsley 130'!$D$2:$D$131, 0), 0)</f>
        <v>205.30799999999999</v>
      </c>
      <c r="L100" s="81">
        <f>((($E100 - MIN($E$4:$E$133)) / (MAX($E$4:$E$133) - MIN($E$4:$E$133))) + (($I100 - MIN($I$4:$I$133)) / (MAX($I$4:$I$133) - MIN($I$4:$I$133)))) / 2</f>
        <v>0.54430682054172719</v>
      </c>
      <c r="M100" s="73">
        <f>((($F100 - MIN($F$4:$F$133)) / (MAX($F$4:$F$133) - MIN($F$4:$F$133))) + (($J100 - MIN($J$4:$J$133)) / (MAX($J$4:$J$133) - MIN($J$4:$J$133)))) / 2</f>
        <v>0.26106842297841204</v>
      </c>
      <c r="N100" s="73">
        <f>($G100 - MIN($G$4:$G$133)) / (MAX($G$4:$G$133) - MIN($G$4:$G$133))</f>
        <v>0.13164893617021275</v>
      </c>
      <c r="O100" s="73">
        <f>($K100 - MIN($K$4:$K$133)) / (MAX($K$4:$K$133) - MIN($K$4:$K$133))</f>
        <v>0.24040957031404073</v>
      </c>
      <c r="P100" s="84">
        <f>(($C100 - MIN($C$4:$C$133)) / (MAX($C$4:$C$133) - MIN($C$4:$C$133)) + ($D100 - MIN($D$4:$D$133)) / (MAX($D$4:$D$133) - MIN($D$4:$D$133)) + ($H100 - MIN($H$4:$H$133)) / (MAX($H$4:$H$133) - MIN($H$4:$H$133))) / 3</f>
        <v>0.34839570066227493</v>
      </c>
      <c r="Q100" s="81">
        <f xml:space="preserve"> ($L100 * (INDEX(PlaysPerGame!$BK$3:$BK$132, MATCH("LA Monroe",PlaysPerGame!$BC$3:$BC$132, 0), 0) * 0.8))+ ($M100 * (INDEX(PlaysPerGame!$BL$3:$BL$132, MATCH("LA Monroe",PlaysPerGame!$BC$3:$BC$132, 0), 0) * 0.8)) + ($N100 * (INDEX(PlaysPerGame!$BM$3:$BM$132, MATCH("LA Monroe",PlaysPerGame!$BC$3:$BC$132, 0), 0) * 0.8)) + ($O100 * 0.1) + ($P100 * 0.1)</f>
        <v>0.36828868640100976</v>
      </c>
      <c r="R100" s="9">
        <f t="shared" si="1"/>
        <v>97</v>
      </c>
      <c r="S100" s="112" t="s">
        <v>483</v>
      </c>
    </row>
    <row r="101" spans="1:19" x14ac:dyDescent="0.2">
      <c r="A101" s="68" t="s">
        <v>388</v>
      </c>
      <c r="B101" s="9" t="s">
        <v>39</v>
      </c>
      <c r="C101" s="72">
        <f>INDEX(FPI!$H$3:$H$138, MATCH($A101&amp;", "&amp;$B101,FPI!$B$3:$B$138, 0), 0)</f>
        <v>-8.5</v>
      </c>
      <c r="D101" s="73">
        <f>INDEX(Eff!$F$3:$F$138, MATCH($A101&amp;", "&amp;$B101,Eff!$B$3:$B$138, 0), 0)</f>
        <v>27.9</v>
      </c>
      <c r="E101" s="73">
        <f>INDEX(Eff!$C$3:$C$138, MATCH($A101&amp;", "&amp;$B101,Eff!$B$3:$B$138, 0), 0)</f>
        <v>51.8</v>
      </c>
      <c r="F101" s="73">
        <f>INDEX(Eff!$D$3:$D$138, MATCH($A101&amp;", "&amp;$B101,Eff!$B$3:$B$138, 0), 0)</f>
        <v>19.8</v>
      </c>
      <c r="G101" s="73">
        <f>INDEX(Eff!$E$3:$E$138, MATCH($A101&amp;", "&amp;$B101,Eff!$B$3:$B$138, 0), 0)</f>
        <v>28.6</v>
      </c>
      <c r="H101" s="31">
        <f>INDEX(FEI!$D$1:$D$139, MATCH($A101,FEI!$B$1:$B$139, 0), 0)</f>
        <v>-0.2</v>
      </c>
      <c r="I101" s="31">
        <f>INDEX(FEI!$E$1:$E$139, MATCH($A101,FEI!$B$1:$B$139, 0), 0)</f>
        <v>0.26</v>
      </c>
      <c r="J101" s="31">
        <f>INDEX(FEI!$G$1:$G$139, MATCH($A101,FEI!$B$1:$B$139, 0), 0)</f>
        <v>-0.63</v>
      </c>
      <c r="K101" s="71">
        <f>INDEX('Billingsley 130'!$O$2:$O$131, MATCH($A101,'Billingsley 130'!$D$2:$D$131, 0), 0)</f>
        <v>226.411</v>
      </c>
      <c r="L101" s="81">
        <f>((($E101 - MIN($E$4:$E$133)) / (MAX($E$4:$E$133) - MIN($E$4:$E$133))) + (($I101 - MIN($I$4:$I$133)) / (MAX($I$4:$I$133) - MIN($I$4:$I$133)))) / 2</f>
        <v>0.45154270626279402</v>
      </c>
      <c r="M101" s="73">
        <f>((($F101 - MIN($F$4:$F$133)) / (MAX($F$4:$F$133) - MIN($F$4:$F$133))) + (($J101 - MIN($J$4:$J$133)) / (MAX($J$4:$J$133) - MIN($J$4:$J$133)))) / 2</f>
        <v>0.2945062543799265</v>
      </c>
      <c r="N101" s="73">
        <f>($G101 - MIN($G$4:$G$133)) / (MAX($G$4:$G$133) - MIN($G$4:$G$133))</f>
        <v>0.1702127659574468</v>
      </c>
      <c r="O101" s="73">
        <f>($K101 - MIN($K$4:$K$133)) / (MAX($K$4:$K$133) - MIN($K$4:$K$133))</f>
        <v>0.40688033952053776</v>
      </c>
      <c r="P101" s="84">
        <f>(($C101 - MIN($C$4:$C$133)) / (MAX($C$4:$C$133) - MIN($C$4:$C$133)) + ($D101 - MIN($D$4:$D$133)) / (MAX($D$4:$D$133) - MIN($D$4:$D$133)) + ($H101 - MIN($H$4:$H$133)) / (MAX($H$4:$H$133) - MIN($H$4:$H$133))) / 3</f>
        <v>0.35592634897123993</v>
      </c>
      <c r="Q101" s="81">
        <f xml:space="preserve"> ($L101 * (INDEX(PlaysPerGame!$BK$3:$BK$132, MATCH($A101,PlaysPerGame!$BC$3:$BC$132, 0), 0) * 0.8))+ ($M101 * (INDEX(PlaysPerGame!$BL$3:$BL$132, MATCH($A101,PlaysPerGame!$BC$3:$BC$132, 0), 0) * 0.8)) + ($N101 * (INDEX(PlaysPerGame!$BM$3:$BM$132, MATCH($A101,PlaysPerGame!$BC$3:$BC$132, 0), 0) * 0.8)) + ($O101 * 0.1) + ($P101 * 0.1)</f>
        <v>0.36766095844661845</v>
      </c>
      <c r="R101" s="9">
        <f t="shared" si="1"/>
        <v>98</v>
      </c>
      <c r="S101" s="112" t="s">
        <v>388</v>
      </c>
    </row>
    <row r="102" spans="1:19" x14ac:dyDescent="0.2">
      <c r="A102" s="68" t="s">
        <v>137</v>
      </c>
      <c r="B102" s="9" t="s">
        <v>28</v>
      </c>
      <c r="C102" s="72">
        <f>INDEX(FPI!$H$3:$H$138, MATCH("E Michigan"&amp;", "&amp;$B102,FPI!$B$3:$B$138, 0), 0)</f>
        <v>-12.2</v>
      </c>
      <c r="D102" s="73">
        <f>INDEX(Eff!$F$3:$F$138, MATCH("E Michigan"&amp;", "&amp;$B102,Eff!$B$3:$B$138, 0), 0)</f>
        <v>36.299999999999997</v>
      </c>
      <c r="E102" s="73">
        <f>INDEX(Eff!$C$3:$C$138, MATCH("E Michigan"&amp;", "&amp;$B102,Eff!$B$3:$B$138, 0), 0)</f>
        <v>41.2</v>
      </c>
      <c r="F102" s="73">
        <f>INDEX(Eff!$D$3:$D$138, MATCH("E Michigan"&amp;", "&amp;$B102,Eff!$B$3:$B$138, 0), 0)</f>
        <v>34.1</v>
      </c>
      <c r="G102" s="73">
        <f>INDEX(Eff!$E$3:$E$138, MATCH("E Michigan"&amp;", "&amp;$B102,Eff!$B$3:$B$138, 0), 0)</f>
        <v>59.1</v>
      </c>
      <c r="H102" s="31">
        <f>INDEX(FEI!$D$1:$D$139, MATCH($A102,FEI!$B$1:$B$139, 0), 0)</f>
        <v>-0.28000000000000003</v>
      </c>
      <c r="I102" s="31">
        <f>INDEX(FEI!$E$1:$E$139, MATCH($A102,FEI!$B$1:$B$139, 0), 0)</f>
        <v>-0.11</v>
      </c>
      <c r="J102" s="31">
        <f>INDEX(FEI!$G$1:$G$139, MATCH($A102,FEI!$B$1:$B$139, 0), 0)</f>
        <v>-0.53</v>
      </c>
      <c r="K102" s="71">
        <f>INDEX('Billingsley 130'!$O$2:$O$131, MATCH($A102,'Billingsley 130'!$D$2:$D$131, 0), 0)</f>
        <v>203.10400000000001</v>
      </c>
      <c r="L102" s="81">
        <f>((($E102 - MIN($E$4:$E$133)) / (MAX($E$4:$E$133) - MIN($E$4:$E$133))) + (($I102 - MIN($I$4:$I$133)) / (MAX($I$4:$I$133) - MIN($I$4:$I$133)))) / 2</f>
        <v>0.34336487969857893</v>
      </c>
      <c r="M102" s="73">
        <f>((($F102 - MIN($F$4:$F$133)) / (MAX($F$4:$F$133) - MIN($F$4:$F$133))) + (($J102 - MIN($J$4:$J$133)) / (MAX($J$4:$J$133) - MIN($J$4:$J$133)))) / 2</f>
        <v>0.38711572928488591</v>
      </c>
      <c r="N102" s="73">
        <f>($G102 - MIN($G$4:$G$133)) / (MAX($G$4:$G$133) - MIN($G$4:$G$133))</f>
        <v>0.57579787234042545</v>
      </c>
      <c r="O102" s="73">
        <f>($K102 - MIN($K$4:$K$133)) / (MAX($K$4:$K$133) - MIN($K$4:$K$133))</f>
        <v>0.22302334203696561</v>
      </c>
      <c r="P102" s="84">
        <f>(($C102 - MIN($C$4:$C$133)) / (MAX($C$4:$C$133) - MIN($C$4:$C$133)) + ($D102 - MIN($D$4:$D$133)) / (MAX($D$4:$D$133) - MIN($D$4:$D$133)) + ($H102 - MIN($H$4:$H$133)) / (MAX($H$4:$H$133) - MIN($H$4:$H$133))) / 3</f>
        <v>0.35805883038879699</v>
      </c>
      <c r="Q102" s="81">
        <f xml:space="preserve"> ($L102 * (INDEX(PlaysPerGame!$BK$3:$BK$132, MATCH("E Michigan",PlaysPerGame!$BC$3:$BC$132, 0), 0) * 0.8))+ ($M102 * (INDEX(PlaysPerGame!$BL$3:$BL$132, MATCH("E Michigan",PlaysPerGame!$BC$3:$BC$132, 0), 0) * 0.8)) + ($N102 * (INDEX(PlaysPerGame!$BM$3:$BM$132, MATCH("E Michigan",PlaysPerGame!$BC$3:$BC$132, 0), 0) * 0.8)) + ($O102 * 0.1) + ($P102 * 0.1)</f>
        <v>0.36300797170908056</v>
      </c>
      <c r="R102" s="9">
        <f t="shared" si="1"/>
        <v>99</v>
      </c>
      <c r="S102" s="112" t="s">
        <v>137</v>
      </c>
    </row>
    <row r="103" spans="1:19" x14ac:dyDescent="0.2">
      <c r="A103" s="68" t="s">
        <v>50</v>
      </c>
      <c r="B103" s="9" t="s">
        <v>33</v>
      </c>
      <c r="C103" s="72">
        <f>INDEX(FPI!$H$3:$H$138, MATCH($A103&amp;", "&amp;$B103,FPI!$B$3:$B$138, 0), 0)</f>
        <v>-3.3</v>
      </c>
      <c r="D103" s="73">
        <f>INDEX(Eff!$F$3:$F$138, MATCH($A103&amp;", "&amp;$B103,Eff!$B$3:$B$138, 0), 0)</f>
        <v>38.4</v>
      </c>
      <c r="E103" s="73">
        <f>INDEX(Eff!$C$3:$C$138, MATCH($A103&amp;", "&amp;$B103,Eff!$B$3:$B$138, 0), 0)</f>
        <v>36.700000000000003</v>
      </c>
      <c r="F103" s="73">
        <f>INDEX(Eff!$D$3:$D$138, MATCH($A103&amp;", "&amp;$B103,Eff!$B$3:$B$138, 0), 0)</f>
        <v>47.5</v>
      </c>
      <c r="G103" s="73">
        <f>INDEX(Eff!$E$3:$E$138, MATCH($A103&amp;", "&amp;$B103,Eff!$B$3:$B$138, 0), 0)</f>
        <v>41.5</v>
      </c>
      <c r="H103" s="31">
        <f>INDEX(FEI!$D$1:$D$139, MATCH($A103,FEI!$B$1:$B$139, 0), 0)</f>
        <v>-0.36</v>
      </c>
      <c r="I103" s="31">
        <f>INDEX(FEI!$E$1:$E$139, MATCH($A103,FEI!$B$1:$B$139, 0), 0)</f>
        <v>-0.22</v>
      </c>
      <c r="J103" s="31">
        <f>INDEX(FEI!$G$1:$G$139, MATCH($A103,FEI!$B$1:$B$139, 0), 0)</f>
        <v>-0.49</v>
      </c>
      <c r="K103" s="71">
        <f>INDEX('Billingsley 130'!$O$2:$O$131, MATCH($A103,'Billingsley 130'!$D$2:$D$131, 0), 0)</f>
        <v>189.13800000000001</v>
      </c>
      <c r="L103" s="81">
        <f>((($E103 - MIN($E$4:$E$133)) / (MAX($E$4:$E$133) - MIN($E$4:$E$133))) + (($I103 - MIN($I$4:$I$133)) / (MAX($I$4:$I$133) - MIN($I$4:$I$133)))) / 2</f>
        <v>0.30380188091494353</v>
      </c>
      <c r="M103" s="73">
        <f>((($F103 - MIN($F$4:$F$133)) / (MAX($F$4:$F$133) - MIN($F$4:$F$133))) + (($J103 - MIN($J$4:$J$133)) / (MAX($J$4:$J$133) - MIN($J$4:$J$133)))) / 2</f>
        <v>0.46631100113490487</v>
      </c>
      <c r="N103" s="73">
        <f>($G103 - MIN($G$4:$G$133)) / (MAX($G$4:$G$133) - MIN($G$4:$G$133))</f>
        <v>0.34175531914893614</v>
      </c>
      <c r="O103" s="73">
        <f>($K103 - MIN($K$4:$K$133)) / (MAX($K$4:$K$133) - MIN($K$4:$K$133))</f>
        <v>0.11285271403440968</v>
      </c>
      <c r="P103" s="84">
        <f>(($C103 - MIN($C$4:$C$133)) / (MAX($C$4:$C$133) - MIN($C$4:$C$133)) + ($D103 - MIN($D$4:$D$133)) / (MAX($D$4:$D$133) - MIN($D$4:$D$133)) + ($H103 - MIN($H$4:$H$133)) / (MAX($H$4:$H$133) - MIN($H$4:$H$133))) / 3</f>
        <v>0.40475360831975288</v>
      </c>
      <c r="Q103" s="81">
        <f xml:space="preserve"> ($L103 * (INDEX(PlaysPerGame!$BK$3:$BK$132, MATCH($A103,PlaysPerGame!$BC$3:$BC$132, 0), 0) * 0.8))+ ($M103 * (INDEX(PlaysPerGame!$BL$3:$BL$132, MATCH($A103,PlaysPerGame!$BC$3:$BC$132, 0), 0) * 0.8)) + ($N103 * (INDEX(PlaysPerGame!$BM$3:$BM$132, MATCH($A103,PlaysPerGame!$BC$3:$BC$132, 0), 0) * 0.8)) + ($O103 * 0.1) + ($P103 * 0.1)</f>
        <v>0.35707097735792476</v>
      </c>
      <c r="R103" s="9">
        <f t="shared" si="1"/>
        <v>100</v>
      </c>
      <c r="S103" s="112" t="s">
        <v>50</v>
      </c>
    </row>
    <row r="104" spans="1:19" x14ac:dyDescent="0.2">
      <c r="A104" s="68" t="s">
        <v>433</v>
      </c>
      <c r="B104" s="9" t="s">
        <v>33</v>
      </c>
      <c r="C104" s="72">
        <f>INDEX(FPI!$H$3:$H$138, MATCH($A104&amp;", "&amp;$B104,FPI!$B$3:$B$138, 0), 0)</f>
        <v>-4.5</v>
      </c>
      <c r="D104" s="73">
        <f>INDEX(Eff!$F$3:$F$138, MATCH($A104&amp;", "&amp;$B104,Eff!$B$3:$B$138, 0), 0)</f>
        <v>29.1</v>
      </c>
      <c r="E104" s="73">
        <f>INDEX(Eff!$C$3:$C$138, MATCH($A104&amp;", "&amp;$B104,Eff!$B$3:$B$138, 0), 0)</f>
        <v>43.2</v>
      </c>
      <c r="F104" s="73">
        <f>INDEX(Eff!$D$3:$D$138, MATCH($A104&amp;", "&amp;$B104,Eff!$B$3:$B$138, 0), 0)</f>
        <v>19.399999999999999</v>
      </c>
      <c r="G104" s="73">
        <f>INDEX(Eff!$E$3:$E$138, MATCH($A104&amp;", "&amp;$B104,Eff!$B$3:$B$138, 0), 0)</f>
        <v>65.2</v>
      </c>
      <c r="H104" s="31">
        <f>INDEX(FEI!$D$1:$D$139, MATCH($A104,FEI!$B$1:$B$139, 0), 0)</f>
        <v>-0.35</v>
      </c>
      <c r="I104" s="31">
        <f>INDEX(FEI!$E$1:$E$139, MATCH($A104,FEI!$B$1:$B$139, 0), 0)</f>
        <v>-0.22</v>
      </c>
      <c r="J104" s="31">
        <f>INDEX(FEI!$G$1:$G$139, MATCH($A104,FEI!$B$1:$B$139, 0), 0)</f>
        <v>-0.59</v>
      </c>
      <c r="K104" s="71">
        <f>INDEX('Billingsley 130'!$O$2:$O$131, MATCH($A104,'Billingsley 130'!$D$2:$D$131, 0), 0)</f>
        <v>220.34100000000001</v>
      </c>
      <c r="L104" s="81">
        <f>((($E104 - MIN($E$4:$E$133)) / (MAX($E$4:$E$133) - MIN($E$4:$E$133))) + (($I104 - MIN($I$4:$I$133)) / (MAX($I$4:$I$133) - MIN($I$4:$I$133)))) / 2</f>
        <v>0.33947696324205656</v>
      </c>
      <c r="M104" s="73">
        <f>((($F104 - MIN($F$4:$F$133)) / (MAX($F$4:$F$133) - MIN($F$4:$F$133))) + (($J104 - MIN($J$4:$J$133)) / (MAX($J$4:$J$133) - MIN($J$4:$J$133)))) / 2</f>
        <v>0.29796058221238231</v>
      </c>
      <c r="N104" s="73">
        <f>($G104 - MIN($G$4:$G$133)) / (MAX($G$4:$G$133) - MIN($G$4:$G$133))</f>
        <v>0.65691489361702138</v>
      </c>
      <c r="O104" s="73">
        <f>($K104 - MIN($K$4:$K$133)) / (MAX($K$4:$K$133) - MIN($K$4:$K$133))</f>
        <v>0.35899721536362</v>
      </c>
      <c r="P104" s="84">
        <f>(($C104 - MIN($C$4:$C$133)) / (MAX($C$4:$C$133) - MIN($C$4:$C$133)) + ($D104 - MIN($D$4:$D$133)) / (MAX($D$4:$D$133) - MIN($D$4:$D$133)) + ($H104 - MIN($H$4:$H$133)) / (MAX($H$4:$H$133) - MIN($H$4:$H$133))) / 3</f>
        <v>0.36643850862075039</v>
      </c>
      <c r="Q104" s="81">
        <f xml:space="preserve"> ($L104 * (INDEX(PlaysPerGame!$BK$3:$BK$132, MATCH($A104,PlaysPerGame!$BC$3:$BC$132, 0), 0) * 0.8))+ ($M104 * (INDEX(PlaysPerGame!$BL$3:$BL$132, MATCH($A104,PlaysPerGame!$BC$3:$BC$132, 0), 0) * 0.8)) + ($N104 * (INDEX(PlaysPerGame!$BM$3:$BM$132, MATCH($A104,PlaysPerGame!$BC$3:$BC$132, 0), 0) * 0.8)) + ($O104 * 0.1) + ($P104 * 0.1)</f>
        <v>0.35499661609280336</v>
      </c>
      <c r="R104" s="9">
        <f t="shared" si="1"/>
        <v>101</v>
      </c>
      <c r="S104" s="112" t="s">
        <v>433</v>
      </c>
    </row>
    <row r="105" spans="1:19" x14ac:dyDescent="0.2">
      <c r="A105" s="68" t="s">
        <v>159</v>
      </c>
      <c r="B105" s="9" t="s">
        <v>39</v>
      </c>
      <c r="C105" s="72">
        <f>INDEX(FPI!$H$3:$H$138, MATCH("Ga Southern"&amp;", "&amp;$B105,FPI!$B$3:$B$138, 0), 0)</f>
        <v>-9.4</v>
      </c>
      <c r="D105" s="73">
        <f>INDEX(Eff!$F$3:$F$138, MATCH("Ga Southern"&amp;", "&amp;$B105,Eff!$B$3:$B$138, 0), 0)</f>
        <v>38</v>
      </c>
      <c r="E105" s="73">
        <f>INDEX(Eff!$C$3:$C$138, MATCH("Ga Southern"&amp;", "&amp;$B105,Eff!$B$3:$B$138, 0), 0)</f>
        <v>22.8</v>
      </c>
      <c r="F105" s="73">
        <f>INDEX(Eff!$D$3:$D$138, MATCH("Ga Southern"&amp;", "&amp;$B105,Eff!$B$3:$B$138, 0), 0)</f>
        <v>45.3</v>
      </c>
      <c r="G105" s="73">
        <f>INDEX(Eff!$E$3:$E$138, MATCH("Ga Southern"&amp;", "&amp;$B105,Eff!$B$3:$B$138, 0), 0)</f>
        <v>79.400000000000006</v>
      </c>
      <c r="H105" s="31">
        <f>INDEX(FEI!$D$1:$D$139, MATCH($A105,FEI!$B$1:$B$139, 0), 0)</f>
        <v>-0.76</v>
      </c>
      <c r="I105" s="31">
        <f>INDEX(FEI!$E$1:$E$139, MATCH($A105,FEI!$B$1:$B$139, 0), 0)</f>
        <v>-0.92</v>
      </c>
      <c r="J105" s="31">
        <f>INDEX(FEI!$G$1:$G$139, MATCH($A105,FEI!$B$1:$B$139, 0), 0)</f>
        <v>-0.71</v>
      </c>
      <c r="K105" s="71">
        <f>INDEX('Billingsley 130'!$O$2:$O$131, MATCH($A105,'Billingsley 130'!$D$2:$D$131, 0), 0)</f>
        <v>240.28399999999999</v>
      </c>
      <c r="L105" s="81">
        <f>((($E105 - MIN($E$4:$E$133)) / (MAX($E$4:$E$133) - MIN($E$4:$E$133))) + (($I105 - MIN($I$4:$I$133)) / (MAX($I$4:$I$133) - MIN($I$4:$I$133)))) / 2</f>
        <v>0.13291749488236865</v>
      </c>
      <c r="M105" s="73">
        <f>((($F105 - MIN($F$4:$F$133)) / (MAX($F$4:$F$133) - MIN($F$4:$F$133))) + (($J105 - MIN($J$4:$J$133)) / (MAX($J$4:$J$133) - MIN($J$4:$J$133)))) / 2</f>
        <v>0.42316291155804453</v>
      </c>
      <c r="N105" s="73">
        <f>($G105 - MIN($G$4:$G$133)) / (MAX($G$4:$G$133) - MIN($G$4:$G$133))</f>
        <v>0.84574468085106391</v>
      </c>
      <c r="O105" s="73">
        <f>($K105 - MIN($K$4:$K$133)) / (MAX($K$4:$K$133) - MIN($K$4:$K$133))</f>
        <v>0.51631733810849822</v>
      </c>
      <c r="P105" s="84">
        <f>(($C105 - MIN($C$4:$C$133)) / (MAX($C$4:$C$133) - MIN($C$4:$C$133)) + ($D105 - MIN($D$4:$D$133)) / (MAX($D$4:$D$133) - MIN($D$4:$D$133)) + ($H105 - MIN($H$4:$H$133)) / (MAX($H$4:$H$133) - MIN($H$4:$H$133))) / 3</f>
        <v>0.33103859697703902</v>
      </c>
      <c r="Q105" s="81">
        <f xml:space="preserve"> ($L105 * (INDEX(PlaysPerGame!$BK$3:$BK$132, MATCH("GA Southern",PlaysPerGame!$BC$3:$BC$132, 0), 0) * 0.8))+ ($M105 * (INDEX(PlaysPerGame!$BL$3:$BL$132, MATCH("GA Southern",PlaysPerGame!$BC$3:$BC$132, 0), 0) * 0.8)) + ($N105 * (INDEX(PlaysPerGame!$BM$3:$BM$132, MATCH("GA Southern",PlaysPerGame!$BC$3:$BC$132, 0), 0) * 0.8)) + ($O105 * 0.1) + ($P105 * 0.1)</f>
        <v>0.35263467631060885</v>
      </c>
      <c r="R105" s="9">
        <f t="shared" si="1"/>
        <v>102</v>
      </c>
      <c r="S105" s="112" t="s">
        <v>159</v>
      </c>
    </row>
    <row r="106" spans="1:19" x14ac:dyDescent="0.2">
      <c r="A106" s="68" t="s">
        <v>189</v>
      </c>
      <c r="B106" s="9" t="s">
        <v>75</v>
      </c>
      <c r="C106" s="72">
        <f>INDEX(FPI!$H$3:$H$138, MATCH($A106&amp;", "&amp;$B106,FPI!$B$3:$B$138, 0), 0)</f>
        <v>-10.5</v>
      </c>
      <c r="D106" s="73">
        <f>INDEX(Eff!$F$3:$F$138, MATCH($A106&amp;", "&amp;$B106,Eff!$B$3:$B$138, 0), 0)</f>
        <v>31.7</v>
      </c>
      <c r="E106" s="73">
        <f>INDEX(Eff!$C$3:$C$138, MATCH($A106&amp;", "&amp;$B106,Eff!$B$3:$B$138, 0), 0)</f>
        <v>37.700000000000003</v>
      </c>
      <c r="F106" s="73">
        <f>INDEX(Eff!$D$3:$D$138, MATCH($A106&amp;", "&amp;$B106,Eff!$B$3:$B$138, 0), 0)</f>
        <v>35.4</v>
      </c>
      <c r="G106" s="73">
        <f>INDEX(Eff!$E$3:$E$138, MATCH($A106&amp;", "&amp;$B106,Eff!$B$3:$B$138, 0), 0)</f>
        <v>41.2</v>
      </c>
      <c r="H106" s="31">
        <f>INDEX(FEI!$D$1:$D$139, MATCH($A106,FEI!$B$1:$B$139, 0), 0)</f>
        <v>-0.28999999999999998</v>
      </c>
      <c r="I106" s="31">
        <f>INDEX(FEI!$E$1:$E$139, MATCH($A106,FEI!$B$1:$B$139, 0), 0)</f>
        <v>-0.24</v>
      </c>
      <c r="J106" s="31">
        <f>INDEX(FEI!$G$1:$G$139, MATCH($A106,FEI!$B$1:$B$139, 0), 0)</f>
        <v>-0.43</v>
      </c>
      <c r="K106" s="71">
        <f>INDEX('Billingsley 130'!$O$2:$O$131, MATCH($A106,'Billingsley 130'!$D$2:$D$131, 0), 0)</f>
        <v>207.577</v>
      </c>
      <c r="L106" s="81">
        <f>((($E106 - MIN($E$4:$E$133)) / (MAX($E$4:$E$133) - MIN($E$4:$E$133))) + (($I106 - MIN($I$4:$I$133)) / (MAX($I$4:$I$133) - MIN($I$4:$I$133)))) / 2</f>
        <v>0.30658765241641206</v>
      </c>
      <c r="M106" s="73">
        <f>((($F106 - MIN($F$4:$F$133)) / (MAX($F$4:$F$133) - MIN($F$4:$F$133))) + (($J106 - MIN($J$4:$J$133)) / (MAX($J$4:$J$133) - MIN($J$4:$J$133)))) / 2</f>
        <v>0.40837503953561927</v>
      </c>
      <c r="N106" s="73">
        <f>($G106 - MIN($G$4:$G$133)) / (MAX($G$4:$G$133) - MIN($G$4:$G$133))</f>
        <v>0.33776595744680854</v>
      </c>
      <c r="O106" s="73">
        <f>($K106 - MIN($K$4:$K$133)) / (MAX($K$4:$K$133) - MIN($K$4:$K$133))</f>
        <v>0.25830855033249983</v>
      </c>
      <c r="P106" s="84">
        <f>(($C106 - MIN($C$4:$C$133)) / (MAX($C$4:$C$133) - MIN($C$4:$C$133)) + ($D106 - MIN($D$4:$D$133)) / (MAX($D$4:$D$133) - MIN($D$4:$D$133)) + ($H106 - MIN($H$4:$H$133)) / (MAX($H$4:$H$133) - MIN($H$4:$H$133))) / 3</f>
        <v>0.34978945903450892</v>
      </c>
      <c r="Q106" s="81">
        <f xml:space="preserve"> ($L106 * (INDEX(PlaysPerGame!$BK$3:$BK$132, MATCH($A106,PlaysPerGame!$BC$3:$BC$132, 0), 0) * 0.8))+ ($M106 * (INDEX(PlaysPerGame!$BL$3:$BL$132, MATCH($A106,PlaysPerGame!$BC$3:$BC$132, 0), 0) * 0.8)) + ($N106 * (INDEX(PlaysPerGame!$BM$3:$BM$132, MATCH($A106,PlaysPerGame!$BC$3:$BC$132, 0), 0) * 0.8)) + ($O106 * 0.1) + ($P106 * 0.1)</f>
        <v>0.35094405756716968</v>
      </c>
      <c r="R106" s="9">
        <f t="shared" si="1"/>
        <v>103</v>
      </c>
      <c r="S106" s="112" t="s">
        <v>189</v>
      </c>
    </row>
    <row r="107" spans="1:19" x14ac:dyDescent="0.2">
      <c r="A107" s="68" t="s">
        <v>221</v>
      </c>
      <c r="B107" s="9" t="s">
        <v>63</v>
      </c>
      <c r="C107" s="72">
        <f>INDEX(FPI!$H$3:$H$138, MATCH($A107&amp;", "&amp;$B107,FPI!$B$3:$B$138, 0), 0)</f>
        <v>-6.6</v>
      </c>
      <c r="D107" s="73">
        <f>INDEX(Eff!$F$3:$F$138, MATCH($A107&amp;", "&amp;$B107,Eff!$B$3:$B$138, 0), 0)</f>
        <v>33.9</v>
      </c>
      <c r="E107" s="73">
        <f>INDEX(Eff!$C$3:$C$138, MATCH($A107&amp;", "&amp;$B107,Eff!$B$3:$B$138, 0), 0)</f>
        <v>33.9</v>
      </c>
      <c r="F107" s="73">
        <f>INDEX(Eff!$D$3:$D$138, MATCH($A107&amp;", "&amp;$B107,Eff!$B$3:$B$138, 0), 0)</f>
        <v>31.6</v>
      </c>
      <c r="G107" s="73">
        <f>INDEX(Eff!$E$3:$E$138, MATCH($A107&amp;", "&amp;$B107,Eff!$B$3:$B$138, 0), 0)</f>
        <v>75.2</v>
      </c>
      <c r="H107" s="31">
        <f>INDEX(FEI!$D$1:$D$139, MATCH($A107,FEI!$B$1:$B$139, 0), 0)</f>
        <v>-0.56999999999999995</v>
      </c>
      <c r="I107" s="31">
        <f>INDEX(FEI!$E$1:$E$139, MATCH($A107,FEI!$B$1:$B$139, 0), 0)</f>
        <v>-0.5</v>
      </c>
      <c r="J107" s="31">
        <f>INDEX(FEI!$G$1:$G$139, MATCH($A107,FEI!$B$1:$B$139, 0), 0)</f>
        <v>-0.78</v>
      </c>
      <c r="K107" s="71">
        <f>INDEX('Billingsley 130'!$O$2:$O$131, MATCH($A107,'Billingsley 130'!$D$2:$D$131, 0), 0)</f>
        <v>233.22399999999999</v>
      </c>
      <c r="L107" s="81">
        <f>((($E107 - MIN($E$4:$E$133)) / (MAX($E$4:$E$133) - MIN($E$4:$E$133))) + (($I107 - MIN($I$4:$I$133)) / (MAX($I$4:$I$133) - MIN($I$4:$I$133)))) / 2</f>
        <v>0.25059631530542614</v>
      </c>
      <c r="M107" s="73">
        <f>((($F107 - MIN($F$4:$F$133)) / (MAX($F$4:$F$133) - MIN($F$4:$F$133))) + (($J107 - MIN($J$4:$J$133)) / (MAX($J$4:$J$133) - MIN($J$4:$J$133)))) / 2</f>
        <v>0.33808380931118098</v>
      </c>
      <c r="N107" s="73">
        <f>($G107 - MIN($G$4:$G$133)) / (MAX($G$4:$G$133) - MIN($G$4:$G$133))</f>
        <v>0.78989361702127669</v>
      </c>
      <c r="O107" s="73">
        <f>($K107 - MIN($K$4:$K$133)) / (MAX($K$4:$K$133) - MIN($K$4:$K$133))</f>
        <v>0.46062461050588877</v>
      </c>
      <c r="P107" s="84">
        <f>(($C107 - MIN($C$4:$C$133)) / (MAX($C$4:$C$133) - MIN($C$4:$C$133)) + ($D107 - MIN($D$4:$D$133)) / (MAX($D$4:$D$133) - MIN($D$4:$D$133)) + ($H107 - MIN($H$4:$H$133)) / (MAX($H$4:$H$133) - MIN($H$4:$H$133))) / 3</f>
        <v>0.3503391120788808</v>
      </c>
      <c r="Q107" s="81">
        <f xml:space="preserve"> ($L107 * (INDEX(PlaysPerGame!$BK$3:$BK$132, MATCH($A107,PlaysPerGame!$BC$3:$BC$132, 0), 0) * 0.8))+ ($M107 * (INDEX(PlaysPerGame!$BL$3:$BL$132, MATCH($A107,PlaysPerGame!$BC$3:$BC$132, 0), 0) * 0.8)) + ($N107 * (INDEX(PlaysPerGame!$BM$3:$BM$132, MATCH($A107,PlaysPerGame!$BC$3:$BC$132, 0), 0) * 0.8)) + ($O107 * 0.1) + ($P107 * 0.1)</f>
        <v>0.35007622582913561</v>
      </c>
      <c r="R107" s="9">
        <f t="shared" si="1"/>
        <v>104</v>
      </c>
      <c r="S107" s="112" t="s">
        <v>221</v>
      </c>
    </row>
    <row r="108" spans="1:19" x14ac:dyDescent="0.2">
      <c r="A108" s="68" t="s">
        <v>140</v>
      </c>
      <c r="B108" s="9" t="s">
        <v>63</v>
      </c>
      <c r="C108" s="72">
        <f>INDEX(FPI!$H$3:$H$138, MATCH("Florida Intl"&amp;", "&amp;$B108,FPI!$B$3:$B$138, 0), 0)</f>
        <v>-7.5</v>
      </c>
      <c r="D108" s="73">
        <f>INDEX(Eff!$F$3:$F$138, MATCH("Florida Intl"&amp;", "&amp;$B108,Eff!$B$3:$B$138, 0), 0)</f>
        <v>30</v>
      </c>
      <c r="E108" s="73">
        <f>INDEX(Eff!$C$3:$C$138, MATCH("Florida Intl"&amp;", "&amp;$B108,Eff!$B$3:$B$138, 0), 0)</f>
        <v>45.2</v>
      </c>
      <c r="F108" s="73">
        <f>INDEX(Eff!$D$3:$D$138, MATCH("Florida Intl"&amp;", "&amp;$B108,Eff!$B$3:$B$138, 0), 0)</f>
        <v>26.9</v>
      </c>
      <c r="G108" s="73">
        <f>INDEX(Eff!$E$3:$E$138, MATCH("Florida Intl"&amp;", "&amp;$B108,Eff!$B$3:$B$138, 0), 0)</f>
        <v>39.6</v>
      </c>
      <c r="H108" s="31">
        <f>INDEX(FEI!$D$1:$D$139, MATCH("Florida International",FEI!$B$1:$B$139, 0), 0)</f>
        <v>-0.26</v>
      </c>
      <c r="I108" s="31">
        <f>INDEX(FEI!$E$1:$E$139, MATCH("Florida International",FEI!$B$1:$B$139, 0), 0)</f>
        <v>0.08</v>
      </c>
      <c r="J108" s="31">
        <f>INDEX(FEI!$G$1:$G$139, MATCH("Florida International",FEI!$B$1:$B$139, 0), 0)</f>
        <v>-0.61</v>
      </c>
      <c r="K108" s="71">
        <f>INDEX('Billingsley 130'!$O$2:$O$131, MATCH("Florida Int.",'Billingsley 130'!$D$2:$D$131, 0), 0)</f>
        <v>198.34700000000001</v>
      </c>
      <c r="L108" s="81">
        <f>((($E108 - MIN($E$4:$E$133)) / (MAX($E$4:$E$133) - MIN($E$4:$E$133))) + (($I108 - MIN($I$4:$I$133)) / (MAX($I$4:$I$133) - MIN($I$4:$I$133)))) / 2</f>
        <v>0.39099445219093959</v>
      </c>
      <c r="M108" s="73">
        <f>((($F108 - MIN($F$4:$F$133)) / (MAX($F$4:$F$133) - MIN($F$4:$F$133))) + (($J108 - MIN($J$4:$J$133)) / (MAX($J$4:$J$133) - MIN($J$4:$J$133)))) / 2</f>
        <v>0.33629927998660442</v>
      </c>
      <c r="N108" s="73">
        <f>($G108 - MIN($G$4:$G$133)) / (MAX($G$4:$G$133) - MIN($G$4:$G$133))</f>
        <v>0.31648936170212766</v>
      </c>
      <c r="O108" s="73">
        <f>($K108 - MIN($K$4:$K$133)) / (MAX($K$4:$K$133) - MIN($K$4:$K$133))</f>
        <v>0.1854978030560005</v>
      </c>
      <c r="P108" s="84">
        <f>(($C108 - MIN($C$4:$C$133)) / (MAX($C$4:$C$133) - MIN($C$4:$C$133)) + ($D108 - MIN($D$4:$D$133)) / (MAX($D$4:$D$133) - MIN($D$4:$D$133)) + ($H108 - MIN($H$4:$H$133)) / (MAX($H$4:$H$133) - MIN($H$4:$H$133))) / 3</f>
        <v>0.36268507543824469</v>
      </c>
      <c r="Q108" s="81">
        <f xml:space="preserve"> ($L108 * (INDEX(PlaysPerGame!$BK$3:$BK$132, MATCH("Florida Intl",PlaysPerGame!$BC$3:$BC$132, 0), 0) * 0.8))+ ($M108 * (INDEX(PlaysPerGame!$BL$3:$BL$132, MATCH("Florida Intl",PlaysPerGame!$BC$3:$BC$132, 0), 0) * 0.8)) + ($N108 * (INDEX(PlaysPerGame!$BM$3:$BM$132, MATCH("Florida Intl",PlaysPerGame!$BC$3:$BC$132, 0), 0) * 0.8)) + ($O108 * 0.1) + ($P108 * 0.1)</f>
        <v>0.34291062291340962</v>
      </c>
      <c r="R108" s="9">
        <f t="shared" si="1"/>
        <v>105</v>
      </c>
      <c r="S108" s="112" t="s">
        <v>140</v>
      </c>
    </row>
    <row r="109" spans="1:19" x14ac:dyDescent="0.2">
      <c r="A109" s="68" t="s">
        <v>352</v>
      </c>
      <c r="B109" s="9" t="s">
        <v>113</v>
      </c>
      <c r="C109" s="72">
        <f>INDEX(FPI!$H$3:$H$138, MATCH("USF"&amp;", "&amp;$B109,FPI!$B$3:$B$138, 0), 0)</f>
        <v>-7.7</v>
      </c>
      <c r="D109" s="73">
        <f>INDEX(Eff!$F$3:$F$138, MATCH("USF"&amp;", "&amp;$B109,Eff!$B$3:$B$138, 0), 0)</f>
        <v>29.3</v>
      </c>
      <c r="E109" s="73">
        <f>INDEX(Eff!$C$3:$C$138, MATCH("USF"&amp;", "&amp;$B109,Eff!$B$3:$B$138, 0), 0)</f>
        <v>24.1</v>
      </c>
      <c r="F109" s="73">
        <f>INDEX(Eff!$D$3:$D$138, MATCH("USF"&amp;", "&amp;$B109,Eff!$B$3:$B$138, 0), 0)</f>
        <v>40.799999999999997</v>
      </c>
      <c r="G109" s="73">
        <f>INDEX(Eff!$E$3:$E$138, MATCH("USF"&amp;", "&amp;$B109,Eff!$B$3:$B$138, 0), 0)</f>
        <v>52.9</v>
      </c>
      <c r="H109" s="31">
        <f>INDEX(FEI!$D$1:$D$139, MATCH($A109,FEI!$B$1:$B$139, 0), 0)</f>
        <v>-0.38</v>
      </c>
      <c r="I109" s="31">
        <f>INDEX(FEI!$E$1:$E$139, MATCH($A109,FEI!$B$1:$B$139, 0), 0)</f>
        <v>-0.69</v>
      </c>
      <c r="J109" s="31">
        <f>INDEX(FEI!$G$1:$G$139, MATCH($A109,FEI!$B$1:$B$139, 0), 0)</f>
        <v>-0.17</v>
      </c>
      <c r="K109" s="71">
        <f>INDEX('Billingsley 130'!$O$2:$O$131, MATCH($A109,'Billingsley 130'!$D$2:$D$131, 0), 0)</f>
        <v>214.11799999999999</v>
      </c>
      <c r="L109" s="81">
        <f>((($E109 - MIN($E$4:$E$133)) / (MAX($E$4:$E$133) - MIN($E$4:$E$133))) + (($I109 - MIN($I$4:$I$133)) / (MAX($I$4:$I$133) - MIN($I$4:$I$133)))) / 2</f>
        <v>0.17113359242887238</v>
      </c>
      <c r="M109" s="73">
        <f>((($F109 - MIN($F$4:$F$133)) / (MAX($F$4:$F$133) - MIN($F$4:$F$133))) + (($J109 - MIN($J$4:$J$133)) / (MAX($J$4:$J$133) - MIN($J$4:$J$133)))) / 2</f>
        <v>0.47473596407995189</v>
      </c>
      <c r="N109" s="73">
        <f>($G109 - MIN($G$4:$G$133)) / (MAX($G$4:$G$133) - MIN($G$4:$G$133))</f>
        <v>0.49335106382978716</v>
      </c>
      <c r="O109" s="73">
        <f>($K109 - MIN($K$4:$K$133)) / (MAX($K$4:$K$133) - MIN($K$4:$K$133))</f>
        <v>0.30990715249236789</v>
      </c>
      <c r="P109" s="84">
        <f>(($C109 - MIN($C$4:$C$133)) / (MAX($C$4:$C$133) - MIN($C$4:$C$133)) + ($D109 - MIN($D$4:$D$133)) / (MAX($D$4:$D$133) - MIN($D$4:$D$133)) + ($H109 - MIN($H$4:$H$133)) / (MAX($H$4:$H$133) - MIN($H$4:$H$133))) / 3</f>
        <v>0.34716782481119651</v>
      </c>
      <c r="Q109" s="81">
        <f xml:space="preserve"> ($L109 * (INDEX(PlaysPerGame!$BK$3:$BK$132, MATCH("S Florida",PlaysPerGame!$BC$3:$BC$132, 0), 0) * 0.8))+ ($M109 * (INDEX(PlaysPerGame!$BL$3:$BL$132, MATCH("S Florida",PlaysPerGame!$BC$3:$BC$132, 0), 0) * 0.8)) + ($N109 * (INDEX(PlaysPerGame!$BM$3:$BM$132, MATCH("S Florida",PlaysPerGame!$BC$3:$BC$132, 0), 0) * 0.8)) + ($O109 * 0.1) + ($P109 * 0.1)</f>
        <v>0.33995274435744499</v>
      </c>
      <c r="R109" s="9">
        <f t="shared" si="1"/>
        <v>106</v>
      </c>
      <c r="S109" s="112" t="s">
        <v>352</v>
      </c>
    </row>
    <row r="110" spans="1:19" x14ac:dyDescent="0.2">
      <c r="A110" s="68" t="s">
        <v>66</v>
      </c>
      <c r="B110" s="9" t="s">
        <v>28</v>
      </c>
      <c r="C110" s="72">
        <f>INDEX(FPI!$H$3:$H$138, MATCH($A110&amp;", "&amp;$B110,FPI!$B$3:$B$138, 0), 0)</f>
        <v>-9.4</v>
      </c>
      <c r="D110" s="73">
        <f>INDEX(Eff!$F$3:$F$138, MATCH($A110&amp;", "&amp;$B110,Eff!$B$3:$B$138, 0), 0)</f>
        <v>35.700000000000003</v>
      </c>
      <c r="E110" s="73">
        <f>INDEX(Eff!$C$3:$C$138, MATCH($A110&amp;", "&amp;$B110,Eff!$B$3:$B$138, 0), 0)</f>
        <v>33</v>
      </c>
      <c r="F110" s="73">
        <f>INDEX(Eff!$D$3:$D$138, MATCH($A110&amp;", "&amp;$B110,Eff!$B$3:$B$138, 0), 0)</f>
        <v>49</v>
      </c>
      <c r="G110" s="73">
        <f>INDEX(Eff!$E$3:$E$138, MATCH($A110&amp;", "&amp;$B110,Eff!$B$3:$B$138, 0), 0)</f>
        <v>35.1</v>
      </c>
      <c r="H110" s="31">
        <f>INDEX(FEI!$D$1:$D$139, MATCH($A110,FEI!$B$1:$B$139, 0), 0)</f>
        <v>-0.52</v>
      </c>
      <c r="I110" s="31">
        <f>INDEX(FEI!$E$1:$E$139, MATCH($A110,FEI!$B$1:$B$139, 0), 0)</f>
        <v>-0.77</v>
      </c>
      <c r="J110" s="31">
        <f>INDEX(FEI!$G$1:$G$139, MATCH($A110,FEI!$B$1:$B$139, 0), 0)</f>
        <v>-0.21</v>
      </c>
      <c r="K110" s="71">
        <f>INDEX('Billingsley 130'!$O$2:$O$131, MATCH($A110,'Billingsley 130'!$D$2:$D$131, 0), 0)</f>
        <v>201.696</v>
      </c>
      <c r="L110" s="81">
        <f>((($E110 - MIN($E$4:$E$133)) / (MAX($E$4:$E$133) - MIN($E$4:$E$133))) + (($I110 - MIN($I$4:$I$133)) / (MAX($I$4:$I$133) - MIN($I$4:$I$133)))) / 2</f>
        <v>0.20917020203518555</v>
      </c>
      <c r="M110" s="73">
        <f>((($F110 - MIN($F$4:$F$133)) / (MAX($F$4:$F$133) - MIN($F$4:$F$133))) + (($J110 - MIN($J$4:$J$133)) / (MAX($J$4:$J$133) - MIN($J$4:$J$133)))) / 2</f>
        <v>0.51409173504003181</v>
      </c>
      <c r="N110" s="73">
        <f>($G110 - MIN($G$4:$G$133)) / (MAX($G$4:$G$133) - MIN($G$4:$G$133))</f>
        <v>0.25664893617021278</v>
      </c>
      <c r="O110" s="73">
        <f>($K110 - MIN($K$4:$K$133)) / (MAX($K$4:$K$133) - MIN($K$4:$K$133))</f>
        <v>0.21191635046975951</v>
      </c>
      <c r="P110" s="84">
        <f>(($C110 - MIN($C$4:$C$133)) / (MAX($C$4:$C$133) - MIN($C$4:$C$133)) + ($D110 - MIN($D$4:$D$133)) / (MAX($D$4:$D$133) - MIN($D$4:$D$133)) + ($H110 - MIN($H$4:$H$133)) / (MAX($H$4:$H$133) - MIN($H$4:$H$133))) / 3</f>
        <v>0.34684333182190824</v>
      </c>
      <c r="Q110" s="81">
        <f xml:space="preserve"> ($L110 * (INDEX(PlaysPerGame!$BK$3:$BK$132, MATCH($A110,PlaysPerGame!$BC$3:$BC$132, 0), 0) * 0.8))+ ($M110 * (INDEX(PlaysPerGame!$BL$3:$BL$132, MATCH($A110,PlaysPerGame!$BC$3:$BC$132, 0), 0) * 0.8)) + ($N110 * (INDEX(PlaysPerGame!$BM$3:$BM$132, MATCH($A110,PlaysPerGame!$BC$3:$BC$132, 0), 0) * 0.8)) + ($O110 * 0.1) + ($P110 * 0.1)</f>
        <v>0.33447941629513395</v>
      </c>
      <c r="R110" s="9">
        <f t="shared" si="1"/>
        <v>107</v>
      </c>
      <c r="S110" s="112" t="s">
        <v>66</v>
      </c>
    </row>
    <row r="111" spans="1:19" x14ac:dyDescent="0.2">
      <c r="A111" s="68" t="s">
        <v>108</v>
      </c>
      <c r="B111" s="9" t="s">
        <v>63</v>
      </c>
      <c r="C111" s="72">
        <f>INDEX(FPI!$H$3:$H$138, MATCH($A111&amp;", "&amp;$B111,FPI!$B$3:$B$138, 0), 0)</f>
        <v>-13.5</v>
      </c>
      <c r="D111" s="73">
        <f>INDEX(Eff!$F$3:$F$138, MATCH($A111&amp;", "&amp;$B111,Eff!$B$3:$B$138, 0), 0)</f>
        <v>29.8</v>
      </c>
      <c r="E111" s="73">
        <f>INDEX(Eff!$C$3:$C$138, MATCH($A111&amp;", "&amp;$B111,Eff!$B$3:$B$138, 0), 0)</f>
        <v>43.5</v>
      </c>
      <c r="F111" s="73">
        <f>INDEX(Eff!$D$3:$D$138, MATCH($A111&amp;", "&amp;$B111,Eff!$B$3:$B$138, 0), 0)</f>
        <v>26.6</v>
      </c>
      <c r="G111" s="73">
        <f>INDEX(Eff!$E$3:$E$138, MATCH($A111&amp;", "&amp;$B111,Eff!$B$3:$B$138, 0), 0)</f>
        <v>40.700000000000003</v>
      </c>
      <c r="H111" s="31">
        <f>INDEX(FEI!$D$1:$D$139, MATCH($A111,FEI!$B$1:$B$139, 0), 0)</f>
        <v>-0.36</v>
      </c>
      <c r="I111" s="31">
        <f>INDEX(FEI!$E$1:$E$139, MATCH($A111,FEI!$B$1:$B$139, 0), 0)</f>
        <v>0.15</v>
      </c>
      <c r="J111" s="31">
        <f>INDEX(FEI!$G$1:$G$139, MATCH($A111,FEI!$B$1:$B$139, 0), 0)</f>
        <v>-0.96</v>
      </c>
      <c r="K111" s="71">
        <f>INDEX('Billingsley 130'!$O$2:$O$131, MATCH($A111,'Billingsley 130'!$D$2:$D$131, 0), 0)</f>
        <v>210.274</v>
      </c>
      <c r="L111" s="81">
        <f>((($E111 - MIN($E$4:$E$133)) / (MAX($E$4:$E$133) - MIN($E$4:$E$133))) + (($I111 - MIN($I$4:$I$133)) / (MAX($I$4:$I$133) - MIN($I$4:$I$133)))) / 2</f>
        <v>0.39112350550330788</v>
      </c>
      <c r="M111" s="73">
        <f>((($F111 - MIN($F$4:$F$133)) / (MAX($F$4:$F$133) - MIN($F$4:$F$133))) + (($J111 - MIN($J$4:$J$133)) / (MAX($J$4:$J$133) - MIN($J$4:$J$133)))) / 2</f>
        <v>0.2852177094767655</v>
      </c>
      <c r="N111" s="73">
        <f>($G111 - MIN($G$4:$G$133)) / (MAX($G$4:$G$133) - MIN($G$4:$G$133))</f>
        <v>0.33111702127659576</v>
      </c>
      <c r="O111" s="73">
        <f>($K111 - MIN($K$4:$K$133)) / (MAX($K$4:$K$133) - MIN($K$4:$K$133))</f>
        <v>0.27958380335576299</v>
      </c>
      <c r="P111" s="84">
        <f>(($C111 - MIN($C$4:$C$133)) / (MAX($C$4:$C$133) - MIN($C$4:$C$133)) + ($D111 - MIN($D$4:$D$133)) / (MAX($D$4:$D$133) - MIN($D$4:$D$133)) + ($H111 - MIN($H$4:$H$133)) / (MAX($H$4:$H$133) - MIN($H$4:$H$133))) / 3</f>
        <v>0.32014943558938297</v>
      </c>
      <c r="Q111" s="81">
        <f xml:space="preserve"> ($L111 * (INDEX(PlaysPerGame!$BK$3:$BK$132, MATCH($A111,PlaysPerGame!$BC$3:$BC$132, 0), 0) * 0.8))+ ($M111 * (INDEX(PlaysPerGame!$BL$3:$BL$132, MATCH($A111,PlaysPerGame!$BC$3:$BC$132, 0), 0) * 0.8)) + ($N111 * (INDEX(PlaysPerGame!$BM$3:$BM$132, MATCH($A111,PlaysPerGame!$BC$3:$BC$132, 0), 0) * 0.8)) + ($O111 * 0.1) + ($P111 * 0.1)</f>
        <v>0.32866549553179497</v>
      </c>
      <c r="R111" s="9">
        <f t="shared" si="1"/>
        <v>108</v>
      </c>
      <c r="S111" s="112" t="s">
        <v>108</v>
      </c>
    </row>
    <row r="112" spans="1:19" x14ac:dyDescent="0.2">
      <c r="A112" s="68" t="s">
        <v>378</v>
      </c>
      <c r="B112" s="9" t="s">
        <v>39</v>
      </c>
      <c r="C112" s="72">
        <f>INDEX(FPI!$H$3:$H$138, MATCH($A112&amp;", "&amp;$B112,FPI!$B$3:$B$138, 0), 0)</f>
        <v>-12.6</v>
      </c>
      <c r="D112" s="73">
        <f>INDEX(Eff!$F$3:$F$138, MATCH($A112&amp;", "&amp;$B112,Eff!$B$3:$B$138, 0), 0)</f>
        <v>28.7</v>
      </c>
      <c r="E112" s="73">
        <f>INDEX(Eff!$C$3:$C$138, MATCH($A112&amp;", "&amp;$B112,Eff!$B$3:$B$138, 0), 0)</f>
        <v>13.4</v>
      </c>
      <c r="F112" s="73">
        <f>INDEX(Eff!$D$3:$D$138, MATCH($A112&amp;", "&amp;$B112,Eff!$B$3:$B$138, 0), 0)</f>
        <v>52.4</v>
      </c>
      <c r="G112" s="73">
        <f>INDEX(Eff!$E$3:$E$138, MATCH($A112&amp;", "&amp;$B112,Eff!$B$3:$B$138, 0), 0)</f>
        <v>63</v>
      </c>
      <c r="H112" s="31">
        <f>INDEX(FEI!$D$1:$D$139, MATCH($A112,FEI!$B$1:$B$139, 0), 0)</f>
        <v>-0.53</v>
      </c>
      <c r="I112" s="31">
        <f>INDEX(FEI!$E$1:$E$139, MATCH($A112,FEI!$B$1:$B$139, 0), 0)</f>
        <v>-1</v>
      </c>
      <c r="J112" s="31">
        <f>INDEX(FEI!$G$1:$G$139, MATCH($A112,FEI!$B$1:$B$139, 0), 0)</f>
        <v>-0.1</v>
      </c>
      <c r="K112" s="71">
        <f>INDEX('Billingsley 130'!$O$2:$O$131, MATCH($A112,'Billingsley 130'!$D$2:$D$131, 0), 0)</f>
        <v>198.459</v>
      </c>
      <c r="L112" s="81">
        <f>((($E112 - MIN($E$4:$E$133)) / (MAX($E$4:$E$133) - MIN($E$4:$E$133))) + (($I112 - MIN($I$4:$I$133)) / (MAX($I$4:$I$133) - MIN($I$4:$I$133)))) / 2</f>
        <v>7.0515026552348176E-2</v>
      </c>
      <c r="M112" s="73">
        <f>((($F112 - MIN($F$4:$F$133)) / (MAX($F$4:$F$133) - MIN($F$4:$F$133))) + (($J112 - MIN($J$4:$J$133)) / (MAX($J$4:$J$133) - MIN($J$4:$J$133)))) / 2</f>
        <v>0.54828927049805576</v>
      </c>
      <c r="N112" s="73">
        <f>($G112 - MIN($G$4:$G$133)) / (MAX($G$4:$G$133) - MIN($G$4:$G$133))</f>
        <v>0.62765957446808507</v>
      </c>
      <c r="O112" s="73">
        <f>($K112 - MIN($K$4:$K$133)) / (MAX($K$4:$K$133) - MIN($K$4:$K$133))</f>
        <v>0.18638131374884639</v>
      </c>
      <c r="P112" s="84">
        <f>(($C112 - MIN($C$4:$C$133)) / (MAX($C$4:$C$133) - MIN($C$4:$C$133)) + ($D112 - MIN($D$4:$D$133)) / (MAX($D$4:$D$133) - MIN($D$4:$D$133)) + ($H112 - MIN($H$4:$H$133)) / (MAX($H$4:$H$133) - MIN($H$4:$H$133))) / 3</f>
        <v>0.30406387384973382</v>
      </c>
      <c r="Q112" s="81">
        <f xml:space="preserve"> ($L112 * (INDEX(PlaysPerGame!$BK$3:$BK$132, MATCH($A112,PlaysPerGame!$BC$3:$BC$132, 0), 0) * 0.8))+ ($M112 * (INDEX(PlaysPerGame!$BL$3:$BL$132, MATCH($A112,PlaysPerGame!$BC$3:$BC$132, 0), 0) * 0.8)) + ($N112 * (INDEX(PlaysPerGame!$BM$3:$BM$132, MATCH($A112,PlaysPerGame!$BC$3:$BC$132, 0), 0) * 0.8)) + ($O112 * 0.1) + ($P112 * 0.1)</f>
        <v>0.32323502972017937</v>
      </c>
      <c r="R112" s="9">
        <f t="shared" si="1"/>
        <v>109</v>
      </c>
      <c r="S112" s="112" t="s">
        <v>378</v>
      </c>
    </row>
    <row r="113" spans="1:19" x14ac:dyDescent="0.2">
      <c r="A113" s="68" t="s">
        <v>249</v>
      </c>
      <c r="B113" s="9" t="s">
        <v>63</v>
      </c>
      <c r="C113" s="72">
        <f>INDEX(FPI!$H$3:$H$138, MATCH("Mid Tennessee"&amp;", "&amp;$B113,FPI!$B$3:$B$138, 0), 0)</f>
        <v>-10.6</v>
      </c>
      <c r="D113" s="73">
        <f>INDEX(Eff!$F$3:$F$138, MATCH("Mid Tennessee"&amp;", "&amp;$B113,Eff!$B$3:$B$138, 0), 0)</f>
        <v>25.3</v>
      </c>
      <c r="E113" s="73">
        <f>INDEX(Eff!$C$3:$C$138, MATCH("Mid Tennessee"&amp;", "&amp;$B113,Eff!$B$3:$B$138, 0), 0)</f>
        <v>43.7</v>
      </c>
      <c r="F113" s="73">
        <f>INDEX(Eff!$D$3:$D$138, MATCH("Mid Tennessee"&amp;", "&amp;$B113,Eff!$B$3:$B$138, 0), 0)</f>
        <v>22.3</v>
      </c>
      <c r="G113" s="73">
        <f>INDEX(Eff!$E$3:$E$138, MATCH("Mid Tennessee"&amp;", "&amp;$B113,Eff!$B$3:$B$138, 0), 0)</f>
        <v>40</v>
      </c>
      <c r="H113" s="31">
        <f>INDEX(FEI!$D$1:$D$139, MATCH($A113,FEI!$B$1:$B$139, 0), 0)</f>
        <v>-0.62</v>
      </c>
      <c r="I113" s="31">
        <f>INDEX(FEI!$E$1:$E$139, MATCH($A113,FEI!$B$1:$B$139, 0), 0)</f>
        <v>-0.28999999999999998</v>
      </c>
      <c r="J113" s="31">
        <f>INDEX(FEI!$G$1:$G$139, MATCH($A113,FEI!$B$1:$B$139, 0), 0)</f>
        <v>-0.82</v>
      </c>
      <c r="K113" s="71">
        <f>INDEX('Billingsley 130'!$O$2:$O$131, MATCH($A113,'Billingsley 130'!$D$2:$D$131, 0), 0)</f>
        <v>234.39400000000001</v>
      </c>
      <c r="L113" s="81">
        <f>((($E113 - MIN($E$4:$E$133)) / (MAX($E$4:$E$133) - MIN($E$4:$E$133))) + (($I113 - MIN($I$4:$I$133)) / (MAX($I$4:$I$133) - MIN($I$4:$I$133)))) / 2</f>
        <v>0.33276174088468269</v>
      </c>
      <c r="M113" s="73">
        <f>((($F113 - MIN($F$4:$F$133)) / (MAX($F$4:$F$133) - MIN($F$4:$F$133))) + (($J113 - MIN($J$4:$J$133)) / (MAX($J$4:$J$133) - MIN($J$4:$J$133)))) / 2</f>
        <v>0.28139128169826422</v>
      </c>
      <c r="N113" s="73">
        <f>($G113 - MIN($G$4:$G$133)) / (MAX($G$4:$G$133) - MIN($G$4:$G$133))</f>
        <v>0.32180851063829785</v>
      </c>
      <c r="O113" s="73">
        <f>($K113 - MIN($K$4:$K$133)) / (MAX($K$4:$K$133) - MIN($K$4:$K$133))</f>
        <v>0.46985414185079721</v>
      </c>
      <c r="P113" s="84">
        <f>(($C113 - MIN($C$4:$C$133)) / (MAX($C$4:$C$133) - MIN($C$4:$C$133)) + ($D113 - MIN($D$4:$D$133)) / (MAX($D$4:$D$133) - MIN($D$4:$D$133)) + ($H113 - MIN($H$4:$H$133)) / (MAX($H$4:$H$133) - MIN($H$4:$H$133))) / 3</f>
        <v>0.29365362427165814</v>
      </c>
      <c r="Q113" s="81">
        <f xml:space="preserve"> ($L113 * (INDEX(PlaysPerGame!$BK$3:$BK$132, MATCH("Middle Tenn",PlaysPerGame!$BC$3:$BC$132, 0), 0) * 0.8))+ ($M113 * (INDEX(PlaysPerGame!$BL$3:$BL$132, MATCH("Middle Tenn",PlaysPerGame!$BC$3:$BC$132, 0), 0) * 0.8)) + ($N113 * (INDEX(PlaysPerGame!$BM$3:$BM$132, MATCH("Middle Tenn",PlaysPerGame!$BC$3:$BC$132, 0), 0) * 0.8)) + ($O113 * 0.1) + ($P113 * 0.1)</f>
        <v>0.32093453778566333</v>
      </c>
      <c r="R113" s="9">
        <f t="shared" si="1"/>
        <v>110</v>
      </c>
      <c r="S113" s="112" t="s">
        <v>249</v>
      </c>
    </row>
    <row r="114" spans="1:19" x14ac:dyDescent="0.2">
      <c r="A114" s="68" t="s">
        <v>341</v>
      </c>
      <c r="B114" s="9" t="s">
        <v>762</v>
      </c>
      <c r="C114" s="72">
        <f>INDEX(FPI!$H$3:$H$138, MATCH($A114&amp;", "&amp;$B114,FPI!$B$3:$B$138, 0), 0)</f>
        <v>-11.5</v>
      </c>
      <c r="D114" s="73">
        <f>INDEX(Eff!$F$3:$F$138, MATCH($A114&amp;", "&amp;$B114,Eff!$B$3:$B$138, 0), 0)</f>
        <v>37.299999999999997</v>
      </c>
      <c r="E114" s="73">
        <f>INDEX(Eff!$C$3:$C$138, MATCH($A114&amp;", "&amp;$B114,Eff!$B$3:$B$138, 0), 0)</f>
        <v>49.9</v>
      </c>
      <c r="F114" s="73">
        <f>INDEX(Eff!$D$3:$D$138, MATCH($A114&amp;", "&amp;$B114,Eff!$B$3:$B$138, 0), 0)</f>
        <v>35.1</v>
      </c>
      <c r="G114" s="73">
        <f>INDEX(Eff!$E$3:$E$138, MATCH($A114&amp;", "&amp;$B114,Eff!$B$3:$B$138, 0), 0)</f>
        <v>34.9</v>
      </c>
      <c r="H114" s="31">
        <f>INDEX(FEI!$D$1:$D$139, MATCH($A114,FEI!$B$1:$B$139, 0), 0)</f>
        <v>-0.68</v>
      </c>
      <c r="I114" s="31">
        <f>INDEX(FEI!$E$1:$E$139, MATCH($A114,FEI!$B$1:$B$139, 0), 0)</f>
        <v>-0.51</v>
      </c>
      <c r="J114" s="31">
        <f>INDEX(FEI!$G$1:$G$139, MATCH($A114,FEI!$B$1:$B$139, 0), 0)</f>
        <v>-0.82</v>
      </c>
      <c r="K114" s="71">
        <f>INDEX('Billingsley 130'!$O$2:$O$131, MATCH($A114,'Billingsley 130'!$D$2:$D$131, 0), 0)</f>
        <v>196.00700000000001</v>
      </c>
      <c r="L114" s="81">
        <f>((($E114 - MIN($E$4:$E$133)) / (MAX($E$4:$E$133) - MIN($E$4:$E$133))) + (($I114 - MIN($I$4:$I$133)) / (MAX($I$4:$I$133) - MIN($I$4:$I$133)))) / 2</f>
        <v>0.33706055122081463</v>
      </c>
      <c r="M114" s="73">
        <f>((($F114 - MIN($F$4:$F$133)) / (MAX($F$4:$F$133) - MIN($F$4:$F$133))) + (($J114 - MIN($J$4:$J$133)) / (MAX($J$4:$J$133) - MIN($J$4:$J$133)))) / 2</f>
        <v>0.35164375151165606</v>
      </c>
      <c r="N114" s="73">
        <f>($G114 - MIN($G$4:$G$133)) / (MAX($G$4:$G$133) - MIN($G$4:$G$133))</f>
        <v>0.2539893617021276</v>
      </c>
      <c r="O114" s="73">
        <f>($K114 - MIN($K$4:$K$133)) / (MAX($K$4:$K$133) - MIN($K$4:$K$133))</f>
        <v>0.16703874036618371</v>
      </c>
      <c r="P114" s="84">
        <f>(($C114 - MIN($C$4:$C$133)) / (MAX($C$4:$C$133) - MIN($C$4:$C$133)) + ($D114 - MIN($D$4:$D$133)) / (MAX($D$4:$D$133) - MIN($D$4:$D$133)) + ($H114 - MIN($H$4:$H$133)) / (MAX($H$4:$H$133) - MIN($H$4:$H$133))) / 3</f>
        <v>0.32539650050028884</v>
      </c>
      <c r="Q114" s="81">
        <f xml:space="preserve"> ($L114 * (INDEX(PlaysPerGame!$BK$3:$BK$132, MATCH("San Jose St",PlaysPerGame!$BC$3:$BC$132, 0), 0) * 0.8))+ ($M114 * (INDEX(PlaysPerGame!$BL$3:$BL$132, MATCH("San Jose St",PlaysPerGame!$BC$3:$BC$132, 0), 0) * 0.8)) + ($N114 * (INDEX(PlaysPerGame!$BM$3:$BM$132, MATCH("San Jose St",PlaysPerGame!$BC$3:$BC$132, 0), 0) * 0.8)) + ($O114 * 0.1) + ($P114 * 0.1)</f>
        <v>0.32051704951769572</v>
      </c>
      <c r="R114" s="9">
        <f t="shared" si="1"/>
        <v>111</v>
      </c>
      <c r="S114" s="112" t="s">
        <v>341</v>
      </c>
    </row>
    <row r="115" spans="1:19" x14ac:dyDescent="0.2">
      <c r="A115" s="68" t="s">
        <v>290</v>
      </c>
      <c r="B115" s="9" t="s">
        <v>28</v>
      </c>
      <c r="C115" s="72">
        <f>INDEX(FPI!$H$3:$H$138, MATCH("N Illinois"&amp;", "&amp;$B115,FPI!$B$3:$B$138, 0), 0)</f>
        <v>-10.5</v>
      </c>
      <c r="D115" s="73">
        <f>INDEX(Eff!$F$3:$F$138, MATCH("N Illinois"&amp;", "&amp;$B115,Eff!$B$3:$B$138, 0), 0)</f>
        <v>30</v>
      </c>
      <c r="E115" s="73">
        <f>INDEX(Eff!$C$3:$C$138, MATCH("N Illinois"&amp;", "&amp;$B115,Eff!$B$3:$B$138, 0), 0)</f>
        <v>21.8</v>
      </c>
      <c r="F115" s="73">
        <f>INDEX(Eff!$D$3:$D$138, MATCH("N Illinois"&amp;", "&amp;$B115,Eff!$B$3:$B$138, 0), 0)</f>
        <v>49.4</v>
      </c>
      <c r="G115" s="73">
        <f>INDEX(Eff!$E$3:$E$138, MATCH("N Illinois"&amp;", "&amp;$B115,Eff!$B$3:$B$138, 0), 0)</f>
        <v>46.6</v>
      </c>
      <c r="H115" s="31">
        <f>INDEX(FEI!$D$1:$D$139, MATCH($A115,FEI!$B$1:$B$139, 0), 0)</f>
        <v>-0.53</v>
      </c>
      <c r="I115" s="31">
        <f>INDEX(FEI!$E$1:$E$139, MATCH($A115,FEI!$B$1:$B$139, 0), 0)</f>
        <v>-0.77</v>
      </c>
      <c r="J115" s="31">
        <f>INDEX(FEI!$G$1:$G$139, MATCH($A115,FEI!$B$1:$B$139, 0), 0)</f>
        <v>-0.32</v>
      </c>
      <c r="K115" s="71">
        <f>INDEX('Billingsley 130'!$O$2:$O$131, MATCH($A115,'Billingsley 130'!$D$2:$D$131, 0), 0)</f>
        <v>200.52600000000001</v>
      </c>
      <c r="L115" s="81">
        <f>((($E115 - MIN($E$4:$E$133)) / (MAX($E$4:$E$133) - MIN($E$4:$E$133))) + (($I115 - MIN($I$4:$I$133)) / (MAX($I$4:$I$133) - MIN($I$4:$I$133)))) / 2</f>
        <v>0.14769929094846768</v>
      </c>
      <c r="M115" s="73">
        <f>((($F115 - MIN($F$4:$F$133)) / (MAX($F$4:$F$133) - MIN($F$4:$F$133))) + (($J115 - MIN($J$4:$J$133)) / (MAX($J$4:$J$133) - MIN($J$4:$J$133)))) / 2</f>
        <v>0.50075040155785844</v>
      </c>
      <c r="N115" s="73">
        <f>($G115 - MIN($G$4:$G$133)) / (MAX($G$4:$G$133) - MIN($G$4:$G$133))</f>
        <v>0.40957446808510639</v>
      </c>
      <c r="O115" s="73">
        <f>($K115 - MIN($K$4:$K$133)) / (MAX($K$4:$K$133) - MIN($K$4:$K$133))</f>
        <v>0.20268681912485123</v>
      </c>
      <c r="P115" s="84">
        <f>(($C115 - MIN($C$4:$C$133)) / (MAX($C$4:$C$133) - MIN($C$4:$C$133)) + ($D115 - MIN($D$4:$D$133)) / (MAX($D$4:$D$133) - MIN($D$4:$D$133)) + ($H115 - MIN($H$4:$H$133)) / (MAX($H$4:$H$133) - MIN($H$4:$H$133))) / 3</f>
        <v>0.31981540077483267</v>
      </c>
      <c r="Q115" s="81">
        <f xml:space="preserve"> ($L115 * (INDEX(PlaysPerGame!$BK$3:$BK$132, MATCH("N Illinois",PlaysPerGame!$BC$3:$BC$132, 0), 0) * 0.8))+ ($M115 * (INDEX(PlaysPerGame!$BL$3:$BL$132, MATCH("N Illinois",PlaysPerGame!$BC$3:$BC$132, 0), 0) * 0.8)) + ($N115 * (INDEX(PlaysPerGame!$BM$3:$BM$132, MATCH("N Illinois",PlaysPerGame!$BC$3:$BC$132, 0), 0) * 0.8)) + ($O115 * 0.1) + ($P115 * 0.1)</f>
        <v>0.31086535183855341</v>
      </c>
      <c r="R115" s="9">
        <f t="shared" si="1"/>
        <v>112</v>
      </c>
      <c r="S115" s="112" t="s">
        <v>290</v>
      </c>
    </row>
    <row r="116" spans="1:19" x14ac:dyDescent="0.2">
      <c r="A116" s="68" t="s">
        <v>195</v>
      </c>
      <c r="B116" s="9" t="s">
        <v>28</v>
      </c>
      <c r="C116" s="72">
        <f>INDEX(FPI!$H$3:$H$138, MATCH($A116&amp;", "&amp;$B116,FPI!$B$3:$B$138, 0), 0)</f>
        <v>-11.5</v>
      </c>
      <c r="D116" s="73">
        <f>INDEX(Eff!$F$3:$F$138, MATCH($A116&amp;", "&amp;$B116,Eff!$B$3:$B$138, 0), 0)</f>
        <v>32.5</v>
      </c>
      <c r="E116" s="73">
        <f>INDEX(Eff!$C$3:$C$138, MATCH($A116&amp;", "&amp;$B116,Eff!$B$3:$B$138, 0), 0)</f>
        <v>47.1</v>
      </c>
      <c r="F116" s="73">
        <f>INDEX(Eff!$D$3:$D$138, MATCH($A116&amp;", "&amp;$B116,Eff!$B$3:$B$138, 0), 0)</f>
        <v>30.9</v>
      </c>
      <c r="G116" s="73">
        <f>INDEX(Eff!$E$3:$E$138, MATCH($A116&amp;", "&amp;$B116,Eff!$B$3:$B$138, 0), 0)</f>
        <v>35.4</v>
      </c>
      <c r="H116" s="31">
        <f>INDEX(FEI!$D$1:$D$139, MATCH($A116,FEI!$B$1:$B$139, 0), 0)</f>
        <v>-0.64</v>
      </c>
      <c r="I116" s="31">
        <f>INDEX(FEI!$E$1:$E$139, MATCH($A116,FEI!$B$1:$B$139, 0), 0)</f>
        <v>-0.28999999999999998</v>
      </c>
      <c r="J116" s="31">
        <f>INDEX(FEI!$G$1:$G$139, MATCH($A116,FEI!$B$1:$B$139, 0), 0)</f>
        <v>-0.88</v>
      </c>
      <c r="K116" s="71">
        <f>INDEX('Billingsley 130'!$O$2:$O$131, MATCH($A116,'Billingsley 130'!$D$2:$D$131, 0), 0)</f>
        <v>190.11500000000001</v>
      </c>
      <c r="L116" s="81">
        <f>((($E116 - MIN($E$4:$E$133)) / (MAX($E$4:$E$133) - MIN($E$4:$E$133))) + (($I116 - MIN($I$4:$I$133)) / (MAX($I$4:$I$133) - MIN($I$4:$I$133)))) / 2</f>
        <v>0.35142255317886495</v>
      </c>
      <c r="M116" s="73">
        <f>((($F116 - MIN($F$4:$F$133)) / (MAX($F$4:$F$133) - MIN($F$4:$F$133))) + (($J116 - MIN($J$4:$J$133)) / (MAX($J$4:$J$133) - MIN($J$4:$J$133)))) / 2</f>
        <v>0.32011758358295039</v>
      </c>
      <c r="N116" s="73">
        <f>($G116 - MIN($G$4:$G$133)) / (MAX($G$4:$G$133) - MIN($G$4:$G$133))</f>
        <v>0.26063829787234039</v>
      </c>
      <c r="O116" s="73">
        <f>($K116 - MIN($K$4:$K$133)) / (MAX($K$4:$K$133) - MIN($K$4:$K$133))</f>
        <v>0.12055976713182466</v>
      </c>
      <c r="P116" s="84">
        <f>(($C116 - MIN($C$4:$C$133)) / (MAX($C$4:$C$133) - MIN($C$4:$C$133)) + ($D116 - MIN($D$4:$D$133)) / (MAX($D$4:$D$133) - MIN($D$4:$D$133)) + ($H116 - MIN($H$4:$H$133)) / (MAX($H$4:$H$133) - MIN($H$4:$H$133))) / 3</f>
        <v>0.31238532837058436</v>
      </c>
      <c r="Q116" s="81">
        <f xml:space="preserve"> ($L116 * (INDEX(PlaysPerGame!$BK$3:$BK$132, MATCH($A116,PlaysPerGame!$BC$3:$BC$132, 0), 0) * 0.8))+ ($M116 * (INDEX(PlaysPerGame!$BL$3:$BL$132, MATCH($A116,PlaysPerGame!$BC$3:$BC$132, 0), 0) * 0.8)) + ($N116 * (INDEX(PlaysPerGame!$BM$3:$BM$132, MATCH($A116,PlaysPerGame!$BC$3:$BC$132, 0), 0) * 0.8)) + ($O116 * 0.1) + ($P116 * 0.1)</f>
        <v>0.30653478249655752</v>
      </c>
      <c r="R116" s="9">
        <f t="shared" si="1"/>
        <v>113</v>
      </c>
      <c r="S116" s="112" t="s">
        <v>195</v>
      </c>
    </row>
    <row r="117" spans="1:19" x14ac:dyDescent="0.2">
      <c r="A117" s="68" t="s">
        <v>164</v>
      </c>
      <c r="B117" s="9" t="s">
        <v>87</v>
      </c>
      <c r="C117" s="72">
        <f>INDEX(FPI!$H$3:$H$138, MATCH($A117&amp;", "&amp;$B117,FPI!$B$3:$B$138, 0), 0)</f>
        <v>-11.8</v>
      </c>
      <c r="D117" s="73">
        <f>INDEX(Eff!$F$3:$F$138, MATCH($A117&amp;", "&amp;$B117,Eff!$B$3:$B$138, 0), 0)</f>
        <v>21.4</v>
      </c>
      <c r="E117" s="73">
        <f>INDEX(Eff!$C$3:$C$138, MATCH($A117&amp;", "&amp;$B117,Eff!$B$3:$B$138, 0), 0)</f>
        <v>17.600000000000001</v>
      </c>
      <c r="F117" s="73">
        <f>INDEX(Eff!$D$3:$D$138, MATCH($A117&amp;", "&amp;$B117,Eff!$B$3:$B$138, 0), 0)</f>
        <v>34.799999999999997</v>
      </c>
      <c r="G117" s="73">
        <f>INDEX(Eff!$E$3:$E$138, MATCH($A117&amp;", "&amp;$B117,Eff!$B$3:$B$138, 0), 0)</f>
        <v>47.7</v>
      </c>
      <c r="H117" s="31">
        <f>INDEX(FEI!$D$1:$D$139, MATCH($A117,FEI!$B$1:$B$139, 0), 0)</f>
        <v>-0.4</v>
      </c>
      <c r="I117" s="31">
        <f>INDEX(FEI!$E$1:$E$139, MATCH($A117,FEI!$B$1:$B$139, 0), 0)</f>
        <v>-0.32</v>
      </c>
      <c r="J117" s="31">
        <f>INDEX(FEI!$G$1:$G$139, MATCH($A117,FEI!$B$1:$B$139, 0), 0)</f>
        <v>-0.39</v>
      </c>
      <c r="K117" s="71">
        <f>INDEX('Billingsley 130'!$O$2:$O$131, MATCH($A117,'Billingsley 130'!$D$2:$D$131, 0), 0)</f>
        <v>201.22</v>
      </c>
      <c r="L117" s="81">
        <f>((($E117 - MIN($E$4:$E$133)) / (MAX($E$4:$E$133) - MIN($E$4:$E$133))) + (($I117 - MIN($I$4:$I$133)) / (MAX($I$4:$I$133) - MIN($I$4:$I$133)))) / 2</f>
        <v>0.18545851010175929</v>
      </c>
      <c r="M117" s="73">
        <f>((($F117 - MIN($F$4:$F$133)) / (MAX($F$4:$F$133) - MIN($F$4:$F$133))) + (($J117 - MIN($J$4:$J$133)) / (MAX($J$4:$J$133) - MIN($J$4:$J$133)))) / 2</f>
        <v>0.4107316725272408</v>
      </c>
      <c r="N117" s="73">
        <f>($G117 - MIN($G$4:$G$133)) / (MAX($G$4:$G$133) - MIN($G$4:$G$133))</f>
        <v>0.42420212765957449</v>
      </c>
      <c r="O117" s="73">
        <f>($K117 - MIN($K$4:$K$133)) / (MAX($K$4:$K$133) - MIN($K$4:$K$133))</f>
        <v>0.20816143002516432</v>
      </c>
      <c r="P117" s="84">
        <f>(($C117 - MIN($C$4:$C$133)) / (MAX($C$4:$C$133) - MIN($C$4:$C$133)) + ($D117 - MIN($D$4:$D$133)) / (MAX($D$4:$D$133) - MIN($D$4:$D$133)) + ($H117 - MIN($H$4:$H$133)) / (MAX($H$4:$H$133) - MIN($H$4:$H$133))) / 3</f>
        <v>0.29542519501498027</v>
      </c>
      <c r="Q117" s="81">
        <f xml:space="preserve"> ($L117 * (INDEX(PlaysPerGame!$BK$3:$BK$132, MATCH("GA Tech",PlaysPerGame!$BC$3:$BC$132, 0), 0) * 0.8))+ ($M117 * (INDEX(PlaysPerGame!$BL$3:$BL$132, MATCH("GA Tech",PlaysPerGame!$BC$3:$BC$132, 0), 0) * 0.8)) + ($N117 * (INDEX(PlaysPerGame!$BM$3:$BM$132, MATCH("GA Tech",PlaysPerGame!$BC$3:$BC$132, 0), 0) * 0.8)) + ($O117 * 0.1) + ($P117 * 0.1)</f>
        <v>0.30333266192824493</v>
      </c>
      <c r="R117" s="9">
        <f t="shared" si="1"/>
        <v>114</v>
      </c>
      <c r="S117" s="112" t="s">
        <v>164</v>
      </c>
    </row>
    <row r="118" spans="1:19" x14ac:dyDescent="0.2">
      <c r="A118" s="68" t="s">
        <v>125</v>
      </c>
      <c r="B118" s="9" t="s">
        <v>762</v>
      </c>
      <c r="C118" s="72">
        <f>INDEX(FPI!$H$3:$H$138, MATCH($A118&amp;", "&amp;$B118,FPI!$B$3:$B$138, 0), 0)</f>
        <v>-11.6</v>
      </c>
      <c r="D118" s="73">
        <f>INDEX(Eff!$F$3:$F$138, MATCH($A118&amp;", "&amp;$B118,Eff!$B$3:$B$138, 0), 0)</f>
        <v>29.3</v>
      </c>
      <c r="E118" s="73">
        <f>INDEX(Eff!$C$3:$C$138, MATCH($A118&amp;", "&amp;$B118,Eff!$B$3:$B$138, 0), 0)</f>
        <v>39.4</v>
      </c>
      <c r="F118" s="73">
        <f>INDEX(Eff!$D$3:$D$138, MATCH($A118&amp;", "&amp;$B118,Eff!$B$3:$B$138, 0), 0)</f>
        <v>35.200000000000003</v>
      </c>
      <c r="G118" s="73">
        <f>INDEX(Eff!$E$3:$E$138, MATCH($A118&amp;", "&amp;$B118,Eff!$B$3:$B$138, 0), 0)</f>
        <v>25.3</v>
      </c>
      <c r="H118" s="31">
        <f>INDEX(FEI!$D$1:$D$139, MATCH($A118,FEI!$B$1:$B$139, 0), 0)</f>
        <v>-0.57999999999999996</v>
      </c>
      <c r="I118" s="31">
        <f>INDEX(FEI!$E$1:$E$139, MATCH($A118,FEI!$B$1:$B$139, 0), 0)</f>
        <v>-0.3</v>
      </c>
      <c r="J118" s="31">
        <f>INDEX(FEI!$G$1:$G$139, MATCH($A118,FEI!$B$1:$B$139, 0), 0)</f>
        <v>-0.75</v>
      </c>
      <c r="K118" s="71">
        <f>INDEX('Billingsley 130'!$O$2:$O$131, MATCH($A118,'Billingsley 130'!$D$2:$D$131, 0), 0)</f>
        <v>185.74</v>
      </c>
      <c r="L118" s="81">
        <f>((($E118 - MIN($E$4:$E$133)) / (MAX($E$4:$E$133) - MIN($E$4:$E$133))) + (($I118 - MIN($I$4:$I$133)) / (MAX($I$4:$I$133) - MIN($I$4:$I$133)))) / 2</f>
        <v>0.307809950455395</v>
      </c>
      <c r="M118" s="73">
        <f>((($F118 - MIN($F$4:$F$133)) / (MAX($F$4:$F$133) - MIN($F$4:$F$133))) + (($J118 - MIN($J$4:$J$133)) / (MAX($J$4:$J$133) - MIN($J$4:$J$133)))) / 2</f>
        <v>0.36207960458179073</v>
      </c>
      <c r="N118" s="73">
        <f>($G118 - MIN($G$4:$G$133)) / (MAX($G$4:$G$133) - MIN($G$4:$G$133))</f>
        <v>0.12632978723404256</v>
      </c>
      <c r="O118" s="73">
        <f>($K118 - MIN($K$4:$K$133)) / (MAX($K$4:$K$133) - MIN($K$4:$K$133))</f>
        <v>8.6047630692530519E-2</v>
      </c>
      <c r="P118" s="84">
        <f>(($C118 - MIN($C$4:$C$133)) / (MAX($C$4:$C$133) - MIN($C$4:$C$133)) + ($D118 - MIN($D$4:$D$133)) / (MAX($D$4:$D$133) - MIN($D$4:$D$133)) + ($H118 - MIN($H$4:$H$133)) / (MAX($H$4:$H$133) - MIN($H$4:$H$133))) / 3</f>
        <v>0.30650710802820197</v>
      </c>
      <c r="Q118" s="81">
        <f xml:space="preserve"> ($L118 * (INDEX(PlaysPerGame!$BK$3:$BK$132, MATCH("Colorado St",PlaysPerGame!$BC$3:$BC$132, 0), 0) * 0.8))+ ($M118 * (INDEX(PlaysPerGame!$BL$3:$BL$132, MATCH("Colorado St",PlaysPerGame!$BC$3:$BC$132, 0), 0) * 0.8)) + ($N118 * (INDEX(PlaysPerGame!$BM$3:$BM$132, MATCH("Colorado St",PlaysPerGame!$BC$3:$BC$132, 0), 0) * 0.8)) + ($O118 * 0.1) + ($P118 * 0.1)</f>
        <v>0.29171682694246237</v>
      </c>
      <c r="R118" s="9">
        <f t="shared" si="1"/>
        <v>115</v>
      </c>
      <c r="S118" s="112" t="s">
        <v>125</v>
      </c>
    </row>
    <row r="119" spans="1:19" x14ac:dyDescent="0.2">
      <c r="A119" s="68" t="s">
        <v>273</v>
      </c>
      <c r="B119" s="9" t="s">
        <v>762</v>
      </c>
      <c r="C119" s="72">
        <f>INDEX(FPI!$H$3:$H$138, MATCH($A119&amp;", "&amp;$B119,FPI!$B$3:$B$138, 0), 0)</f>
        <v>-17.899999999999999</v>
      </c>
      <c r="D119" s="73">
        <f>INDEX(Eff!$F$3:$F$138, MATCH($A119&amp;", "&amp;$B119,Eff!$B$3:$B$138, 0), 0)</f>
        <v>25.6</v>
      </c>
      <c r="E119" s="73">
        <f>INDEX(Eff!$C$3:$C$138, MATCH($A119&amp;", "&amp;$B119,Eff!$B$3:$B$138, 0), 0)</f>
        <v>24.9</v>
      </c>
      <c r="F119" s="73">
        <f>INDEX(Eff!$D$3:$D$138, MATCH($A119&amp;", "&amp;$B119,Eff!$B$3:$B$138, 0), 0)</f>
        <v>33.9</v>
      </c>
      <c r="G119" s="73">
        <f>INDEX(Eff!$E$3:$E$138, MATCH($A119&amp;", "&amp;$B119,Eff!$B$3:$B$138, 0), 0)</f>
        <v>55.3</v>
      </c>
      <c r="H119" s="31">
        <f>INDEX(FEI!$D$1:$D$139, MATCH($A119,FEI!$B$1:$B$139, 0), 0)</f>
        <v>-0.79</v>
      </c>
      <c r="I119" s="31">
        <f>INDEX(FEI!$E$1:$E$139, MATCH($A119,FEI!$B$1:$B$139, 0), 0)</f>
        <v>-0.57999999999999996</v>
      </c>
      <c r="J119" s="31">
        <f>INDEX(FEI!$G$1:$G$139, MATCH($A119,FEI!$B$1:$B$139, 0), 0)</f>
        <v>-1.19</v>
      </c>
      <c r="K119" s="71">
        <f>INDEX('Billingsley 130'!$O$2:$O$131, MATCH($A119,'Billingsley 130'!$D$2:$D$131, 0), 0)</f>
        <v>227.215</v>
      </c>
      <c r="L119" s="81">
        <f>((($E119 - MIN($E$4:$E$133)) / (MAX($E$4:$E$133) - MIN($E$4:$E$133))) + (($I119 - MIN($I$4:$I$133)) / (MAX($I$4:$I$133) - MIN($I$4:$I$133)))) / 2</f>
        <v>0.19038923665707419</v>
      </c>
      <c r="M119" s="73">
        <f>((($F119 - MIN($F$4:$F$133)) / (MAX($F$4:$F$133) - MIN($F$4:$F$133))) + (($J119 - MIN($J$4:$J$133)) / (MAX($J$4:$J$133) - MIN($J$4:$J$133)))) / 2</f>
        <v>0.29279769546100087</v>
      </c>
      <c r="N119" s="73">
        <f>($G119 - MIN($G$4:$G$133)) / (MAX($G$4:$G$133) - MIN($G$4:$G$133))</f>
        <v>0.52526595744680848</v>
      </c>
      <c r="O119" s="73">
        <f>($K119 - MIN($K$4:$K$133)) / (MAX($K$4:$K$133) - MIN($K$4:$K$133))</f>
        <v>0.41322268413703889</v>
      </c>
      <c r="P119" s="84">
        <f>(($C119 - MIN($C$4:$C$133)) / (MAX($C$4:$C$133) - MIN($C$4:$C$133)) + ($D119 - MIN($D$4:$D$133)) / (MAX($D$4:$D$133) - MIN($D$4:$D$133)) + ($H119 - MIN($H$4:$H$133)) / (MAX($H$4:$H$133) - MIN($H$4:$H$133))) / 3</f>
        <v>0.23900290959131035</v>
      </c>
      <c r="Q119" s="81">
        <f xml:space="preserve"> ($L119 * (INDEX(PlaysPerGame!$BK$3:$BK$132, MATCH($A119,PlaysPerGame!$BC$3:$BC$132, 0), 0) * 0.8))+ ($M119 * (INDEX(PlaysPerGame!$BL$3:$BL$132, MATCH($A119,PlaysPerGame!$BC$3:$BC$132, 0), 0) * 0.8)) + ($N119 * (INDEX(PlaysPerGame!$BM$3:$BM$132, MATCH($A119,PlaysPerGame!$BC$3:$BC$132, 0), 0) * 0.8)) + ($O119 * 0.1) + ($P119 * 0.1)</f>
        <v>0.27538008266366709</v>
      </c>
      <c r="R119" s="9">
        <f t="shared" si="1"/>
        <v>116</v>
      </c>
      <c r="S119" s="112" t="s">
        <v>273</v>
      </c>
    </row>
    <row r="120" spans="1:19" x14ac:dyDescent="0.2">
      <c r="A120" s="68" t="s">
        <v>133</v>
      </c>
      <c r="B120" s="9" t="s">
        <v>113</v>
      </c>
      <c r="C120" s="72">
        <f>INDEX(FPI!$H$3:$H$138, MATCH($A120&amp;", "&amp;$B120,FPI!$B$3:$B$138, 0), 0)</f>
        <v>-14.6</v>
      </c>
      <c r="D120" s="73">
        <f>INDEX(Eff!$F$3:$F$138, MATCH($A120&amp;", "&amp;$B120,Eff!$B$3:$B$138, 0), 0)</f>
        <v>25.1</v>
      </c>
      <c r="E120" s="73">
        <f>INDEX(Eff!$C$3:$C$138, MATCH($A120&amp;", "&amp;$B120,Eff!$B$3:$B$138, 0), 0)</f>
        <v>25</v>
      </c>
      <c r="F120" s="73">
        <f>INDEX(Eff!$D$3:$D$138, MATCH($A120&amp;", "&amp;$B120,Eff!$B$3:$B$138, 0), 0)</f>
        <v>36.700000000000003</v>
      </c>
      <c r="G120" s="73">
        <f>INDEX(Eff!$E$3:$E$138, MATCH($A120&amp;", "&amp;$B120,Eff!$B$3:$B$138, 0), 0)</f>
        <v>41.3</v>
      </c>
      <c r="H120" s="31">
        <f>INDEX(FEI!$D$1:$D$139, MATCH($A120,FEI!$B$1:$B$139, 0), 0)</f>
        <v>-0.82</v>
      </c>
      <c r="I120" s="31">
        <f>INDEX(FEI!$E$1:$E$139, MATCH($A120,FEI!$B$1:$B$139, 0), 0)</f>
        <v>-0.74</v>
      </c>
      <c r="J120" s="31">
        <f>INDEX(FEI!$G$1:$G$139, MATCH($A120,FEI!$B$1:$B$139, 0), 0)</f>
        <v>-0.81</v>
      </c>
      <c r="K120" s="71">
        <f>INDEX('Billingsley 130'!$O$2:$O$131, MATCH($A120,'Billingsley 130'!$D$2:$D$131, 0), 0)</f>
        <v>199.66499999999999</v>
      </c>
      <c r="L120" s="81">
        <f>((($E120 - MIN($E$4:$E$133)) / (MAX($E$4:$E$133) - MIN($E$4:$E$133))) + (($I120 - MIN($I$4:$I$133)) / (MAX($I$4:$I$133) - MIN($I$4:$I$133)))) / 2</f>
        <v>0.16931646245586973</v>
      </c>
      <c r="M120" s="73">
        <f>((($F120 - MIN($F$4:$F$133)) / (MAX($F$4:$F$133) - MIN($F$4:$F$133))) + (($J120 - MIN($J$4:$J$133)) / (MAX($J$4:$J$133) - MIN($J$4:$J$133)))) / 2</f>
        <v>0.36183773961686116</v>
      </c>
      <c r="N120" s="73">
        <f>($G120 - MIN($G$4:$G$133)) / (MAX($G$4:$G$133) - MIN($G$4:$G$133))</f>
        <v>0.33909574468085102</v>
      </c>
      <c r="O120" s="73">
        <f>($K120 - MIN($K$4:$K$133)) / (MAX($K$4:$K$133) - MIN($K$4:$K$133))</f>
        <v>0.195894830673598</v>
      </c>
      <c r="P120" s="84">
        <f>(($C120 - MIN($C$4:$C$133)) / (MAX($C$4:$C$133) - MIN($C$4:$C$133)) + ($D120 - MIN($D$4:$D$133)) / (MAX($D$4:$D$133) - MIN($D$4:$D$133)) + ($H120 - MIN($H$4:$H$133)) / (MAX($H$4:$H$133) - MIN($H$4:$H$133))) / 3</f>
        <v>0.25175365575529057</v>
      </c>
      <c r="Q120" s="81">
        <f xml:space="preserve"> ($L120 * (INDEX(PlaysPerGame!$BK$3:$BK$132, MATCH("E Carolina",PlaysPerGame!$BC$3:$BC$132, 0), 0) * 0.8))+ ($M120 * (INDEX(PlaysPerGame!$BL$3:$BL$132, MATCH("E Carolina",PlaysPerGame!$BC$3:$BC$132, 0), 0) * 0.8)) + ($N120 * (INDEX(PlaysPerGame!$BM$3:$BM$132, MATCH("E Carolina",PlaysPerGame!$BC$3:$BC$132, 0), 0) * 0.8)) + ($O120 * 0.1) + ($P120 * 0.1)</f>
        <v>0.26855584052705361</v>
      </c>
      <c r="R120" s="9">
        <f t="shared" si="1"/>
        <v>117</v>
      </c>
      <c r="S120" s="112" t="s">
        <v>133</v>
      </c>
    </row>
    <row r="121" spans="1:19" x14ac:dyDescent="0.2">
      <c r="A121" s="68" t="s">
        <v>330</v>
      </c>
      <c r="B121" s="9" t="s">
        <v>63</v>
      </c>
      <c r="C121" s="72">
        <f>INDEX(FPI!$H$3:$H$138, MATCH($A121&amp;", "&amp;$B121,FPI!$B$3:$B$138, 0), 0)</f>
        <v>-17</v>
      </c>
      <c r="D121" s="73">
        <f>INDEX(Eff!$F$3:$F$138, MATCH($A121&amp;", "&amp;$B121,Eff!$B$3:$B$138, 0), 0)</f>
        <v>23.5</v>
      </c>
      <c r="E121" s="73">
        <f>INDEX(Eff!$C$3:$C$138, MATCH($A121&amp;", "&amp;$B121,Eff!$B$3:$B$138, 0), 0)</f>
        <v>22.4</v>
      </c>
      <c r="F121" s="73">
        <f>INDEX(Eff!$D$3:$D$138, MATCH($A121&amp;", "&amp;$B121,Eff!$B$3:$B$138, 0), 0)</f>
        <v>31.6</v>
      </c>
      <c r="G121" s="73">
        <f>INDEX(Eff!$E$3:$E$138, MATCH($A121&amp;", "&amp;$B121,Eff!$B$3:$B$138, 0), 0)</f>
        <v>57.5</v>
      </c>
      <c r="H121" s="31">
        <f>INDEX(FEI!$D$1:$D$139, MATCH($A121,FEI!$B$1:$B$139, 0), 0)</f>
        <v>-0.72</v>
      </c>
      <c r="I121" s="31">
        <f>INDEX(FEI!$E$1:$E$139, MATCH($A121,FEI!$B$1:$B$139, 0), 0)</f>
        <v>-0.76</v>
      </c>
      <c r="J121" s="31">
        <f>INDEX(FEI!$G$1:$G$139, MATCH($A121,FEI!$B$1:$B$139, 0), 0)</f>
        <v>-0.6</v>
      </c>
      <c r="K121" s="71">
        <f>INDEX('Billingsley 130'!$O$2:$O$131, MATCH($A121,'Billingsley 130'!$D$2:$D$131, 0), 0)</f>
        <v>179.59899999999999</v>
      </c>
      <c r="L121" s="81">
        <f>((($E121 - MIN($E$4:$E$133)) / (MAX($E$4:$E$133) - MIN($E$4:$E$133))) + (($I121 - MIN($I$4:$I$133)) / (MAX($I$4:$I$133) - MIN($I$4:$I$133)))) / 2</f>
        <v>0.15234372682232178</v>
      </c>
      <c r="M121" s="73">
        <f>((($F121 - MIN($F$4:$F$133)) / (MAX($F$4:$F$133) - MIN($F$4:$F$133))) + (($J121 - MIN($J$4:$J$133)) / (MAX($J$4:$J$133) - MIN($J$4:$J$133)))) / 2</f>
        <v>0.36350753812474035</v>
      </c>
      <c r="N121" s="73">
        <f>($G121 - MIN($G$4:$G$133)) / (MAX($G$4:$G$133) - MIN($G$4:$G$133))</f>
        <v>0.55452127659574468</v>
      </c>
      <c r="O121" s="73">
        <f>($K121 - MIN($K$4:$K$133)) / (MAX($K$4:$K$133) - MIN($K$4:$K$133))</f>
        <v>3.760442386425486E-2</v>
      </c>
      <c r="P121" s="84">
        <f>(($C121 - MIN($C$4:$C$133)) / (MAX($C$4:$C$133) - MIN($C$4:$C$133)) + ($D121 - MIN($D$4:$D$133)) / (MAX($D$4:$D$133) - MIN($D$4:$D$133)) + ($H121 - MIN($H$4:$H$133)) / (MAX($H$4:$H$133) - MIN($H$4:$H$133))) / 3</f>
        <v>0.24332711280634278</v>
      </c>
      <c r="Q121" s="81">
        <f xml:space="preserve"> ($L121 * (INDEX(PlaysPerGame!$BK$3:$BK$132, MATCH($A121,PlaysPerGame!$BC$3:$BC$132, 0), 0) * 0.8))+ ($M121 * (INDEX(PlaysPerGame!$BL$3:$BL$132, MATCH($A121,PlaysPerGame!$BC$3:$BC$132, 0), 0) * 0.8)) + ($N121 * (INDEX(PlaysPerGame!$BM$3:$BM$132, MATCH($A121,PlaysPerGame!$BC$3:$BC$132, 0), 0) * 0.8)) + ($O121 * 0.1) + ($P121 * 0.1)</f>
        <v>0.25399087416724531</v>
      </c>
      <c r="R121" s="9">
        <f t="shared" si="1"/>
        <v>118</v>
      </c>
      <c r="S121" s="112" t="s">
        <v>330</v>
      </c>
    </row>
    <row r="122" spans="1:19" x14ac:dyDescent="0.2">
      <c r="A122" s="68" t="s">
        <v>277</v>
      </c>
      <c r="B122" s="9" t="s">
        <v>762</v>
      </c>
      <c r="C122" s="72">
        <f>INDEX(FPI!$H$3:$H$138, MATCH($A122&amp;", "&amp;$B122,FPI!$B$3:$B$138, 0), 0)</f>
        <v>-15.7</v>
      </c>
      <c r="D122" s="73">
        <f>INDEX(Eff!$F$3:$F$138, MATCH($A122&amp;", "&amp;$B122,Eff!$B$3:$B$138, 0), 0)</f>
        <v>22.7</v>
      </c>
      <c r="E122" s="73">
        <f>INDEX(Eff!$C$3:$C$138, MATCH($A122&amp;", "&amp;$B122,Eff!$B$3:$B$138, 0), 0)</f>
        <v>31.3</v>
      </c>
      <c r="F122" s="73">
        <f>INDEX(Eff!$D$3:$D$138, MATCH($A122&amp;", "&amp;$B122,Eff!$B$3:$B$138, 0), 0)</f>
        <v>23.5</v>
      </c>
      <c r="G122" s="73">
        <f>INDEX(Eff!$E$3:$E$138, MATCH($A122&amp;", "&amp;$B122,Eff!$B$3:$B$138, 0), 0)</f>
        <v>49.5</v>
      </c>
      <c r="H122" s="31">
        <f>INDEX(FEI!$D$1:$D$139, MATCH($A122,FEI!$B$1:$B$139, 0), 0)</f>
        <v>-0.72</v>
      </c>
      <c r="I122" s="31">
        <f>INDEX(FEI!$E$1:$E$139, MATCH($A122,FEI!$B$1:$B$139, 0), 0)</f>
        <v>-0.27</v>
      </c>
      <c r="J122" s="31">
        <f>INDEX(FEI!$G$1:$G$139, MATCH($A122,FEI!$B$1:$B$139, 0), 0)</f>
        <v>-1.21</v>
      </c>
      <c r="K122" s="71">
        <f>INDEX('Billingsley 130'!$O$2:$O$131, MATCH($A122,'Billingsley 130'!$D$2:$D$131, 0), 0)</f>
        <v>193.39099999999999</v>
      </c>
      <c r="L122" s="81">
        <f>((($E122 - MIN($E$4:$E$133)) / (MAX($E$4:$E$133) - MIN($E$4:$E$133))) + (($I122 - MIN($I$4:$I$133)) / (MAX($I$4:$I$133) - MIN($I$4:$I$133)))) / 2</f>
        <v>0.26740736345566202</v>
      </c>
      <c r="M122" s="73">
        <f>((($F122 - MIN($F$4:$F$133)) / (MAX($F$4:$F$133) - MIN($F$4:$F$133))) + (($J122 - MIN($J$4:$J$133)) / (MAX($J$4:$J$133) - MIN($J$4:$J$133)))) / 2</f>
        <v>0.23289270498055781</v>
      </c>
      <c r="N122" s="73">
        <f>($G122 - MIN($G$4:$G$133)) / (MAX($G$4:$G$133) - MIN($G$4:$G$133))</f>
        <v>0.44813829787234044</v>
      </c>
      <c r="O122" s="73">
        <f>($K122 - MIN($K$4:$K$133)) / (MAX($K$4:$K$133) - MIN($K$4:$K$133))</f>
        <v>0.14640245489756795</v>
      </c>
      <c r="P122" s="84">
        <f>(($C122 - MIN($C$4:$C$133)) / (MAX($C$4:$C$133) - MIN($C$4:$C$133)) + ($D122 - MIN($D$4:$D$133)) / (MAX($D$4:$D$133) - MIN($D$4:$D$133)) + ($H122 - MIN($H$4:$H$133)) / (MAX($H$4:$H$133) - MIN($H$4:$H$133))) / 3</f>
        <v>0.24739346043760643</v>
      </c>
      <c r="Q122" s="81">
        <f xml:space="preserve"> ($L122 * (INDEX(PlaysPerGame!$BK$3:$BK$132, MATCH($A122,PlaysPerGame!$BC$3:$BC$132, 0), 0) * 0.8))+ ($M122 * (INDEX(PlaysPerGame!$BL$3:$BL$132, MATCH($A122,PlaysPerGame!$BC$3:$BC$132, 0), 0) * 0.8)) + ($N122 * (INDEX(PlaysPerGame!$BM$3:$BM$132, MATCH($A122,PlaysPerGame!$BC$3:$BC$132, 0), 0) * 0.8)) + ($O122 * 0.1) + ($P122 * 0.1)</f>
        <v>0.25120785751025587</v>
      </c>
      <c r="R122" s="9">
        <f t="shared" si="1"/>
        <v>119</v>
      </c>
      <c r="S122" s="112" t="s">
        <v>277</v>
      </c>
    </row>
    <row r="123" spans="1:19" x14ac:dyDescent="0.2">
      <c r="A123" s="68" t="s">
        <v>310</v>
      </c>
      <c r="B123" s="9" t="s">
        <v>63</v>
      </c>
      <c r="C123" s="72">
        <f>INDEX(FPI!$H$3:$H$138, MATCH($A123&amp;", "&amp;$B123,FPI!$B$3:$B$138, 0), 0)</f>
        <v>-21.7</v>
      </c>
      <c r="D123" s="73">
        <f>INDEX(Eff!$F$3:$F$138, MATCH($A123&amp;", "&amp;$B123,Eff!$B$3:$B$138, 0), 0)</f>
        <v>17</v>
      </c>
      <c r="E123" s="73">
        <f>INDEX(Eff!$C$3:$C$138, MATCH($A123&amp;", "&amp;$B123,Eff!$B$3:$B$138, 0), 0)</f>
        <v>11</v>
      </c>
      <c r="F123" s="73">
        <f>INDEX(Eff!$D$3:$D$138, MATCH($A123&amp;", "&amp;$B123,Eff!$B$3:$B$138, 0), 0)</f>
        <v>38.4</v>
      </c>
      <c r="G123" s="73">
        <f>INDEX(Eff!$E$3:$E$138, MATCH($A123&amp;", "&amp;$B123,Eff!$B$3:$B$138, 0), 0)</f>
        <v>51.3</v>
      </c>
      <c r="H123" s="31">
        <f>INDEX(FEI!$D$1:$D$139, MATCH($A123,FEI!$B$1:$B$139, 0), 0)</f>
        <v>-0.64</v>
      </c>
      <c r="I123" s="31">
        <f>INDEX(FEI!$E$1:$E$139, MATCH($A123,FEI!$B$1:$B$139, 0), 0)</f>
        <v>-1.01</v>
      </c>
      <c r="J123" s="31">
        <f>INDEX(FEI!$G$1:$G$139, MATCH($A123,FEI!$B$1:$B$139, 0), 0)</f>
        <v>-0.28000000000000003</v>
      </c>
      <c r="K123" s="71">
        <f>INDEX('Billingsley 130'!$O$2:$O$131, MATCH($A123,'Billingsley 130'!$D$2:$D$131, 0), 0)</f>
        <v>184.56800000000001</v>
      </c>
      <c r="L123" s="81">
        <f>((($E123 - MIN($E$4:$E$133)) / (MAX($E$4:$E$133) - MIN($E$4:$E$133))) + (($I123 - MIN($I$4:$I$133)) / (MAX($I$4:$I$133) - MIN($I$4:$I$133)))) / 2</f>
        <v>5.5991337110985848E-2</v>
      </c>
      <c r="M123" s="73">
        <f>((($F123 - MIN($F$4:$F$133)) / (MAX($F$4:$F$133) - MIN($F$4:$F$133))) + (($J123 - MIN($J$4:$J$133)) / (MAX($J$4:$J$133) - MIN($J$4:$J$133)))) / 2</f>
        <v>0.44602690282609914</v>
      </c>
      <c r="N123" s="73">
        <f>($G123 - MIN($G$4:$G$133)) / (MAX($G$4:$G$133) - MIN($G$4:$G$133))</f>
        <v>0.47207446808510639</v>
      </c>
      <c r="O123" s="73">
        <f>($K123 - MIN($K$4:$K$133)) / (MAX($K$4:$K$133) - MIN($K$4:$K$133))</f>
        <v>7.6802322370964196E-2</v>
      </c>
      <c r="P123" s="84">
        <f>(($C123 - MIN($C$4:$C$133)) / (MAX($C$4:$C$133) - MIN($C$4:$C$133)) + ($D123 - MIN($D$4:$D$133)) / (MAX($D$4:$D$133) - MIN($D$4:$D$133)) + ($H123 - MIN($H$4:$H$133)) / (MAX($H$4:$H$133) - MIN($H$4:$H$133))) / 3</f>
        <v>0.20333907274967244</v>
      </c>
      <c r="Q123" s="81">
        <f xml:space="preserve"> ($L123 * (INDEX(PlaysPerGame!$BK$3:$BK$132, MATCH($A123,PlaysPerGame!$BC$3:$BC$132, 0), 0) * 0.8))+ ($M123 * (INDEX(PlaysPerGame!$BL$3:$BL$132, MATCH($A123,PlaysPerGame!$BC$3:$BC$132, 0), 0) * 0.8)) + ($N123 * (INDEX(PlaysPerGame!$BM$3:$BM$132, MATCH($A123,PlaysPerGame!$BC$3:$BC$132, 0), 0) * 0.8)) + ($O123 * 0.1) + ($P123 * 0.1)</f>
        <v>0.23411648838402363</v>
      </c>
      <c r="R123" s="9">
        <f t="shared" si="1"/>
        <v>120</v>
      </c>
      <c r="S123" s="112" t="s">
        <v>310</v>
      </c>
    </row>
    <row r="124" spans="1:19" x14ac:dyDescent="0.2">
      <c r="A124" s="68" t="s">
        <v>417</v>
      </c>
      <c r="B124" s="9" t="s">
        <v>762</v>
      </c>
      <c r="C124" s="72">
        <f>INDEX(FPI!$H$3:$H$138, MATCH($A124&amp;", "&amp;$B124,FPI!$B$3:$B$138, 0), 0)</f>
        <v>-16.8</v>
      </c>
      <c r="D124" s="73">
        <f>INDEX(Eff!$F$3:$F$138, MATCH($A124&amp;", "&amp;$B124,Eff!$B$3:$B$138, 0), 0)</f>
        <v>18.7</v>
      </c>
      <c r="E124" s="73">
        <f>INDEX(Eff!$C$3:$C$138, MATCH($A124&amp;", "&amp;$B124,Eff!$B$3:$B$138, 0), 0)</f>
        <v>25.5</v>
      </c>
      <c r="F124" s="73">
        <f>INDEX(Eff!$D$3:$D$138, MATCH($A124&amp;", "&amp;$B124,Eff!$B$3:$B$138, 0), 0)</f>
        <v>26.5</v>
      </c>
      <c r="G124" s="73">
        <f>INDEX(Eff!$E$3:$E$138, MATCH($A124&amp;", "&amp;$B124,Eff!$B$3:$B$138, 0), 0)</f>
        <v>31.4</v>
      </c>
      <c r="H124" s="31">
        <f>INDEX(FEI!$D$1:$D$139, MATCH($A124,FEI!$B$1:$B$139, 0), 0)</f>
        <v>-0.75</v>
      </c>
      <c r="I124" s="31">
        <f>INDEX(FEI!$E$1:$E$139, MATCH($A124,FEI!$B$1:$B$139, 0), 0)</f>
        <v>-0.53</v>
      </c>
      <c r="J124" s="31">
        <f>INDEX(FEI!$G$1:$G$139, MATCH($A124,FEI!$B$1:$B$139, 0), 0)</f>
        <v>-0.81</v>
      </c>
      <c r="K124" s="71">
        <f>INDEX('Billingsley 130'!$O$2:$O$131, MATCH("Nevada-Las Vegas",'Billingsley 130'!$D$2:$D$131, 0), 0)</f>
        <v>188.899</v>
      </c>
      <c r="L124" s="81">
        <f>((($E124 - MIN($E$4:$E$133)) / (MAX($E$4:$E$133) - MIN($E$4:$E$133))) + (($I124 - MIN($I$4:$I$133)) / (MAX($I$4:$I$133) - MIN($I$4:$I$133)))) / 2</f>
        <v>0.2004390779363337</v>
      </c>
      <c r="M124" s="73">
        <f>((($F124 - MIN($F$4:$F$133)) / (MAX($F$4:$F$133) - MIN($F$4:$F$133))) + (($J124 - MIN($J$4:$J$133)) / (MAX($J$4:$J$133) - MIN($J$4:$J$133)))) / 2</f>
        <v>0.30585530273431449</v>
      </c>
      <c r="N124" s="73">
        <f>($G124 - MIN($G$4:$G$133)) / (MAX($G$4:$G$133) - MIN($G$4:$G$133))</f>
        <v>0.20744680851063826</v>
      </c>
      <c r="O124" s="73">
        <f>($K124 - MIN($K$4:$K$133)) / (MAX($K$4:$K$133) - MIN($K$4:$K$133))</f>
        <v>0.11096736532378307</v>
      </c>
      <c r="P124" s="84">
        <f>(($C124 - MIN($C$4:$C$133)) / (MAX($C$4:$C$133) - MIN($C$4:$C$133)) + ($D124 - MIN($D$4:$D$133)) / (MAX($D$4:$D$133) - MIN($D$4:$D$133)) + ($H124 - MIN($H$4:$H$133)) / (MAX($H$4:$H$133) - MIN($H$4:$H$133))) / 3</f>
        <v>0.22439148385779192</v>
      </c>
      <c r="Q124" s="81">
        <f xml:space="preserve"> ($L124 * (INDEX(PlaysPerGame!$BK$3:$BK$132, MATCH($A124,PlaysPerGame!$BC$3:$BC$132, 0), 0) * 0.8))+ ($M124 * (INDEX(PlaysPerGame!$BL$3:$BL$132, MATCH($A124,PlaysPerGame!$BC$3:$BC$132, 0), 0) * 0.8)) + ($N124 * (INDEX(PlaysPerGame!$BM$3:$BM$132, MATCH($A124,PlaysPerGame!$BC$3:$BC$132, 0), 0) * 0.8)) + ($O124 * 0.1) + ($P124 * 0.1)</f>
        <v>0.23067673369783048</v>
      </c>
      <c r="R124" s="9">
        <f t="shared" si="1"/>
        <v>121</v>
      </c>
      <c r="S124" s="112" t="s">
        <v>417</v>
      </c>
    </row>
    <row r="125" spans="1:19" x14ac:dyDescent="0.2">
      <c r="A125" s="68" t="s">
        <v>332</v>
      </c>
      <c r="B125" s="9" t="s">
        <v>176</v>
      </c>
      <c r="C125" s="72">
        <f>INDEX(FPI!$H$3:$H$138, MATCH($A125&amp;", "&amp;$B125,FPI!$B$3:$B$138, 0), 0)</f>
        <v>-16.2</v>
      </c>
      <c r="D125" s="73">
        <f>INDEX(Eff!$F$3:$F$138, MATCH($A125&amp;", "&amp;$B125,Eff!$B$3:$B$138, 0), 0)</f>
        <v>14.8</v>
      </c>
      <c r="E125" s="73">
        <f>INDEX(Eff!$C$3:$C$138, MATCH($A125&amp;", "&amp;$B125,Eff!$B$3:$B$138, 0), 0)</f>
        <v>17.399999999999999</v>
      </c>
      <c r="F125" s="73">
        <f>INDEX(Eff!$D$3:$D$138, MATCH($A125&amp;", "&amp;$B125,Eff!$B$3:$B$138, 0), 0)</f>
        <v>21</v>
      </c>
      <c r="G125" s="73">
        <f>INDEX(Eff!$E$3:$E$138, MATCH($A125&amp;", "&amp;$B125,Eff!$B$3:$B$138, 0), 0)</f>
        <v>53.1</v>
      </c>
      <c r="H125" s="31">
        <f>INDEX(FEI!$D$1:$D$139, MATCH($A125,FEI!$B$1:$B$139, 0), 0)</f>
        <v>-1</v>
      </c>
      <c r="I125" s="31">
        <f>INDEX(FEI!$E$1:$E$139, MATCH($A125,FEI!$B$1:$B$139, 0), 0)</f>
        <v>-1.05</v>
      </c>
      <c r="J125" s="31">
        <f>INDEX(FEI!$G$1:$G$139, MATCH($A125,FEI!$B$1:$B$139, 0), 0)</f>
        <v>-0.85</v>
      </c>
      <c r="K125" s="71">
        <f>INDEX('Billingsley 130'!$O$2:$O$131, MATCH($A125,'Billingsley 130'!$D$2:$D$131, 0), 0)</f>
        <v>196.72300000000001</v>
      </c>
      <c r="L125" s="81">
        <f>((($E125 - MIN($E$4:$E$133)) / (MAX($E$4:$E$133) - MIN($E$4:$E$133))) + (($I125 - MIN($I$4:$I$133)) / (MAX($I$4:$I$133) - MIN($I$4:$I$133)))) / 2</f>
        <v>8.5712166612276375E-2</v>
      </c>
      <c r="M125" s="73">
        <f>((($F125 - MIN($F$4:$F$133)) / (MAX($F$4:$F$133) - MIN($F$4:$F$133))) + (($J125 - MIN($J$4:$J$133)) / (MAX($J$4:$J$133) - MIN($J$4:$J$133)))) / 2</f>
        <v>0.27001897709724831</v>
      </c>
      <c r="N125" s="73">
        <f>($G125 - MIN($G$4:$G$133)) / (MAX($G$4:$G$133) - MIN($G$4:$G$133))</f>
        <v>0.49601063829787229</v>
      </c>
      <c r="O125" s="73">
        <f>($K125 - MIN($K$4:$K$133)) / (MAX($K$4:$K$133) - MIN($K$4:$K$133))</f>
        <v>0.17268689800973455</v>
      </c>
      <c r="P125" s="84">
        <f>(($C125 - MIN($C$4:$C$133)) / (MAX($C$4:$C$133) - MIN($C$4:$C$133)) + ($D125 - MIN($D$4:$D$133)) / (MAX($D$4:$D$133) - MIN($D$4:$D$133)) + ($H125 - MIN($H$4:$H$133)) / (MAX($H$4:$H$133) - MIN($H$4:$H$133))) / 3</f>
        <v>0.18881100710375212</v>
      </c>
      <c r="Q125" s="81">
        <f xml:space="preserve"> ($L125 * (INDEX(PlaysPerGame!$BK$3:$BK$132, MATCH($A125,PlaysPerGame!$BC$3:$BC$132, 0), 0) * 0.8))+ ($M125 * (INDEX(PlaysPerGame!$BL$3:$BL$132, MATCH($A125,PlaysPerGame!$BC$3:$BC$132, 0), 0) * 0.8)) + ($N125 * (INDEX(PlaysPerGame!$BM$3:$BM$132, MATCH($A125,PlaysPerGame!$BC$3:$BC$132, 0), 0) * 0.8)) + ($O125 * 0.1) + ($P125 * 0.1)</f>
        <v>0.20753151948527288</v>
      </c>
      <c r="R125" s="9">
        <f t="shared" si="1"/>
        <v>122</v>
      </c>
      <c r="S125" s="112" t="s">
        <v>332</v>
      </c>
    </row>
    <row r="126" spans="1:19" x14ac:dyDescent="0.2">
      <c r="A126" s="68" t="s">
        <v>347</v>
      </c>
      <c r="B126" s="9" t="s">
        <v>39</v>
      </c>
      <c r="C126" s="72">
        <f>INDEX(FPI!$H$3:$H$138, MATCH($A126&amp;", "&amp;$B126,FPI!$B$3:$B$138, 0), 0)</f>
        <v>-22.7</v>
      </c>
      <c r="D126" s="73">
        <f>INDEX(Eff!$F$3:$F$138, MATCH($A126&amp;", "&amp;$B126,Eff!$B$3:$B$138, 0), 0)</f>
        <v>14.6</v>
      </c>
      <c r="E126" s="73">
        <f>INDEX(Eff!$C$3:$C$138, MATCH($A126&amp;", "&amp;$B126,Eff!$B$3:$B$138, 0), 0)</f>
        <v>10.8</v>
      </c>
      <c r="F126" s="73">
        <f>INDEX(Eff!$D$3:$D$138, MATCH($A126&amp;", "&amp;$B126,Eff!$B$3:$B$138, 0), 0)</f>
        <v>29.6</v>
      </c>
      <c r="G126" s="73">
        <f>INDEX(Eff!$E$3:$E$138, MATCH($A126&amp;", "&amp;$B126,Eff!$B$3:$B$138, 0), 0)</f>
        <v>53.3</v>
      </c>
      <c r="H126" s="31">
        <f>INDEX(FEI!$D$1:$D$139, MATCH($A126,FEI!$B$1:$B$139, 0), 0)</f>
        <v>-0.88</v>
      </c>
      <c r="I126" s="31">
        <f>INDEX(FEI!$E$1:$E$139, MATCH($A126,FEI!$B$1:$B$139, 0), 0)</f>
        <v>-1.1399999999999999</v>
      </c>
      <c r="J126" s="31">
        <f>INDEX(FEI!$G$1:$G$139, MATCH($A126,FEI!$B$1:$B$139, 0), 0)</f>
        <v>-0.59</v>
      </c>
      <c r="K126" s="71">
        <f>INDEX('Billingsley 130'!$O$2:$O$131, MATCH($A126,'Billingsley 130'!$D$2:$D$131, 0), 0)</f>
        <v>182.292</v>
      </c>
      <c r="L126" s="81">
        <f>((($E126 - MIN($E$4:$E$133)) / (MAX($E$4:$E$133) - MIN($E$4:$E$133))) + (($I126 - MIN($I$4:$I$133)) / (MAX($I$4:$I$133) - MIN($I$4:$I$133)))) / 2</f>
        <v>3.7326074702584047E-2</v>
      </c>
      <c r="M126" s="73">
        <f>((($F126 - MIN($F$4:$F$133)) / (MAX($F$4:$F$133) - MIN($F$4:$F$133))) + (($J126 - MIN($J$4:$J$133)) / (MAX($J$4:$J$133) - MIN($J$4:$J$133)))) / 2</f>
        <v>0.35394301909492898</v>
      </c>
      <c r="N126" s="73">
        <f>($G126 - MIN($G$4:$G$133)) / (MAX($G$4:$G$133) - MIN($G$4:$G$133))</f>
        <v>0.49867021276595741</v>
      </c>
      <c r="O126" s="73">
        <f>($K126 - MIN($K$4:$K$133)) / (MAX($K$4:$K$133) - MIN($K$4:$K$133))</f>
        <v>5.8848122934202184E-2</v>
      </c>
      <c r="P126" s="84">
        <f>(($C126 - MIN($C$4:$C$133)) / (MAX($C$4:$C$133) - MIN($C$4:$C$133)) + ($D126 - MIN($D$4:$D$133)) / (MAX($D$4:$D$133) - MIN($D$4:$D$133)) + ($H126 - MIN($H$4:$H$133)) / (MAX($H$4:$H$133) - MIN($H$4:$H$133))) / 3</f>
        <v>0.16557752726607811</v>
      </c>
      <c r="Q126" s="81">
        <f xml:space="preserve"> ($L126 * (INDEX(PlaysPerGame!$BK$3:$BK$132, MATCH("S Alabama",PlaysPerGame!$BC$3:$BC$132, 0), 0) * 0.8))+ ($M126 * (INDEX(PlaysPerGame!$BL$3:$BL$132, MATCH("S Alabama",PlaysPerGame!$BC$3:$BC$132, 0), 0) * 0.8)) + ($N126 * (INDEX(PlaysPerGame!$BM$3:$BM$132, MATCH("S Alabama",PlaysPerGame!$BC$3:$BC$132, 0), 0) * 0.8)) + ($O126 * 0.1) + ($P126 * 0.1)</f>
        <v>0.20673940682076183</v>
      </c>
      <c r="R126" s="9">
        <f t="shared" si="1"/>
        <v>123</v>
      </c>
      <c r="S126" s="112" t="s">
        <v>347</v>
      </c>
    </row>
    <row r="127" spans="1:19" x14ac:dyDescent="0.2">
      <c r="A127" s="68" t="s">
        <v>280</v>
      </c>
      <c r="B127" s="9" t="s">
        <v>763</v>
      </c>
      <c r="C127" s="72">
        <f>INDEX(FPI!$H$3:$H$138, MATCH("New Mexico St"&amp;", "&amp;$B127,FPI!$B$3:$B$138, 0), 0)</f>
        <v>-21</v>
      </c>
      <c r="D127" s="73">
        <f>INDEX(Eff!$F$3:$F$138, MATCH("New Mexico St"&amp;", "&amp;$B127,Eff!$B$3:$B$138, 0), 0)</f>
        <v>12.6</v>
      </c>
      <c r="E127" s="73">
        <f>INDEX(Eff!$C$3:$C$138, MATCH("New Mexico St"&amp;", "&amp;$B127,Eff!$B$3:$B$138, 0), 0)</f>
        <v>20.3</v>
      </c>
      <c r="F127" s="73">
        <f>INDEX(Eff!$D$3:$D$138, MATCH("New Mexico St"&amp;", "&amp;$B127,Eff!$B$3:$B$138, 0), 0)</f>
        <v>14.5</v>
      </c>
      <c r="G127" s="73">
        <f>INDEX(Eff!$E$3:$E$138, MATCH("New Mexico St"&amp;", "&amp;$B127,Eff!$B$3:$B$138, 0), 0)</f>
        <v>53.2</v>
      </c>
      <c r="H127" s="31">
        <f>INDEX(FEI!$D$1:$D$139, MATCH($A127,FEI!$B$1:$B$139, 0), 0)</f>
        <v>-0.83</v>
      </c>
      <c r="I127" s="31">
        <f>INDEX(FEI!$E$1:$E$139, MATCH($A127,FEI!$B$1:$B$139, 0), 0)</f>
        <v>-0.41</v>
      </c>
      <c r="J127" s="31">
        <f>INDEX(FEI!$G$1:$G$139, MATCH($A127,FEI!$B$1:$B$139, 0), 0)</f>
        <v>-1.06</v>
      </c>
      <c r="K127" s="71">
        <f>INDEX('Billingsley 130'!$O$2:$O$131, MATCH($A127,'Billingsley 130'!$D$2:$D$131, 0), 0)</f>
        <v>186.97399999999999</v>
      </c>
      <c r="L127" s="81">
        <f>((($E127 - MIN($E$4:$E$133)) / (MAX($E$4:$E$133) - MIN($E$4:$E$133))) + (($I127 - MIN($I$4:$I$133)) / (MAX($I$4:$I$133) - MIN($I$4:$I$133)))) / 2</f>
        <v>0.18811522829085947</v>
      </c>
      <c r="M127" s="73">
        <f>((($F127 - MIN($F$4:$F$133)) / (MAX($F$4:$F$133) - MIN($F$4:$F$133))) + (($J127 - MIN($J$4:$J$133)) / (MAX($J$4:$J$133) - MIN($J$4:$J$133)))) / 2</f>
        <v>0.20468287782098274</v>
      </c>
      <c r="N127" s="73">
        <f>($G127 - MIN($G$4:$G$133)) / (MAX($G$4:$G$133) - MIN($G$4:$G$133))</f>
        <v>0.49734042553191493</v>
      </c>
      <c r="O127" s="73">
        <f>($K127 - MIN($K$4:$K$133)) / (MAX($K$4:$K$133) - MIN($K$4:$K$133))</f>
        <v>9.5782025290493553E-2</v>
      </c>
      <c r="P127" s="84">
        <f>(($C127 - MIN($C$4:$C$133)) / (MAX($C$4:$C$133) - MIN($C$4:$C$133)) + ($D127 - MIN($D$4:$D$133)) / (MAX($D$4:$D$133) - MIN($D$4:$D$133)) + ($H127 - MIN($H$4:$H$133)) / (MAX($H$4:$H$133) - MIN($H$4:$H$133))) / 3</f>
        <v>0.17250624008351031</v>
      </c>
      <c r="Q127" s="81">
        <f xml:space="preserve"> ($L127 * (INDEX(PlaysPerGame!$BK$3:$BK$132, MATCH("N Mex State",PlaysPerGame!$BC$3:$BC$132, 0), 0) * 0.8))+ ($M127 * (INDEX(PlaysPerGame!$BL$3:$BL$132, MATCH("N Mex State",PlaysPerGame!$BC$3:$BC$132, 0), 0) * 0.8)) + ($N127 * (INDEX(PlaysPerGame!$BM$3:$BM$132, MATCH("N Mex State",PlaysPerGame!$BC$3:$BC$132, 0), 0) * 0.8)) + ($O127 * 0.1) + ($P127 * 0.1)</f>
        <v>0.20355911869095186</v>
      </c>
      <c r="R127" s="9">
        <f t="shared" si="1"/>
        <v>124</v>
      </c>
      <c r="S127" s="112" t="s">
        <v>280</v>
      </c>
    </row>
    <row r="128" spans="1:19" x14ac:dyDescent="0.2">
      <c r="A128" s="68" t="s">
        <v>424</v>
      </c>
      <c r="B128" s="9" t="s">
        <v>63</v>
      </c>
      <c r="C128" s="72">
        <f>INDEX(FPI!$H$3:$H$138, MATCH($A128&amp;", "&amp;$B128,FPI!$B$3:$B$138, 0), 0)</f>
        <v>-20.5</v>
      </c>
      <c r="D128" s="73">
        <f>INDEX(Eff!$F$3:$F$138, MATCH($A128&amp;", "&amp;$B128,Eff!$B$3:$B$138, 0), 0)</f>
        <v>18.600000000000001</v>
      </c>
      <c r="E128" s="73">
        <f>INDEX(Eff!$C$3:$C$138, MATCH($A128&amp;", "&amp;$B128,Eff!$B$3:$B$138, 0), 0)</f>
        <v>19.2</v>
      </c>
      <c r="F128" s="73">
        <f>INDEX(Eff!$D$3:$D$138, MATCH($A128&amp;", "&amp;$B128,Eff!$B$3:$B$138, 0), 0)</f>
        <v>33.9</v>
      </c>
      <c r="G128" s="73">
        <f>INDEX(Eff!$E$3:$E$138, MATCH($A128&amp;", "&amp;$B128,Eff!$B$3:$B$138, 0), 0)</f>
        <v>35.5</v>
      </c>
      <c r="H128" s="31">
        <f>INDEX(FEI!$D$1:$D$139, MATCH($A128,FEI!$B$1:$B$139, 0), 0)</f>
        <v>-1.2</v>
      </c>
      <c r="I128" s="31">
        <f>INDEX(FEI!$E$1:$E$139, MATCH($A128,FEI!$B$1:$B$139, 0), 0)</f>
        <v>-1.1100000000000001</v>
      </c>
      <c r="J128" s="31">
        <f>INDEX(FEI!$G$1:$G$139, MATCH($A128,FEI!$B$1:$B$139, 0), 0)</f>
        <v>-1.32</v>
      </c>
      <c r="K128" s="71">
        <f>INDEX('Billingsley 130'!$O$2:$O$131, MATCH("Texas-San Antonio",'Billingsley 130'!$D$2:$D$131, 0), 0)</f>
        <v>195.625</v>
      </c>
      <c r="L128" s="81">
        <f>((($E128 - MIN($E$4:$E$133)) / (MAX($E$4:$E$133) - MIN($E$4:$E$133))) + (($I128 - MIN($I$4:$I$133)) / (MAX($I$4:$I$133) - MIN($I$4:$I$133)))) / 2</f>
        <v>8.7483312071676492E-2</v>
      </c>
      <c r="M128" s="73">
        <f>((($F128 - MIN($F$4:$F$133)) / (MAX($F$4:$F$133) - MIN($F$4:$F$133))) + (($J128 - MIN($J$4:$J$133)) / (MAX($J$4:$J$133) - MIN($J$4:$J$133)))) / 2</f>
        <v>0.27443611354009689</v>
      </c>
      <c r="N128" s="73">
        <f>($G128 - MIN($G$4:$G$133)) / (MAX($G$4:$G$133) - MIN($G$4:$G$133))</f>
        <v>0.26196808510638298</v>
      </c>
      <c r="O128" s="73">
        <f>($K128 - MIN($K$4:$K$133)) / (MAX($K$4:$K$133) - MIN($K$4:$K$133))</f>
        <v>0.16402533782451276</v>
      </c>
      <c r="P128" s="84">
        <f>(($C128 - MIN($C$4:$C$133)) / (MAX($C$4:$C$133) - MIN($C$4:$C$133)) + ($D128 - MIN($D$4:$D$133)) / (MAX($D$4:$D$133) - MIN($D$4:$D$133)) + ($H128 - MIN($H$4:$H$133)) / (MAX($H$4:$H$133) - MIN($H$4:$H$133))) / 3</f>
        <v>0.15948800531429339</v>
      </c>
      <c r="Q128" s="81">
        <f xml:space="preserve"> ($L128 * (INDEX(PlaysPerGame!$BK$3:$BK$132, MATCH("TX-San Ant",PlaysPerGame!$BC$3:$BC$132, 0), 0) * 0.8))+ ($M128 * (INDEX(PlaysPerGame!$BL$3:$BL$132, MATCH("TX-San Ant",PlaysPerGame!$BC$3:$BC$132, 0), 0) * 0.8)) + ($N128 * (INDEX(PlaysPerGame!$BM$3:$BM$132, MATCH("TX-San Ant",PlaysPerGame!$BC$3:$BC$132, 0), 0) * 0.8)) + ($O128 * 0.1) + ($P128 * 0.1)</f>
        <v>0.17885124350007478</v>
      </c>
      <c r="R128" s="9">
        <f t="shared" si="1"/>
        <v>125</v>
      </c>
      <c r="S128" s="112" t="s">
        <v>424</v>
      </c>
    </row>
    <row r="129" spans="1:19" x14ac:dyDescent="0.2">
      <c r="A129" s="68" t="s">
        <v>25</v>
      </c>
      <c r="B129" s="9" t="s">
        <v>28</v>
      </c>
      <c r="C129" s="72">
        <f>INDEX(FPI!$H$3:$H$138, MATCH($A129&amp;", "&amp;$B129,FPI!$B$3:$B$138, 0), 0)</f>
        <v>-26.8</v>
      </c>
      <c r="D129" s="73">
        <f>INDEX(Eff!$F$3:$F$138, MATCH($A129&amp;", "&amp;$B129,Eff!$B$3:$B$138, 0), 0)</f>
        <v>4.7</v>
      </c>
      <c r="E129" s="73">
        <f>INDEX(Eff!$C$3:$C$138, MATCH($A129&amp;", "&amp;$B129,Eff!$B$3:$B$138, 0), 0)</f>
        <v>7.2</v>
      </c>
      <c r="F129" s="73">
        <f>INDEX(Eff!$D$3:$D$138, MATCH($A129&amp;", "&amp;$B129,Eff!$B$3:$B$138, 0), 0)</f>
        <v>11.9</v>
      </c>
      <c r="G129" s="73">
        <f>INDEX(Eff!$E$3:$E$138, MATCH($A129&amp;", "&amp;$B129,Eff!$B$3:$B$138, 0), 0)</f>
        <v>39.6</v>
      </c>
      <c r="H129" s="31">
        <f>INDEX(FEI!$D$1:$D$139, MATCH($A129,FEI!$B$1:$B$139, 0), 0)</f>
        <v>-1.04</v>
      </c>
      <c r="I129" s="31">
        <f>INDEX(FEI!$E$1:$E$139, MATCH($A129,FEI!$B$1:$B$139, 0), 0)</f>
        <v>-1.1299999999999999</v>
      </c>
      <c r="J129" s="31">
        <f>INDEX(FEI!$G$1:$G$139, MATCH($A129,FEI!$B$1:$B$139, 0), 0)</f>
        <v>-0.95</v>
      </c>
      <c r="K129" s="71">
        <f>INDEX('Billingsley 130'!$O$2:$O$131, MATCH($A129,'Billingsley 130'!$D$2:$D$131, 0), 0)</f>
        <v>181.761</v>
      </c>
      <c r="L129" s="81">
        <f>((($E129 - MIN($E$4:$E$133)) / (MAX($E$4:$E$133) - MIN($E$4:$E$133))) + (($I129 - MIN($I$4:$I$133)) / (MAX($I$4:$I$133) - MIN($I$4:$I$133)))) / 2</f>
        <v>1.8918918918918934E-2</v>
      </c>
      <c r="M129" s="73">
        <f>((($F129 - MIN($F$4:$F$133)) / (MAX($F$4:$F$133) - MIN($F$4:$F$133))) + (($J129 - MIN($J$4:$J$133)) / (MAX($J$4:$J$133) - MIN($J$4:$J$133)))) / 2</f>
        <v>0.20594956805397935</v>
      </c>
      <c r="N129" s="73">
        <f>($G129 - MIN($G$4:$G$133)) / (MAX($G$4:$G$133) - MIN($G$4:$G$133))</f>
        <v>0.31648936170212766</v>
      </c>
      <c r="O129" s="73">
        <f>($K129 - MIN($K$4:$K$133)) / (MAX($K$4:$K$133) - MIN($K$4:$K$133))</f>
        <v>5.4659335631512949E-2</v>
      </c>
      <c r="P129" s="84">
        <f>(($C129 - MIN($C$4:$C$133)) / (MAX($C$4:$C$133) - MIN($C$4:$C$133)) + ($D129 - MIN($D$4:$D$133)) / (MAX($D$4:$D$133) - MIN($D$4:$D$133)) + ($H129 - MIN($H$4:$H$133)) / (MAX($H$4:$H$133) - MIN($H$4:$H$133))) / 3</f>
        <v>9.2778179874234867E-2</v>
      </c>
      <c r="Q129" s="81">
        <f xml:space="preserve"> ($L129 * (INDEX(PlaysPerGame!$BK$3:$BK$132, MATCH($A129,PlaysPerGame!$BC$3:$BC$132, 0), 0) * 0.8))+ ($M129 * (INDEX(PlaysPerGame!$BL$3:$BL$132, MATCH($A129,PlaysPerGame!$BC$3:$BC$132, 0), 0) * 0.8)) + ($N129 * (INDEX(PlaysPerGame!$BM$3:$BM$132, MATCH($A129,PlaysPerGame!$BC$3:$BC$132, 0), 0) * 0.8)) + ($O129 * 0.1) + ($P129 * 0.1)</f>
        <v>0.11976883219093584</v>
      </c>
      <c r="R129" s="9">
        <f t="shared" si="1"/>
        <v>126</v>
      </c>
      <c r="S129" s="112" t="s">
        <v>25</v>
      </c>
    </row>
    <row r="130" spans="1:19" x14ac:dyDescent="0.2">
      <c r="A130" s="68" t="s">
        <v>409</v>
      </c>
      <c r="B130" s="9" t="s">
        <v>113</v>
      </c>
      <c r="C130" s="72">
        <f>INDEX(FPI!$H$3:$H$138, MATCH($A130&amp;", "&amp;$B130,FPI!$B$3:$B$138, 0), 0)</f>
        <v>-25.3</v>
      </c>
      <c r="D130" s="73">
        <f>INDEX(Eff!$F$3:$F$138, MATCH($A130&amp;", "&amp;$B130,Eff!$B$3:$B$138, 0), 0)</f>
        <v>7.2</v>
      </c>
      <c r="E130" s="73">
        <f>INDEX(Eff!$C$3:$C$138, MATCH($A130&amp;", "&amp;$B130,Eff!$B$3:$B$138, 0), 0)</f>
        <v>7.8</v>
      </c>
      <c r="F130" s="73">
        <f>INDEX(Eff!$D$3:$D$138, MATCH($A130&amp;", "&amp;$B130,Eff!$B$3:$B$138, 0), 0)</f>
        <v>19.2</v>
      </c>
      <c r="G130" s="73">
        <f>INDEX(Eff!$E$3:$E$138, MATCH($A130&amp;", "&amp;$B130,Eff!$B$3:$B$138, 0), 0)</f>
        <v>42.9</v>
      </c>
      <c r="H130" s="31">
        <f>INDEX(FEI!$D$1:$D$139, MATCH("Connecticut",FEI!$B$1:$B$139, 0), 0)</f>
        <v>-1.19</v>
      </c>
      <c r="I130" s="31">
        <f>INDEX(FEI!$E$1:$E$139, MATCH("Connecticut",FEI!$B$1:$B$139, 0), 0)</f>
        <v>-1.27</v>
      </c>
      <c r="J130" s="31">
        <f>INDEX(FEI!$G$1:$G$139, MATCH("Connecticut",FEI!$B$1:$B$139, 0), 0)</f>
        <v>-1.07</v>
      </c>
      <c r="K130" s="71">
        <f>INDEX('Billingsley 130'!$O$2:$O$131, MATCH("Connecticut",'Billingsley 130'!$D$2:$D$131, 0), 0)</f>
        <v>177.43199999999999</v>
      </c>
      <c r="L130" s="81">
        <f>((($E130 - MIN($E$4:$E$133)) / (MAX($E$4:$E$133) - MIN($E$4:$E$133))) + (($I130 - MIN($I$4:$I$133)) / (MAX($I$4:$I$133) - MIN($I$4:$I$133)))) / 2</f>
        <v>3.2930845225027424E-3</v>
      </c>
      <c r="M130" s="73">
        <f>((($F130 - MIN($F$4:$F$133)) / (MAX($F$4:$F$133) - MIN($F$4:$F$133))) + (($J130 - MIN($J$4:$J$133)) / (MAX($J$4:$J$133) - MIN($J$4:$J$133)))) / 2</f>
        <v>0.22906627720205647</v>
      </c>
      <c r="N130" s="73">
        <f>($G130 - MIN($G$4:$G$133)) / (MAX($G$4:$G$133) - MIN($G$4:$G$133))</f>
        <v>0.36037234042553185</v>
      </c>
      <c r="O130" s="73">
        <f>($K130 - MIN($K$4:$K$133)) / (MAX($K$4:$K$133) - MIN($K$4:$K$133))</f>
        <v>2.05100696553519E-2</v>
      </c>
      <c r="P130" s="84">
        <f>(($C130 - MIN($C$4:$C$133)) / (MAX($C$4:$C$133) - MIN($C$4:$C$133)) + ($D130 - MIN($D$4:$D$133)) / (MAX($D$4:$D$133) - MIN($D$4:$D$133)) + ($H130 - MIN($H$4:$H$133)) / (MAX($H$4:$H$133) - MIN($H$4:$H$133))) / 3</f>
        <v>9.4625730567740152E-2</v>
      </c>
      <c r="Q130" s="81">
        <f xml:space="preserve"> ($L130 * (INDEX(PlaysPerGame!$BK$3:$BK$132, MATCH("Connecticut",PlaysPerGame!$BC$3:$BC$132, 0), 0) * 0.8))+ ($M130 * (INDEX(PlaysPerGame!$BL$3:$BL$132, MATCH("Connecticut",PlaysPerGame!$BC$3:$BC$132, 0), 0) * 0.8)) + ($N130 * (INDEX(PlaysPerGame!$BM$3:$BM$132, MATCH("Connecticut",PlaysPerGame!$BC$3:$BC$132, 0), 0) * 0.8)) + ($O130 * 0.1) + ($P130 * 0.1)</f>
        <v>0.11944547282522135</v>
      </c>
      <c r="R130" s="9">
        <f t="shared" si="1"/>
        <v>127</v>
      </c>
      <c r="S130" s="112" t="s">
        <v>409</v>
      </c>
    </row>
    <row r="131" spans="1:19" x14ac:dyDescent="0.2">
      <c r="A131" s="68" t="s">
        <v>421</v>
      </c>
      <c r="B131" s="9" t="s">
        <v>63</v>
      </c>
      <c r="C131" s="72">
        <f>INDEX(FPI!$H$3:$H$138, MATCH($A131&amp;", "&amp;$B131,FPI!$B$3:$B$138, 0), 0)</f>
        <v>-26.2</v>
      </c>
      <c r="D131" s="73">
        <f>INDEX(Eff!$F$3:$F$138, MATCH($A131&amp;", "&amp;$B131,Eff!$B$3:$B$138, 0), 0)</f>
        <v>8.1</v>
      </c>
      <c r="E131" s="73">
        <f>INDEX(Eff!$C$3:$C$138, MATCH($A131&amp;", "&amp;$B131,Eff!$B$3:$B$138, 0), 0)</f>
        <v>16.100000000000001</v>
      </c>
      <c r="F131" s="73">
        <f>INDEX(Eff!$D$3:$D$138, MATCH($A131&amp;", "&amp;$B131,Eff!$B$3:$B$138, 0), 0)</f>
        <v>12.2</v>
      </c>
      <c r="G131" s="73">
        <f>INDEX(Eff!$E$3:$E$138, MATCH($A131&amp;", "&amp;$B131,Eff!$B$3:$B$138, 0), 0)</f>
        <v>35.9</v>
      </c>
      <c r="H131" s="31">
        <f>INDEX(FEI!$D$1:$D$139, MATCH($A131,FEI!$B$1:$B$139, 0), 0)</f>
        <v>-1.23</v>
      </c>
      <c r="I131" s="31">
        <f>INDEX(FEI!$E$1:$E$139, MATCH($A131,FEI!$B$1:$B$139, 0), 0)</f>
        <v>-1.19</v>
      </c>
      <c r="J131" s="31">
        <f>INDEX(FEI!$G$1:$G$139, MATCH($A131,FEI!$B$1:$B$139, 0), 0)</f>
        <v>-1.26</v>
      </c>
      <c r="K131" s="71">
        <f>INDEX('Billingsley 130'!$O$2:$O$131, MATCH("Texas-El Paso",'Billingsley 130'!$D$2:$D$131, 0), 0)</f>
        <v>174.83199999999999</v>
      </c>
      <c r="L131" s="81">
        <f>((($E131 - MIN($E$4:$E$133)) / (MAX($E$4:$E$133) - MIN($E$4:$E$133))) + (($I131 - MIN($I$4:$I$133)) / (MAX($I$4:$I$133) - MIN($I$4:$I$133)))) / 2</f>
        <v>5.9658231227934871E-2</v>
      </c>
      <c r="M131" s="73">
        <f>((($F131 - MIN($F$4:$F$133)) / (MAX($F$4:$F$133) - MIN($F$4:$F$133))) + (($J131 - MIN($J$4:$J$133)) / (MAX($J$4:$J$133) - MIN($J$4:$J$133)))) / 2</f>
        <v>0.16381079958076741</v>
      </c>
      <c r="N131" s="73">
        <f>($G131 - MIN($G$4:$G$133)) / (MAX($G$4:$G$133) - MIN($G$4:$G$133))</f>
        <v>0.26728723404255317</v>
      </c>
      <c r="O131" s="73">
        <f>($K131 - MIN($K$4:$K$133)) / (MAX($K$4:$K$133) - MIN($K$4:$K$133))</f>
        <v>0</v>
      </c>
      <c r="P131" s="84">
        <f>(($C131 - MIN($C$4:$C$133)) / (MAX($C$4:$C$133) - MIN($C$4:$C$133)) + ($D131 - MIN($D$4:$D$133)) / (MAX($D$4:$D$133) - MIN($D$4:$D$133)) + ($H131 - MIN($H$4:$H$133)) / (MAX($H$4:$H$133) - MIN($H$4:$H$133))) / 3</f>
        <v>8.9044742304313571E-2</v>
      </c>
      <c r="Q131" s="81">
        <f xml:space="preserve"> ($L131 * (INDEX(PlaysPerGame!$BK$3:$BK$132, MATCH("TX El Paso",PlaysPerGame!$BC$3:$BC$132, 0), 0) * 0.8))+ ($M131 * (INDEX(PlaysPerGame!$BL$3:$BL$132, MATCH("TX El Paso",PlaysPerGame!$BC$3:$BC$132, 0), 0) * 0.8)) + ($N131 * (INDEX(PlaysPerGame!$BM$3:$BM$132, MATCH("TX El Paso",PlaysPerGame!$BC$3:$BC$132, 0), 0) * 0.8)) + ($O131 * 0.1) + ($P131 * 0.1)</f>
        <v>0.11063223932368119</v>
      </c>
      <c r="R131" s="9">
        <f t="shared" si="1"/>
        <v>128</v>
      </c>
      <c r="S131" s="112" t="s">
        <v>421</v>
      </c>
    </row>
    <row r="132" spans="1:19" x14ac:dyDescent="0.2">
      <c r="A132" s="68" t="s">
        <v>89</v>
      </c>
      <c r="B132" s="9" t="s">
        <v>28</v>
      </c>
      <c r="C132" s="72">
        <f>INDEX(FPI!$H$3:$H$138, MATCH($A132&amp;", "&amp;$B132,FPI!$B$3:$B$138, 0), 0)</f>
        <v>-24.8</v>
      </c>
      <c r="D132" s="73">
        <f>INDEX(Eff!$F$3:$F$138, MATCH($A132&amp;", "&amp;$B132,Eff!$B$3:$B$138, 0), 0)</f>
        <v>7.9</v>
      </c>
      <c r="E132" s="73">
        <f>INDEX(Eff!$C$3:$C$138, MATCH($A132&amp;", "&amp;$B132,Eff!$B$3:$B$138, 0), 0)</f>
        <v>11.4</v>
      </c>
      <c r="F132" s="73">
        <f>INDEX(Eff!$D$3:$D$138, MATCH($A132&amp;", "&amp;$B132,Eff!$B$3:$B$138, 0), 0)</f>
        <v>15.6</v>
      </c>
      <c r="G132" s="73">
        <f>INDEX(Eff!$E$3:$E$138, MATCH($A132&amp;", "&amp;$B132,Eff!$B$3:$B$138, 0), 0)</f>
        <v>44.5</v>
      </c>
      <c r="H132" s="31">
        <f>INDEX(FEI!$D$1:$D$139, MATCH($A132,FEI!$B$1:$B$139, 0), 0)</f>
        <v>-1.38</v>
      </c>
      <c r="I132" s="31">
        <f>INDEX(FEI!$E$1:$E$139, MATCH($A132,FEI!$B$1:$B$139, 0), 0)</f>
        <v>-1.03</v>
      </c>
      <c r="J132" s="31">
        <f>INDEX(FEI!$G$1:$G$139, MATCH($A132,FEI!$B$1:$B$139, 0), 0)</f>
        <v>-1.72</v>
      </c>
      <c r="K132" s="71">
        <f>INDEX('Billingsley 130'!$O$2:$O$131, MATCH($A132,'Billingsley 130'!$D$2:$D$131, 0), 0)</f>
        <v>181.45400000000001</v>
      </c>
      <c r="L132" s="81">
        <f>((($E132 - MIN($E$4:$E$133)) / (MAX($E$4:$E$133) - MIN($E$4:$E$133))) + (($I132 - MIN($I$4:$I$133)) / (MAX($I$4:$I$133) - MIN($I$4:$I$133)))) / 2</f>
        <v>5.5484024089951636E-2</v>
      </c>
      <c r="M132" s="73">
        <f>((($F132 - MIN($F$4:$F$133)) / (MAX($F$4:$F$133) - MIN($F$4:$F$133))) + (($J132 - MIN($J$4:$J$133)) / (MAX($J$4:$J$133) - MIN($J$4:$J$133)))) / 2</f>
        <v>0.11749986046252026</v>
      </c>
      <c r="N132" s="73">
        <f>($G132 - MIN($G$4:$G$133)) / (MAX($G$4:$G$133) - MIN($G$4:$G$133))</f>
        <v>0.38164893617021273</v>
      </c>
      <c r="O132" s="73">
        <f>($K132 - MIN($K$4:$K$133)) / (MAX($K$4:$K$133) - MIN($K$4:$K$133))</f>
        <v>5.2237569714515722E-2</v>
      </c>
      <c r="P132" s="84">
        <f>(($C132 - MIN($C$4:$C$133)) / (MAX($C$4:$C$133) - MIN($C$4:$C$133)) + ($D132 - MIN($D$4:$D$133)) / (MAX($D$4:$D$133) - MIN($D$4:$D$133)) + ($H132 - MIN($H$4:$H$133)) / (MAX($H$4:$H$133) - MIN($H$4:$H$133))) / 3</f>
        <v>8.0797214130191461E-2</v>
      </c>
      <c r="Q132" s="81">
        <f xml:space="preserve"> ($L132 * (INDEX(PlaysPerGame!$BK$3:$BK$132, MATCH("Bowling Grn",PlaysPerGame!$BC$3:$BC$132, 0), 0) * 0.8))+ ($M132 * (INDEX(PlaysPerGame!$BL$3:$BL$132, MATCH("Bowling Grn",PlaysPerGame!$BC$3:$BC$132, 0), 0) * 0.8)) + ($N132 * (INDEX(PlaysPerGame!$BM$3:$BM$132, MATCH("Bowling Grn",PlaysPerGame!$BC$3:$BC$132, 0), 0) * 0.8)) + ($O132 * 0.1) + ($P132 * 0.1)</f>
        <v>0.10284521006355087</v>
      </c>
      <c r="R132" s="9">
        <f t="shared" si="1"/>
        <v>129</v>
      </c>
      <c r="S132" s="112" t="s">
        <v>89</v>
      </c>
    </row>
    <row r="133" spans="1:19" ht="17" thickBot="1" x14ac:dyDescent="0.25">
      <c r="A133" s="69" t="s">
        <v>413</v>
      </c>
      <c r="B133" s="12" t="s">
        <v>763</v>
      </c>
      <c r="C133" s="74">
        <f>INDEX(FPI!$H$3:$H$138, MATCH($A133&amp;", "&amp;$B133,FPI!$B$3:$B$138, 0), 0)</f>
        <v>-31.9</v>
      </c>
      <c r="D133" s="75">
        <f>INDEX(Eff!$F$3:$F$138, MATCH($A133&amp;", "&amp;$B133,Eff!$B$3:$B$138, 0), 0)</f>
        <v>3.9</v>
      </c>
      <c r="E133" s="75">
        <f>INDEX(Eff!$C$3:$C$138, MATCH($A133&amp;", "&amp;$B133,Eff!$B$3:$B$138, 0), 0)</f>
        <v>10.7</v>
      </c>
      <c r="F133" s="75">
        <f>INDEX(Eff!$D$3:$D$138, MATCH($A133&amp;", "&amp;$B133,Eff!$B$3:$B$138, 0), 0)</f>
        <v>5</v>
      </c>
      <c r="G133" s="75">
        <f>INDEX(Eff!$E$3:$E$138, MATCH($A133&amp;", "&amp;$B133,Eff!$B$3:$B$138, 0), 0)</f>
        <v>55.5</v>
      </c>
      <c r="H133" s="76">
        <f>INDEX(FEI!$D$1:$D$139, MATCH("Massachusetts",FEI!$B$1:$B$139, 0), 0)</f>
        <v>-1.67</v>
      </c>
      <c r="I133" s="76">
        <f>INDEX(FEI!$E$1:$E$139, MATCH("Massachusetts",FEI!$B$1:$B$139, 0), 0)</f>
        <v>-1.03</v>
      </c>
      <c r="J133" s="76">
        <f>INDEX(FEI!$G$1:$G$139, MATCH("Massachusetts",FEI!$B$1:$B$139, 0), 0)</f>
        <v>-2.14</v>
      </c>
      <c r="K133" s="77">
        <f>INDEX('Billingsley 130'!$O$2:$O$131, MATCH("Massachusetts",'Billingsley 130'!$D$2:$D$131, 0), 0)</f>
        <v>182.41200000000001</v>
      </c>
      <c r="L133" s="82">
        <f>((($E133 - MIN($E$4:$E$133)) / (MAX($E$4:$E$133) - MIN($E$4:$E$133))) + (($I133 - MIN($I$4:$I$133)) / (MAX($I$4:$I$133) - MIN($I$4:$I$133)))) / 2</f>
        <v>5.1642092147031762E-2</v>
      </c>
      <c r="M133" s="75">
        <f>((($F133 - MIN($F$4:$F$133)) / (MAX($F$4:$F$133) - MIN($F$4:$F$133))) + (($J133 - MIN($J$4:$J$133)) / (MAX($J$4:$J$133) - MIN($J$4:$J$133)))) / 2</f>
        <v>0</v>
      </c>
      <c r="N133" s="75">
        <f>($G133 - MIN($G$4:$G$133)) / (MAX($G$4:$G$133) - MIN($G$4:$G$133))</f>
        <v>0.52792553191489366</v>
      </c>
      <c r="O133" s="75">
        <f>($K133 - MIN($K$4:$K$133)) / (MAX($K$4:$K$133) - MIN($K$4:$K$133))</f>
        <v>5.9794741533680001E-2</v>
      </c>
      <c r="P133" s="89">
        <f>(($C133 - MIN($C$4:$C$133)) / (MAX($C$4:$C$133) - MIN($C$4:$C$133)) + ($D133 - MIN($D$4:$D$133)) / (MAX($D$4:$D$133) - MIN($D$4:$D$133)) + ($H133 - MIN($H$4:$H$133)) / (MAX($H$4:$H$133) - MIN($H$4:$H$133))) / 3</f>
        <v>0</v>
      </c>
      <c r="Q133" s="82">
        <f xml:space="preserve"> ($L133 * (INDEX(PlaysPerGame!$BK$3:$BK$132, MATCH("U Mass",PlaysPerGame!$BC$3:$BC$132, 0), 0) * 0.8))+ ($M133 * (INDEX(PlaysPerGame!$BL$3:$BL$132, MATCH("U Mass",PlaysPerGame!$BC$3:$BC$132, 0), 0) * 0.8)) + ($N133 * (INDEX(PlaysPerGame!$BM$3:$BM$132, MATCH("U Mass",PlaysPerGame!$BC$3:$BC$132, 0), 0) * 0.8)) + ($O133 * 0.1) + ($P133 * 0.1)</f>
        <v>5.4505685523274713E-2</v>
      </c>
      <c r="R133" s="12">
        <f t="shared" ref="R133" si="2">RANK(Q133, Q$4:Q$133, 0)</f>
        <v>130</v>
      </c>
      <c r="S133" s="113" t="s">
        <v>413</v>
      </c>
    </row>
  </sheetData>
  <sortState xmlns:xlrd2="http://schemas.microsoft.com/office/spreadsheetml/2017/richdata2" ref="A4:R133">
    <sortCondition ref="R4:R133"/>
  </sortState>
  <mergeCells count="16">
    <mergeCell ref="U22:V22"/>
    <mergeCell ref="U28:V31"/>
    <mergeCell ref="U33:V49"/>
    <mergeCell ref="U2:V2"/>
    <mergeCell ref="U3:V3"/>
    <mergeCell ref="U7:V20"/>
    <mergeCell ref="Q1:S2"/>
    <mergeCell ref="M1:M2"/>
    <mergeCell ref="P1:P2"/>
    <mergeCell ref="N1:N2"/>
    <mergeCell ref="L1:L2"/>
    <mergeCell ref="A1:B2"/>
    <mergeCell ref="C1:G2"/>
    <mergeCell ref="H1:J2"/>
    <mergeCell ref="K1:K2"/>
    <mergeCell ref="O1:O2"/>
  </mergeCells>
  <dataValidations count="1">
    <dataValidation type="list" allowBlank="1" showInputMessage="1" showErrorMessage="1" sqref="U3:V3" xr:uid="{D0935DEB-F531-7D48-B700-993A69D198C4}">
      <formula1>$C$3:$R$3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92F-D5A4-5349-9A16-7AB6E940B60C}">
  <dimension ref="A1:BM132"/>
  <sheetViews>
    <sheetView topLeftCell="AS113" workbookViewId="0">
      <selection activeCell="BB114" sqref="BB114"/>
    </sheetView>
  </sheetViews>
  <sheetFormatPr baseColWidth="10" defaultRowHeight="16" x14ac:dyDescent="0.2"/>
  <cols>
    <col min="1" max="1" width="5.1640625" bestFit="1" customWidth="1"/>
    <col min="2" max="2" width="12.5" bestFit="1" customWidth="1"/>
    <col min="3" max="3" width="5.1640625" bestFit="1" customWidth="1"/>
    <col min="4" max="6" width="6" bestFit="1" customWidth="1"/>
    <col min="7" max="7" width="5.6640625" bestFit="1" customWidth="1"/>
    <col min="8" max="8" width="5.1640625" bestFit="1" customWidth="1"/>
    <col min="10" max="10" width="5.1640625" bestFit="1" customWidth="1"/>
    <col min="11" max="11" width="12.5" bestFit="1" customWidth="1"/>
    <col min="12" max="12" width="5.1640625" bestFit="1" customWidth="1"/>
    <col min="13" max="15" width="6" bestFit="1" customWidth="1"/>
    <col min="16" max="16" width="5.6640625" bestFit="1" customWidth="1"/>
    <col min="17" max="17" width="5.1640625" bestFit="1" customWidth="1"/>
    <col min="19" max="19" width="5.1640625" bestFit="1" customWidth="1"/>
    <col min="20" max="20" width="12.5" bestFit="1" customWidth="1"/>
    <col min="21" max="21" width="5.1640625" bestFit="1" customWidth="1"/>
    <col min="22" max="24" width="6" bestFit="1" customWidth="1"/>
    <col min="25" max="25" width="5.6640625" bestFit="1" customWidth="1"/>
    <col min="26" max="26" width="5.1640625" bestFit="1" customWidth="1"/>
    <col min="28" max="28" width="5.1640625" bestFit="1" customWidth="1"/>
    <col min="29" max="29" width="12.5" bestFit="1" customWidth="1"/>
    <col min="30" max="30" width="5.1640625" bestFit="1" customWidth="1"/>
    <col min="31" max="33" width="6" bestFit="1" customWidth="1"/>
    <col min="34" max="34" width="5.6640625" bestFit="1" customWidth="1"/>
    <col min="35" max="35" width="5.1640625" bestFit="1" customWidth="1"/>
    <col min="37" max="37" width="5.1640625" bestFit="1" customWidth="1"/>
    <col min="38" max="38" width="12.5" bestFit="1" customWidth="1"/>
    <col min="39" max="39" width="5.1640625" bestFit="1" customWidth="1"/>
    <col min="40" max="42" width="6" bestFit="1" customWidth="1"/>
    <col min="43" max="43" width="5.6640625" bestFit="1" customWidth="1"/>
    <col min="44" max="44" width="5.1640625" bestFit="1" customWidth="1"/>
    <col min="46" max="46" width="5.1640625" bestFit="1" customWidth="1"/>
    <col min="47" max="47" width="12.5" bestFit="1" customWidth="1"/>
    <col min="48" max="48" width="5.1640625" bestFit="1" customWidth="1"/>
    <col min="49" max="51" width="6" bestFit="1" customWidth="1"/>
    <col min="52" max="52" width="5.6640625" bestFit="1" customWidth="1"/>
    <col min="53" max="53" width="5.1640625" bestFit="1" customWidth="1"/>
    <col min="55" max="55" width="12.5" bestFit="1" customWidth="1"/>
    <col min="56" max="56" width="13" bestFit="1" customWidth="1"/>
    <col min="57" max="57" width="16.5" bestFit="1" customWidth="1"/>
    <col min="58" max="58" width="12.33203125" bestFit="1" customWidth="1"/>
    <col min="59" max="59" width="15" bestFit="1" customWidth="1"/>
    <col min="60" max="60" width="15.6640625" bestFit="1" customWidth="1"/>
    <col min="61" max="61" width="18.5" bestFit="1" customWidth="1"/>
    <col min="62" max="62" width="18.5" customWidth="1"/>
    <col min="63" max="63" width="11.6640625" bestFit="1" customWidth="1"/>
  </cols>
  <sheetData>
    <row r="1" spans="1:65" ht="17" thickBot="1" x14ac:dyDescent="0.25">
      <c r="A1" s="6" t="s">
        <v>791</v>
      </c>
      <c r="B1" s="6"/>
      <c r="C1" s="6"/>
      <c r="D1" s="6"/>
      <c r="E1" s="6"/>
      <c r="F1" s="6"/>
      <c r="G1" s="6"/>
      <c r="H1" s="6"/>
      <c r="J1" s="6" t="s">
        <v>840</v>
      </c>
      <c r="K1" s="6"/>
      <c r="L1" s="6"/>
      <c r="M1" s="6"/>
      <c r="N1" s="6"/>
      <c r="O1" s="6"/>
      <c r="P1" s="6"/>
      <c r="Q1" s="6"/>
      <c r="S1" s="6" t="s">
        <v>841</v>
      </c>
      <c r="T1" s="6"/>
      <c r="U1" s="6"/>
      <c r="V1" s="6"/>
      <c r="W1" s="6"/>
      <c r="X1" s="6"/>
      <c r="Y1" s="6"/>
      <c r="Z1" s="6"/>
      <c r="AB1" s="6" t="s">
        <v>842</v>
      </c>
      <c r="AC1" s="6"/>
      <c r="AD1" s="6"/>
      <c r="AE1" s="6"/>
      <c r="AF1" s="6"/>
      <c r="AG1" s="6"/>
      <c r="AH1" s="6"/>
      <c r="AI1" s="6"/>
      <c r="AK1" s="6" t="s">
        <v>843</v>
      </c>
      <c r="AL1" s="6"/>
      <c r="AM1" s="6"/>
      <c r="AN1" s="6"/>
      <c r="AO1" s="6"/>
      <c r="AP1" s="6"/>
      <c r="AQ1" s="6"/>
      <c r="AR1" s="6"/>
      <c r="AT1" s="6" t="s">
        <v>844</v>
      </c>
      <c r="AU1" s="6"/>
      <c r="AV1" s="6"/>
      <c r="AW1" s="6"/>
      <c r="AX1" s="6"/>
      <c r="AY1" s="6"/>
      <c r="AZ1" s="6"/>
      <c r="BA1" s="6"/>
    </row>
    <row r="2" spans="1:65" ht="17" thickBot="1" x14ac:dyDescent="0.25">
      <c r="A2" t="s">
        <v>785</v>
      </c>
      <c r="B2" t="s">
        <v>0</v>
      </c>
      <c r="C2">
        <v>2019</v>
      </c>
      <c r="D2" t="s">
        <v>792</v>
      </c>
      <c r="E2" t="s">
        <v>793</v>
      </c>
      <c r="F2" t="s">
        <v>794</v>
      </c>
      <c r="G2" t="s">
        <v>795</v>
      </c>
      <c r="H2">
        <v>2018</v>
      </c>
      <c r="J2" t="s">
        <v>785</v>
      </c>
      <c r="K2" t="s">
        <v>0</v>
      </c>
      <c r="L2">
        <v>2019</v>
      </c>
      <c r="M2" t="s">
        <v>792</v>
      </c>
      <c r="N2" t="s">
        <v>793</v>
      </c>
      <c r="O2" t="s">
        <v>794</v>
      </c>
      <c r="P2" t="s">
        <v>795</v>
      </c>
      <c r="Q2">
        <v>2018</v>
      </c>
      <c r="S2" t="s">
        <v>785</v>
      </c>
      <c r="T2" t="s">
        <v>0</v>
      </c>
      <c r="U2">
        <v>2019</v>
      </c>
      <c r="V2" t="s">
        <v>792</v>
      </c>
      <c r="W2" t="s">
        <v>793</v>
      </c>
      <c r="X2" t="s">
        <v>794</v>
      </c>
      <c r="Y2" t="s">
        <v>795</v>
      </c>
      <c r="Z2">
        <v>2018</v>
      </c>
      <c r="AB2" t="s">
        <v>785</v>
      </c>
      <c r="AC2" t="s">
        <v>0</v>
      </c>
      <c r="AD2">
        <v>2019</v>
      </c>
      <c r="AE2" t="s">
        <v>792</v>
      </c>
      <c r="AF2" t="s">
        <v>793</v>
      </c>
      <c r="AG2" t="s">
        <v>794</v>
      </c>
      <c r="AH2" t="s">
        <v>795</v>
      </c>
      <c r="AI2">
        <v>2018</v>
      </c>
      <c r="AK2" t="s">
        <v>785</v>
      </c>
      <c r="AL2" t="s">
        <v>0</v>
      </c>
      <c r="AM2">
        <v>2019</v>
      </c>
      <c r="AN2" t="s">
        <v>792</v>
      </c>
      <c r="AO2" t="s">
        <v>793</v>
      </c>
      <c r="AP2" t="s">
        <v>794</v>
      </c>
      <c r="AQ2" t="s">
        <v>795</v>
      </c>
      <c r="AR2">
        <v>2018</v>
      </c>
      <c r="AT2" t="s">
        <v>785</v>
      </c>
      <c r="AU2" t="s">
        <v>0</v>
      </c>
      <c r="AV2">
        <v>2019</v>
      </c>
      <c r="AW2" t="s">
        <v>792</v>
      </c>
      <c r="AX2" t="s">
        <v>793</v>
      </c>
      <c r="AY2" t="s">
        <v>794</v>
      </c>
      <c r="AZ2" t="s">
        <v>795</v>
      </c>
      <c r="BA2">
        <v>2018</v>
      </c>
      <c r="BC2" s="93" t="s">
        <v>0</v>
      </c>
      <c r="BD2" s="92" t="s">
        <v>845</v>
      </c>
      <c r="BE2" s="91" t="s">
        <v>846</v>
      </c>
      <c r="BF2" s="91" t="s">
        <v>847</v>
      </c>
      <c r="BG2" s="91" t="s">
        <v>848</v>
      </c>
      <c r="BH2" s="91" t="s">
        <v>849</v>
      </c>
      <c r="BI2" s="91" t="s">
        <v>850</v>
      </c>
      <c r="BJ2" s="97" t="s">
        <v>853</v>
      </c>
      <c r="BK2" s="90" t="s">
        <v>851</v>
      </c>
      <c r="BL2" s="91" t="s">
        <v>852</v>
      </c>
      <c r="BM2" s="19" t="s">
        <v>854</v>
      </c>
    </row>
    <row r="3" spans="1:65" x14ac:dyDescent="0.2">
      <c r="A3">
        <v>83</v>
      </c>
      <c r="B3" t="s">
        <v>19</v>
      </c>
      <c r="C3">
        <v>69.8</v>
      </c>
      <c r="D3">
        <v>71.7</v>
      </c>
      <c r="E3">
        <v>71</v>
      </c>
      <c r="F3">
        <v>79</v>
      </c>
      <c r="G3">
        <v>66.7</v>
      </c>
      <c r="H3">
        <v>73</v>
      </c>
      <c r="J3">
        <v>38</v>
      </c>
      <c r="K3" t="s">
        <v>19</v>
      </c>
      <c r="L3">
        <v>1.8</v>
      </c>
      <c r="M3">
        <v>2</v>
      </c>
      <c r="N3">
        <v>4</v>
      </c>
      <c r="O3">
        <v>0</v>
      </c>
      <c r="P3">
        <v>2.2999999999999998</v>
      </c>
      <c r="Q3">
        <v>1.1000000000000001</v>
      </c>
      <c r="S3">
        <v>125</v>
      </c>
      <c r="T3" t="s">
        <v>19</v>
      </c>
      <c r="U3">
        <v>2.5</v>
      </c>
      <c r="V3">
        <v>2.7</v>
      </c>
      <c r="W3">
        <v>3</v>
      </c>
      <c r="X3">
        <v>1</v>
      </c>
      <c r="Y3">
        <v>3</v>
      </c>
      <c r="Z3">
        <v>3.7</v>
      </c>
      <c r="AB3">
        <v>26</v>
      </c>
      <c r="AC3" t="s">
        <v>19</v>
      </c>
      <c r="AD3">
        <v>66.8</v>
      </c>
      <c r="AE3">
        <v>63.3</v>
      </c>
      <c r="AF3">
        <v>57</v>
      </c>
      <c r="AG3">
        <v>74</v>
      </c>
      <c r="AH3">
        <v>64.3</v>
      </c>
      <c r="AI3">
        <v>63.5</v>
      </c>
      <c r="AK3">
        <v>13</v>
      </c>
      <c r="AL3" t="s">
        <v>19</v>
      </c>
      <c r="AM3">
        <v>1</v>
      </c>
      <c r="AN3">
        <v>1</v>
      </c>
      <c r="AO3">
        <v>1</v>
      </c>
      <c r="AP3">
        <v>1</v>
      </c>
      <c r="AQ3">
        <v>1</v>
      </c>
      <c r="AR3">
        <v>0.9</v>
      </c>
      <c r="AT3">
        <v>18</v>
      </c>
      <c r="AU3" t="s">
        <v>19</v>
      </c>
      <c r="AV3">
        <v>3.5</v>
      </c>
      <c r="AW3">
        <v>3.3</v>
      </c>
      <c r="AX3">
        <v>5</v>
      </c>
      <c r="AY3">
        <v>1</v>
      </c>
      <c r="AZ3">
        <v>4.3</v>
      </c>
      <c r="BA3">
        <v>4.2</v>
      </c>
      <c r="BC3" s="94" t="s">
        <v>19</v>
      </c>
      <c r="BD3" s="17">
        <f>INDEX($C$3:$C$132, MATCH($BC3,$B$3:$B$132, 0), 0)</f>
        <v>69.8</v>
      </c>
      <c r="BE3" s="18">
        <f>INDEX($AD$3:$AD$132, MATCH($BC3,$AC$3:$AC$132, 0), 0)</f>
        <v>66.8</v>
      </c>
      <c r="BF3" s="18">
        <f>INDEX($L$3:$L$132, MATCH($BC3,$K$3:$K$132, 0), 0)</f>
        <v>1.8</v>
      </c>
      <c r="BG3" s="18">
        <f>INDEX($U$3:$U$132, MATCH($BC3,$T$3:$T$132, 0), 0)</f>
        <v>2.5</v>
      </c>
      <c r="BH3" s="18">
        <f>INDEX($AM$3:$AM$132, MATCH($BC3,$AL$3:$AL$132, 0), 0)</f>
        <v>1</v>
      </c>
      <c r="BI3" s="18">
        <f>INDEX($AV$3:$AV$132, MATCH($BC3,$AU$3:$AU$132, 0), 0)</f>
        <v>3.5</v>
      </c>
      <c r="BJ3" s="98">
        <f>SUM(BD3:BI3)</f>
        <v>145.4</v>
      </c>
      <c r="BK3" s="101">
        <f>($BD3 / $BJ3)</f>
        <v>0.48005502063273725</v>
      </c>
      <c r="BL3" s="31">
        <f>($BE3 / $BJ3)</f>
        <v>0.45942228335625857</v>
      </c>
      <c r="BM3" s="30">
        <f>SUM($BF3:$BI3) / $BJ3</f>
        <v>6.0522696011004129E-2</v>
      </c>
    </row>
    <row r="4" spans="1:65" x14ac:dyDescent="0.2">
      <c r="A4">
        <v>70</v>
      </c>
      <c r="B4" t="s">
        <v>25</v>
      </c>
      <c r="C4">
        <v>70.8</v>
      </c>
      <c r="D4">
        <v>68</v>
      </c>
      <c r="E4">
        <v>69</v>
      </c>
      <c r="F4">
        <v>65</v>
      </c>
      <c r="G4">
        <v>74.7</v>
      </c>
      <c r="H4">
        <v>65.8</v>
      </c>
      <c r="J4">
        <v>119</v>
      </c>
      <c r="K4" t="s">
        <v>25</v>
      </c>
      <c r="L4">
        <v>0.8</v>
      </c>
      <c r="M4">
        <v>0.3</v>
      </c>
      <c r="N4">
        <v>0</v>
      </c>
      <c r="O4">
        <v>0.5</v>
      </c>
      <c r="P4">
        <v>1</v>
      </c>
      <c r="Q4">
        <v>1.7</v>
      </c>
      <c r="S4">
        <v>16</v>
      </c>
      <c r="T4" t="s">
        <v>25</v>
      </c>
      <c r="U4">
        <v>6.4</v>
      </c>
      <c r="V4">
        <v>5.3</v>
      </c>
      <c r="W4">
        <v>4</v>
      </c>
      <c r="X4">
        <v>7.5</v>
      </c>
      <c r="Y4">
        <v>5.7</v>
      </c>
      <c r="Z4">
        <v>6.7</v>
      </c>
      <c r="AB4">
        <v>80</v>
      </c>
      <c r="AC4" t="s">
        <v>25</v>
      </c>
      <c r="AD4">
        <v>73.8</v>
      </c>
      <c r="AE4">
        <v>79.3</v>
      </c>
      <c r="AF4">
        <v>77</v>
      </c>
      <c r="AG4">
        <v>76.5</v>
      </c>
      <c r="AH4">
        <v>72</v>
      </c>
      <c r="AI4">
        <v>77.5</v>
      </c>
      <c r="AK4">
        <v>100</v>
      </c>
      <c r="AL4" t="s">
        <v>25</v>
      </c>
      <c r="AM4">
        <v>2</v>
      </c>
      <c r="AN4">
        <v>2</v>
      </c>
      <c r="AO4">
        <v>3</v>
      </c>
      <c r="AP4">
        <v>1.5</v>
      </c>
      <c r="AQ4">
        <v>2.2999999999999998</v>
      </c>
      <c r="AR4">
        <v>1.7</v>
      </c>
      <c r="AT4">
        <v>35</v>
      </c>
      <c r="AU4" t="s">
        <v>25</v>
      </c>
      <c r="AV4">
        <v>4</v>
      </c>
      <c r="AW4">
        <v>3.3</v>
      </c>
      <c r="AX4">
        <v>4</v>
      </c>
      <c r="AY4">
        <v>4.5</v>
      </c>
      <c r="AZ4">
        <v>3.7</v>
      </c>
      <c r="BA4">
        <v>5.5</v>
      </c>
      <c r="BC4" s="95" t="s">
        <v>25</v>
      </c>
      <c r="BD4" s="13">
        <f t="shared" ref="BD4:BD67" si="0">INDEX($C$3:$C$132, MATCH($BC4,$B$3:$B$132, 0), 0)</f>
        <v>70.8</v>
      </c>
      <c r="BE4" s="7">
        <f t="shared" ref="BE4:BE67" si="1">INDEX($AD$3:$AD$132, MATCH($BC4,$AC$3:$AC$132, 0), 0)</f>
        <v>73.8</v>
      </c>
      <c r="BF4" s="7">
        <f t="shared" ref="BF4:BF67" si="2">INDEX($L$3:$L$132, MATCH($BC4,$K$3:$K$132, 0), 0)</f>
        <v>0.8</v>
      </c>
      <c r="BG4" s="7">
        <f t="shared" ref="BG4:BG67" si="3">INDEX($U$3:$U$132, MATCH($BC4,$T$3:$T$132, 0), 0)</f>
        <v>6.4</v>
      </c>
      <c r="BH4" s="7">
        <f t="shared" ref="BH4:BH67" si="4">INDEX($AM$3:$AM$132, MATCH($BC4,$AL$3:$AL$132, 0), 0)</f>
        <v>2</v>
      </c>
      <c r="BI4" s="7">
        <f t="shared" ref="BI4:BI67" si="5">INDEX($AV$3:$AV$132, MATCH($BC4,$AU$3:$AU$132, 0), 0)</f>
        <v>4</v>
      </c>
      <c r="BJ4" s="99">
        <f t="shared" ref="BJ4:BJ67" si="6">SUM(BD4:BI4)</f>
        <v>157.80000000000001</v>
      </c>
      <c r="BK4" s="81">
        <f t="shared" ref="BK4:BK67" si="7">($BD4 / $BJ4)</f>
        <v>0.4486692015209125</v>
      </c>
      <c r="BL4" s="73">
        <f t="shared" ref="BL4:BL67" si="8">($BE4 / $BJ4)</f>
        <v>0.46768060836501896</v>
      </c>
      <c r="BM4" s="79">
        <f t="shared" ref="BM4:BM67" si="9">SUM($BF4:$BI4) / $BJ4</f>
        <v>8.3650190114068435E-2</v>
      </c>
    </row>
    <row r="5" spans="1:65" x14ac:dyDescent="0.2">
      <c r="A5">
        <v>98</v>
      </c>
      <c r="B5" t="s">
        <v>30</v>
      </c>
      <c r="C5">
        <v>67.8</v>
      </c>
      <c r="D5">
        <v>65</v>
      </c>
      <c r="E5">
        <v>68</v>
      </c>
      <c r="F5">
        <v>64.7</v>
      </c>
      <c r="G5">
        <v>72.5</v>
      </c>
      <c r="H5">
        <v>69.7</v>
      </c>
      <c r="J5">
        <v>37</v>
      </c>
      <c r="K5" t="s">
        <v>30</v>
      </c>
      <c r="L5">
        <v>1.8</v>
      </c>
      <c r="M5">
        <v>1.7</v>
      </c>
      <c r="N5">
        <v>2</v>
      </c>
      <c r="O5">
        <v>1.3</v>
      </c>
      <c r="P5">
        <v>2.5</v>
      </c>
      <c r="Q5">
        <v>1.4</v>
      </c>
      <c r="S5">
        <v>129</v>
      </c>
      <c r="T5" t="s">
        <v>30</v>
      </c>
      <c r="U5">
        <v>2.2000000000000002</v>
      </c>
      <c r="V5">
        <v>1.7</v>
      </c>
      <c r="W5">
        <v>2</v>
      </c>
      <c r="X5">
        <v>2.7</v>
      </c>
      <c r="Y5">
        <v>1.5</v>
      </c>
      <c r="Z5">
        <v>2.9</v>
      </c>
      <c r="AB5">
        <v>66</v>
      </c>
      <c r="AC5" t="s">
        <v>30</v>
      </c>
      <c r="AD5">
        <v>72.8</v>
      </c>
      <c r="AE5">
        <v>79</v>
      </c>
      <c r="AF5">
        <v>88</v>
      </c>
      <c r="AG5">
        <v>73.3</v>
      </c>
      <c r="AH5">
        <v>72</v>
      </c>
      <c r="AI5">
        <v>68.7</v>
      </c>
      <c r="AK5">
        <v>34</v>
      </c>
      <c r="AL5" t="s">
        <v>30</v>
      </c>
      <c r="AM5">
        <v>1.2</v>
      </c>
      <c r="AN5">
        <v>1.3</v>
      </c>
      <c r="AO5">
        <v>1</v>
      </c>
      <c r="AP5">
        <v>0.7</v>
      </c>
      <c r="AQ5">
        <v>2</v>
      </c>
      <c r="AR5">
        <v>0.9</v>
      </c>
      <c r="AT5">
        <v>97</v>
      </c>
      <c r="AU5" t="s">
        <v>30</v>
      </c>
      <c r="AV5">
        <v>5.6</v>
      </c>
      <c r="AW5">
        <v>4.7</v>
      </c>
      <c r="AX5">
        <v>6</v>
      </c>
      <c r="AY5">
        <v>6.7</v>
      </c>
      <c r="AZ5">
        <v>4</v>
      </c>
      <c r="BA5">
        <v>6.2</v>
      </c>
      <c r="BC5" s="95" t="s">
        <v>30</v>
      </c>
      <c r="BD5" s="13">
        <f t="shared" si="0"/>
        <v>67.8</v>
      </c>
      <c r="BE5" s="7">
        <f t="shared" si="1"/>
        <v>72.8</v>
      </c>
      <c r="BF5" s="7">
        <f t="shared" si="2"/>
        <v>1.8</v>
      </c>
      <c r="BG5" s="7">
        <f t="shared" si="3"/>
        <v>2.2000000000000002</v>
      </c>
      <c r="BH5" s="7">
        <f t="shared" si="4"/>
        <v>1.2</v>
      </c>
      <c r="BI5" s="7">
        <f t="shared" si="5"/>
        <v>5.6</v>
      </c>
      <c r="BJ5" s="99">
        <f t="shared" si="6"/>
        <v>151.39999999999998</v>
      </c>
      <c r="BK5" s="81">
        <f t="shared" si="7"/>
        <v>0.44782034346103045</v>
      </c>
      <c r="BL5" s="73">
        <f t="shared" si="8"/>
        <v>0.48084544253632766</v>
      </c>
      <c r="BM5" s="79">
        <f t="shared" si="9"/>
        <v>7.1334214002642019E-2</v>
      </c>
    </row>
    <row r="6" spans="1:65" x14ac:dyDescent="0.2">
      <c r="A6">
        <v>120</v>
      </c>
      <c r="B6" t="s">
        <v>837</v>
      </c>
      <c r="C6">
        <v>64.3</v>
      </c>
      <c r="D6">
        <v>64.3</v>
      </c>
      <c r="E6">
        <v>65</v>
      </c>
      <c r="F6">
        <v>63.5</v>
      </c>
      <c r="G6">
        <v>66</v>
      </c>
      <c r="H6">
        <v>66.7</v>
      </c>
      <c r="J6">
        <v>109</v>
      </c>
      <c r="K6" t="s">
        <v>837</v>
      </c>
      <c r="L6">
        <v>1</v>
      </c>
      <c r="M6">
        <v>1</v>
      </c>
      <c r="N6">
        <v>0</v>
      </c>
      <c r="O6">
        <v>0.5</v>
      </c>
      <c r="P6">
        <v>2</v>
      </c>
      <c r="Q6">
        <v>1.2</v>
      </c>
      <c r="S6">
        <v>84</v>
      </c>
      <c r="T6" t="s">
        <v>837</v>
      </c>
      <c r="U6">
        <v>4.3</v>
      </c>
      <c r="V6">
        <v>4.3</v>
      </c>
      <c r="W6">
        <v>3</v>
      </c>
      <c r="X6">
        <v>4</v>
      </c>
      <c r="Y6">
        <v>5</v>
      </c>
      <c r="Z6">
        <v>4.3</v>
      </c>
      <c r="AB6">
        <v>97</v>
      </c>
      <c r="AC6" t="s">
        <v>837</v>
      </c>
      <c r="AD6">
        <v>76</v>
      </c>
      <c r="AE6">
        <v>76</v>
      </c>
      <c r="AF6">
        <v>68</v>
      </c>
      <c r="AG6">
        <v>71.5</v>
      </c>
      <c r="AH6">
        <v>85</v>
      </c>
      <c r="AI6">
        <v>67.400000000000006</v>
      </c>
      <c r="AK6">
        <v>25</v>
      </c>
      <c r="AL6" t="s">
        <v>837</v>
      </c>
      <c r="AM6">
        <v>1</v>
      </c>
      <c r="AN6">
        <v>1</v>
      </c>
      <c r="AO6">
        <v>1</v>
      </c>
      <c r="AP6">
        <v>0.5</v>
      </c>
      <c r="AQ6">
        <v>2</v>
      </c>
      <c r="AR6">
        <v>1.8</v>
      </c>
      <c r="AT6">
        <v>50</v>
      </c>
      <c r="AU6" t="s">
        <v>837</v>
      </c>
      <c r="AV6">
        <v>4.3</v>
      </c>
      <c r="AW6">
        <v>4.3</v>
      </c>
      <c r="AX6">
        <v>5</v>
      </c>
      <c r="AY6">
        <v>4.5</v>
      </c>
      <c r="AZ6">
        <v>4</v>
      </c>
      <c r="BA6">
        <v>5.3</v>
      </c>
      <c r="BC6" s="95" t="s">
        <v>837</v>
      </c>
      <c r="BD6" s="13">
        <f t="shared" si="0"/>
        <v>64.3</v>
      </c>
      <c r="BE6" s="7">
        <f t="shared" si="1"/>
        <v>76</v>
      </c>
      <c r="BF6" s="7">
        <f t="shared" si="2"/>
        <v>1</v>
      </c>
      <c r="BG6" s="7">
        <f t="shared" si="3"/>
        <v>4.3</v>
      </c>
      <c r="BH6" s="7">
        <f t="shared" si="4"/>
        <v>1</v>
      </c>
      <c r="BI6" s="7">
        <f t="shared" si="5"/>
        <v>4.3</v>
      </c>
      <c r="BJ6" s="99">
        <f t="shared" si="6"/>
        <v>150.90000000000003</v>
      </c>
      <c r="BK6" s="81">
        <f t="shared" si="7"/>
        <v>0.42611000662690512</v>
      </c>
      <c r="BL6" s="73">
        <f t="shared" si="8"/>
        <v>0.5036447978793902</v>
      </c>
      <c r="BM6" s="79">
        <f t="shared" si="9"/>
        <v>7.0245195493704421E-2</v>
      </c>
    </row>
    <row r="7" spans="1:65" x14ac:dyDescent="0.2">
      <c r="A7">
        <v>32</v>
      </c>
      <c r="B7" t="s">
        <v>42</v>
      </c>
      <c r="C7">
        <v>75.5</v>
      </c>
      <c r="D7">
        <v>76.3</v>
      </c>
      <c r="E7">
        <v>67</v>
      </c>
      <c r="F7">
        <v>81</v>
      </c>
      <c r="G7">
        <v>70</v>
      </c>
      <c r="H7">
        <v>76.5</v>
      </c>
      <c r="J7">
        <v>88</v>
      </c>
      <c r="K7" t="s">
        <v>42</v>
      </c>
      <c r="L7">
        <v>1.2</v>
      </c>
      <c r="M7">
        <v>1.3</v>
      </c>
      <c r="N7">
        <v>0</v>
      </c>
      <c r="O7">
        <v>2</v>
      </c>
      <c r="P7">
        <v>0.5</v>
      </c>
      <c r="Q7">
        <v>2.2999999999999998</v>
      </c>
      <c r="S7">
        <v>66</v>
      </c>
      <c r="T7" t="s">
        <v>42</v>
      </c>
      <c r="U7">
        <v>4.8</v>
      </c>
      <c r="V7">
        <v>4.7</v>
      </c>
      <c r="W7">
        <v>5</v>
      </c>
      <c r="X7">
        <v>4.5</v>
      </c>
      <c r="Y7">
        <v>5</v>
      </c>
      <c r="Z7">
        <v>4.5999999999999996</v>
      </c>
      <c r="AB7">
        <v>126</v>
      </c>
      <c r="AC7" t="s">
        <v>42</v>
      </c>
      <c r="AD7">
        <v>81.8</v>
      </c>
      <c r="AE7">
        <v>82.7</v>
      </c>
      <c r="AF7">
        <v>81</v>
      </c>
      <c r="AG7">
        <v>83.5</v>
      </c>
      <c r="AH7">
        <v>80</v>
      </c>
      <c r="AI7">
        <v>75.2</v>
      </c>
      <c r="AK7">
        <v>74</v>
      </c>
      <c r="AL7" t="s">
        <v>42</v>
      </c>
      <c r="AM7">
        <v>1.5</v>
      </c>
      <c r="AN7">
        <v>1.7</v>
      </c>
      <c r="AO7">
        <v>3</v>
      </c>
      <c r="AP7">
        <v>1</v>
      </c>
      <c r="AQ7">
        <v>2</v>
      </c>
      <c r="AR7">
        <v>0.9</v>
      </c>
      <c r="AT7">
        <v>47</v>
      </c>
      <c r="AU7" t="s">
        <v>42</v>
      </c>
      <c r="AV7">
        <v>4.2</v>
      </c>
      <c r="AW7">
        <v>5.3</v>
      </c>
      <c r="AX7">
        <v>5</v>
      </c>
      <c r="AY7">
        <v>5.5</v>
      </c>
      <c r="AZ7">
        <v>3</v>
      </c>
      <c r="BA7">
        <v>5.2</v>
      </c>
      <c r="BC7" s="95" t="s">
        <v>42</v>
      </c>
      <c r="BD7" s="13">
        <f t="shared" si="0"/>
        <v>75.5</v>
      </c>
      <c r="BE7" s="7">
        <f t="shared" si="1"/>
        <v>81.8</v>
      </c>
      <c r="BF7" s="7">
        <f t="shared" si="2"/>
        <v>1.2</v>
      </c>
      <c r="BG7" s="7">
        <f t="shared" si="3"/>
        <v>4.8</v>
      </c>
      <c r="BH7" s="7">
        <f t="shared" si="4"/>
        <v>1.5</v>
      </c>
      <c r="BI7" s="7">
        <f t="shared" si="5"/>
        <v>4.2</v>
      </c>
      <c r="BJ7" s="99">
        <f t="shared" si="6"/>
        <v>169</v>
      </c>
      <c r="BK7" s="81">
        <f t="shared" si="7"/>
        <v>0.44674556213017752</v>
      </c>
      <c r="BL7" s="73">
        <f t="shared" si="8"/>
        <v>0.48402366863905322</v>
      </c>
      <c r="BM7" s="79">
        <f t="shared" si="9"/>
        <v>6.9230769230769221E-2</v>
      </c>
    </row>
    <row r="8" spans="1:65" x14ac:dyDescent="0.2">
      <c r="A8">
        <v>95</v>
      </c>
      <c r="B8" t="s">
        <v>827</v>
      </c>
      <c r="C8">
        <v>68.2</v>
      </c>
      <c r="D8">
        <v>66</v>
      </c>
      <c r="E8">
        <v>74</v>
      </c>
      <c r="F8">
        <v>71.5</v>
      </c>
      <c r="G8">
        <v>65</v>
      </c>
      <c r="H8">
        <v>70.2</v>
      </c>
      <c r="J8">
        <v>14</v>
      </c>
      <c r="K8" t="s">
        <v>827</v>
      </c>
      <c r="L8">
        <v>2.2000000000000002</v>
      </c>
      <c r="M8">
        <v>2</v>
      </c>
      <c r="N8">
        <v>3</v>
      </c>
      <c r="O8">
        <v>2.5</v>
      </c>
      <c r="P8">
        <v>2</v>
      </c>
      <c r="Q8">
        <v>1.7</v>
      </c>
      <c r="S8">
        <v>87</v>
      </c>
      <c r="T8" t="s">
        <v>827</v>
      </c>
      <c r="U8">
        <v>4.2</v>
      </c>
      <c r="V8">
        <v>4</v>
      </c>
      <c r="W8">
        <v>3</v>
      </c>
      <c r="X8">
        <v>3.5</v>
      </c>
      <c r="Y8">
        <v>5</v>
      </c>
      <c r="Z8">
        <v>4.5</v>
      </c>
      <c r="AB8">
        <v>47</v>
      </c>
      <c r="AC8" t="s">
        <v>827</v>
      </c>
      <c r="AD8">
        <v>69.5</v>
      </c>
      <c r="AE8">
        <v>70.3</v>
      </c>
      <c r="AF8">
        <v>66</v>
      </c>
      <c r="AG8">
        <v>68.5</v>
      </c>
      <c r="AH8">
        <v>70.5</v>
      </c>
      <c r="AI8">
        <v>72.8</v>
      </c>
      <c r="AK8">
        <v>68</v>
      </c>
      <c r="AL8" t="s">
        <v>827</v>
      </c>
      <c r="AM8">
        <v>1.5</v>
      </c>
      <c r="AN8">
        <v>2</v>
      </c>
      <c r="AO8">
        <v>1</v>
      </c>
      <c r="AP8">
        <v>1</v>
      </c>
      <c r="AQ8">
        <v>2</v>
      </c>
      <c r="AR8">
        <v>1.5</v>
      </c>
      <c r="AT8">
        <v>76</v>
      </c>
      <c r="AU8" t="s">
        <v>827</v>
      </c>
      <c r="AV8">
        <v>5</v>
      </c>
      <c r="AW8">
        <v>3.7</v>
      </c>
      <c r="AX8">
        <v>4</v>
      </c>
      <c r="AY8">
        <v>6</v>
      </c>
      <c r="AZ8">
        <v>4</v>
      </c>
      <c r="BA8">
        <v>4.7</v>
      </c>
      <c r="BC8" s="95" t="s">
        <v>827</v>
      </c>
      <c r="BD8" s="13">
        <f t="shared" si="0"/>
        <v>68.2</v>
      </c>
      <c r="BE8" s="7">
        <f t="shared" si="1"/>
        <v>69.5</v>
      </c>
      <c r="BF8" s="7">
        <f t="shared" si="2"/>
        <v>2.2000000000000002</v>
      </c>
      <c r="BG8" s="7">
        <f t="shared" si="3"/>
        <v>4.2</v>
      </c>
      <c r="BH8" s="7">
        <f t="shared" si="4"/>
        <v>1.5</v>
      </c>
      <c r="BI8" s="7">
        <f t="shared" si="5"/>
        <v>5</v>
      </c>
      <c r="BJ8" s="99">
        <f t="shared" si="6"/>
        <v>150.59999999999997</v>
      </c>
      <c r="BK8" s="81">
        <f t="shared" si="7"/>
        <v>0.45285524568393104</v>
      </c>
      <c r="BL8" s="73">
        <f t="shared" si="8"/>
        <v>0.46148738379814086</v>
      </c>
      <c r="BM8" s="79">
        <f t="shared" si="9"/>
        <v>8.5657370517928308E-2</v>
      </c>
    </row>
    <row r="9" spans="1:65" x14ac:dyDescent="0.2">
      <c r="A9">
        <v>47</v>
      </c>
      <c r="B9" t="s">
        <v>50</v>
      </c>
      <c r="C9">
        <v>73.5</v>
      </c>
      <c r="D9">
        <v>74.7</v>
      </c>
      <c r="E9">
        <v>71</v>
      </c>
      <c r="F9">
        <v>76.5</v>
      </c>
      <c r="G9">
        <v>70.5</v>
      </c>
      <c r="H9">
        <v>70.5</v>
      </c>
      <c r="J9">
        <v>21</v>
      </c>
      <c r="K9" t="s">
        <v>50</v>
      </c>
      <c r="L9">
        <v>2</v>
      </c>
      <c r="M9">
        <v>2</v>
      </c>
      <c r="N9">
        <v>3</v>
      </c>
      <c r="O9">
        <v>1.5</v>
      </c>
      <c r="P9">
        <v>2.5</v>
      </c>
      <c r="Q9">
        <v>2</v>
      </c>
      <c r="S9">
        <v>103</v>
      </c>
      <c r="T9" t="s">
        <v>50</v>
      </c>
      <c r="U9">
        <v>4</v>
      </c>
      <c r="V9">
        <v>3.3</v>
      </c>
      <c r="W9">
        <v>3</v>
      </c>
      <c r="X9">
        <v>3.5</v>
      </c>
      <c r="Y9">
        <v>4.5</v>
      </c>
      <c r="Z9">
        <v>5.7</v>
      </c>
      <c r="AB9">
        <v>77</v>
      </c>
      <c r="AC9" t="s">
        <v>50</v>
      </c>
      <c r="AD9">
        <v>73.5</v>
      </c>
      <c r="AE9">
        <v>72</v>
      </c>
      <c r="AF9">
        <v>71</v>
      </c>
      <c r="AG9">
        <v>72.5</v>
      </c>
      <c r="AH9">
        <v>74.5</v>
      </c>
      <c r="AI9">
        <v>70</v>
      </c>
      <c r="AK9">
        <v>83</v>
      </c>
      <c r="AL9" t="s">
        <v>50</v>
      </c>
      <c r="AM9">
        <v>1.8</v>
      </c>
      <c r="AN9">
        <v>2</v>
      </c>
      <c r="AO9">
        <v>1</v>
      </c>
      <c r="AP9">
        <v>2.5</v>
      </c>
      <c r="AQ9">
        <v>1</v>
      </c>
      <c r="AR9">
        <v>2.2000000000000002</v>
      </c>
      <c r="AT9">
        <v>69</v>
      </c>
      <c r="AU9" t="s">
        <v>50</v>
      </c>
      <c r="AV9">
        <v>4.8</v>
      </c>
      <c r="AW9">
        <v>5</v>
      </c>
      <c r="AX9">
        <v>4</v>
      </c>
      <c r="AY9">
        <v>5.5</v>
      </c>
      <c r="AZ9">
        <v>4</v>
      </c>
      <c r="BA9">
        <v>4.4000000000000004</v>
      </c>
      <c r="BC9" s="95" t="s">
        <v>50</v>
      </c>
      <c r="BD9" s="13">
        <f t="shared" si="0"/>
        <v>73.5</v>
      </c>
      <c r="BE9" s="7">
        <f t="shared" si="1"/>
        <v>73.5</v>
      </c>
      <c r="BF9" s="7">
        <f t="shared" si="2"/>
        <v>2</v>
      </c>
      <c r="BG9" s="7">
        <f t="shared" si="3"/>
        <v>4</v>
      </c>
      <c r="BH9" s="7">
        <f t="shared" si="4"/>
        <v>1.8</v>
      </c>
      <c r="BI9" s="7">
        <f t="shared" si="5"/>
        <v>4.8</v>
      </c>
      <c r="BJ9" s="99">
        <f t="shared" si="6"/>
        <v>159.60000000000002</v>
      </c>
      <c r="BK9" s="81">
        <f t="shared" si="7"/>
        <v>0.46052631578947362</v>
      </c>
      <c r="BL9" s="73">
        <f t="shared" si="8"/>
        <v>0.46052631578947362</v>
      </c>
      <c r="BM9" s="79">
        <f t="shared" si="9"/>
        <v>7.8947368421052613E-2</v>
      </c>
    </row>
    <row r="10" spans="1:65" x14ac:dyDescent="0.2">
      <c r="A10">
        <v>68</v>
      </c>
      <c r="B10" t="s">
        <v>818</v>
      </c>
      <c r="C10">
        <v>71.400000000000006</v>
      </c>
      <c r="D10">
        <v>67</v>
      </c>
      <c r="E10">
        <v>57</v>
      </c>
      <c r="F10">
        <v>76</v>
      </c>
      <c r="G10">
        <v>70.2</v>
      </c>
      <c r="H10">
        <v>76.900000000000006</v>
      </c>
      <c r="J10">
        <v>82</v>
      </c>
      <c r="K10" t="s">
        <v>818</v>
      </c>
      <c r="L10">
        <v>1.4</v>
      </c>
      <c r="M10">
        <v>1.3</v>
      </c>
      <c r="N10">
        <v>1</v>
      </c>
      <c r="O10">
        <v>0</v>
      </c>
      <c r="P10">
        <v>1.8</v>
      </c>
      <c r="Q10">
        <v>1.8</v>
      </c>
      <c r="S10">
        <v>26</v>
      </c>
      <c r="T10" t="s">
        <v>818</v>
      </c>
      <c r="U10">
        <v>6</v>
      </c>
      <c r="V10">
        <v>6.7</v>
      </c>
      <c r="W10">
        <v>5</v>
      </c>
      <c r="X10">
        <v>6</v>
      </c>
      <c r="Y10">
        <v>6</v>
      </c>
      <c r="Z10">
        <v>5.0999999999999996</v>
      </c>
      <c r="AB10">
        <v>127</v>
      </c>
      <c r="AC10" t="s">
        <v>818</v>
      </c>
      <c r="AD10">
        <v>86.2</v>
      </c>
      <c r="AE10">
        <v>87.3</v>
      </c>
      <c r="AF10">
        <v>102</v>
      </c>
      <c r="AG10">
        <v>95</v>
      </c>
      <c r="AH10">
        <v>84</v>
      </c>
      <c r="AI10">
        <v>69.400000000000006</v>
      </c>
      <c r="AK10">
        <v>125</v>
      </c>
      <c r="AL10" t="s">
        <v>818</v>
      </c>
      <c r="AM10">
        <v>2.4</v>
      </c>
      <c r="AN10">
        <v>2.2999999999999998</v>
      </c>
      <c r="AO10">
        <v>2</v>
      </c>
      <c r="AP10">
        <v>4</v>
      </c>
      <c r="AQ10">
        <v>2</v>
      </c>
      <c r="AR10">
        <v>0.8</v>
      </c>
      <c r="AT10">
        <v>36</v>
      </c>
      <c r="AU10" t="s">
        <v>818</v>
      </c>
      <c r="AV10">
        <v>4</v>
      </c>
      <c r="AW10">
        <v>3.7</v>
      </c>
      <c r="AX10">
        <v>4</v>
      </c>
      <c r="AY10">
        <v>2</v>
      </c>
      <c r="AZ10">
        <v>4.5</v>
      </c>
      <c r="BA10">
        <v>5.7</v>
      </c>
      <c r="BC10" s="95" t="s">
        <v>818</v>
      </c>
      <c r="BD10" s="13">
        <f t="shared" si="0"/>
        <v>71.400000000000006</v>
      </c>
      <c r="BE10" s="7">
        <f t="shared" si="1"/>
        <v>86.2</v>
      </c>
      <c r="BF10" s="7">
        <f t="shared" si="2"/>
        <v>1.4</v>
      </c>
      <c r="BG10" s="7">
        <f t="shared" si="3"/>
        <v>6</v>
      </c>
      <c r="BH10" s="7">
        <f t="shared" si="4"/>
        <v>2.4</v>
      </c>
      <c r="BI10" s="7">
        <f t="shared" si="5"/>
        <v>4</v>
      </c>
      <c r="BJ10" s="99">
        <f t="shared" si="6"/>
        <v>171.40000000000003</v>
      </c>
      <c r="BK10" s="81">
        <f t="shared" si="7"/>
        <v>0.41656942823803961</v>
      </c>
      <c r="BL10" s="73">
        <f t="shared" si="8"/>
        <v>0.50291715285880967</v>
      </c>
      <c r="BM10" s="79">
        <f t="shared" si="9"/>
        <v>8.0513418903150516E-2</v>
      </c>
    </row>
    <row r="11" spans="1:65" x14ac:dyDescent="0.2">
      <c r="A11">
        <v>117</v>
      </c>
      <c r="B11" t="s">
        <v>58</v>
      </c>
      <c r="C11">
        <v>64.5</v>
      </c>
      <c r="D11">
        <v>64.7</v>
      </c>
      <c r="E11">
        <v>69</v>
      </c>
      <c r="F11">
        <v>66.5</v>
      </c>
      <c r="G11">
        <v>62.5</v>
      </c>
      <c r="H11">
        <v>72.400000000000006</v>
      </c>
      <c r="J11">
        <v>128</v>
      </c>
      <c r="K11" t="s">
        <v>58</v>
      </c>
      <c r="L11">
        <v>0.5</v>
      </c>
      <c r="M11">
        <v>0.7</v>
      </c>
      <c r="N11">
        <v>0</v>
      </c>
      <c r="O11">
        <v>0</v>
      </c>
      <c r="P11">
        <v>1</v>
      </c>
      <c r="Q11">
        <v>1.1000000000000001</v>
      </c>
      <c r="S11">
        <v>111</v>
      </c>
      <c r="T11" t="s">
        <v>58</v>
      </c>
      <c r="U11">
        <v>3.8</v>
      </c>
      <c r="V11">
        <v>3.7</v>
      </c>
      <c r="W11">
        <v>4</v>
      </c>
      <c r="X11">
        <v>4</v>
      </c>
      <c r="Y11">
        <v>3.5</v>
      </c>
      <c r="Z11">
        <v>2.6</v>
      </c>
      <c r="AB11">
        <v>22</v>
      </c>
      <c r="AC11" t="s">
        <v>58</v>
      </c>
      <c r="AD11">
        <v>66</v>
      </c>
      <c r="AE11">
        <v>73.3</v>
      </c>
      <c r="AF11">
        <v>75</v>
      </c>
      <c r="AG11">
        <v>59.5</v>
      </c>
      <c r="AH11">
        <v>72.5</v>
      </c>
      <c r="AI11">
        <v>57.2</v>
      </c>
      <c r="AK11">
        <v>45</v>
      </c>
      <c r="AL11" t="s">
        <v>58</v>
      </c>
      <c r="AM11">
        <v>1.2</v>
      </c>
      <c r="AN11">
        <v>1</v>
      </c>
      <c r="AO11">
        <v>0</v>
      </c>
      <c r="AP11">
        <v>1</v>
      </c>
      <c r="AQ11">
        <v>1.5</v>
      </c>
      <c r="AR11">
        <v>0.6</v>
      </c>
      <c r="AT11">
        <v>27</v>
      </c>
      <c r="AU11" t="s">
        <v>58</v>
      </c>
      <c r="AV11">
        <v>3.8</v>
      </c>
      <c r="AW11">
        <v>3.3</v>
      </c>
      <c r="AX11">
        <v>4</v>
      </c>
      <c r="AY11">
        <v>4.5</v>
      </c>
      <c r="AZ11">
        <v>3</v>
      </c>
      <c r="BA11">
        <v>3.6</v>
      </c>
      <c r="BC11" s="95" t="s">
        <v>58</v>
      </c>
      <c r="BD11" s="13">
        <f t="shared" si="0"/>
        <v>64.5</v>
      </c>
      <c r="BE11" s="7">
        <f t="shared" si="1"/>
        <v>66</v>
      </c>
      <c r="BF11" s="7">
        <f t="shared" si="2"/>
        <v>0.5</v>
      </c>
      <c r="BG11" s="7">
        <f t="shared" si="3"/>
        <v>3.8</v>
      </c>
      <c r="BH11" s="7">
        <f t="shared" si="4"/>
        <v>1.2</v>
      </c>
      <c r="BI11" s="7">
        <f t="shared" si="5"/>
        <v>3.8</v>
      </c>
      <c r="BJ11" s="99">
        <f t="shared" si="6"/>
        <v>139.80000000000001</v>
      </c>
      <c r="BK11" s="81">
        <f t="shared" si="7"/>
        <v>0.46137339055793986</v>
      </c>
      <c r="BL11" s="73">
        <f t="shared" si="8"/>
        <v>0.47210300429184543</v>
      </c>
      <c r="BM11" s="79">
        <f t="shared" si="9"/>
        <v>6.652360515021459E-2</v>
      </c>
    </row>
    <row r="12" spans="1:65" x14ac:dyDescent="0.2">
      <c r="A12">
        <v>56</v>
      </c>
      <c r="B12" t="s">
        <v>64</v>
      </c>
      <c r="C12">
        <v>72.3</v>
      </c>
      <c r="D12">
        <v>65</v>
      </c>
      <c r="E12">
        <v>63</v>
      </c>
      <c r="F12">
        <v>77.3</v>
      </c>
      <c r="G12">
        <v>67.3</v>
      </c>
      <c r="H12">
        <v>70.2</v>
      </c>
      <c r="J12">
        <v>83</v>
      </c>
      <c r="K12" t="s">
        <v>64</v>
      </c>
      <c r="L12">
        <v>1.3</v>
      </c>
      <c r="M12">
        <v>0.7</v>
      </c>
      <c r="N12">
        <v>2</v>
      </c>
      <c r="O12">
        <v>1</v>
      </c>
      <c r="P12">
        <v>1.7</v>
      </c>
      <c r="Q12">
        <v>2.2000000000000002</v>
      </c>
      <c r="S12">
        <v>54</v>
      </c>
      <c r="T12" t="s">
        <v>64</v>
      </c>
      <c r="U12">
        <v>5.2</v>
      </c>
      <c r="V12">
        <v>5.7</v>
      </c>
      <c r="W12">
        <v>8</v>
      </c>
      <c r="X12">
        <v>3</v>
      </c>
      <c r="Y12">
        <v>7.3</v>
      </c>
      <c r="Z12">
        <v>4.5999999999999996</v>
      </c>
      <c r="AB12">
        <v>54</v>
      </c>
      <c r="AC12" t="s">
        <v>64</v>
      </c>
      <c r="AD12">
        <v>70.8</v>
      </c>
      <c r="AE12">
        <v>71.7</v>
      </c>
      <c r="AF12">
        <v>76</v>
      </c>
      <c r="AG12">
        <v>67.7</v>
      </c>
      <c r="AH12">
        <v>74</v>
      </c>
      <c r="AI12">
        <v>71.900000000000006</v>
      </c>
      <c r="AK12">
        <v>95</v>
      </c>
      <c r="AL12" t="s">
        <v>64</v>
      </c>
      <c r="AM12">
        <v>1.8</v>
      </c>
      <c r="AN12">
        <v>2</v>
      </c>
      <c r="AO12">
        <v>1</v>
      </c>
      <c r="AP12">
        <v>1.7</v>
      </c>
      <c r="AQ12">
        <v>2</v>
      </c>
      <c r="AR12">
        <v>2.4</v>
      </c>
      <c r="AT12">
        <v>121</v>
      </c>
      <c r="AU12" t="s">
        <v>64</v>
      </c>
      <c r="AV12">
        <v>6.8</v>
      </c>
      <c r="AW12">
        <v>6.3</v>
      </c>
      <c r="AX12">
        <v>7</v>
      </c>
      <c r="AY12">
        <v>7</v>
      </c>
      <c r="AZ12">
        <v>6.7</v>
      </c>
      <c r="BA12">
        <v>5.2</v>
      </c>
      <c r="BC12" s="95" t="s">
        <v>64</v>
      </c>
      <c r="BD12" s="13">
        <f t="shared" si="0"/>
        <v>72.3</v>
      </c>
      <c r="BE12" s="7">
        <f t="shared" si="1"/>
        <v>70.8</v>
      </c>
      <c r="BF12" s="7">
        <f t="shared" si="2"/>
        <v>1.3</v>
      </c>
      <c r="BG12" s="7">
        <f t="shared" si="3"/>
        <v>5.2</v>
      </c>
      <c r="BH12" s="7">
        <f t="shared" si="4"/>
        <v>1.8</v>
      </c>
      <c r="BI12" s="7">
        <f t="shared" si="5"/>
        <v>6.8</v>
      </c>
      <c r="BJ12" s="99">
        <f t="shared" si="6"/>
        <v>158.20000000000002</v>
      </c>
      <c r="BK12" s="81">
        <f t="shared" si="7"/>
        <v>0.45701643489254101</v>
      </c>
      <c r="BL12" s="73">
        <f t="shared" si="8"/>
        <v>0.44753476611883686</v>
      </c>
      <c r="BM12" s="79">
        <f t="shared" si="9"/>
        <v>9.5448798988621991E-2</v>
      </c>
    </row>
    <row r="13" spans="1:65" x14ac:dyDescent="0.2">
      <c r="A13">
        <v>5</v>
      </c>
      <c r="B13" t="s">
        <v>66</v>
      </c>
      <c r="C13">
        <v>81.8</v>
      </c>
      <c r="D13">
        <v>81</v>
      </c>
      <c r="E13">
        <v>76</v>
      </c>
      <c r="F13">
        <v>78</v>
      </c>
      <c r="G13">
        <v>83</v>
      </c>
      <c r="H13">
        <v>78.599999999999994</v>
      </c>
      <c r="J13">
        <v>2</v>
      </c>
      <c r="K13" t="s">
        <v>66</v>
      </c>
      <c r="L13">
        <v>3</v>
      </c>
      <c r="M13">
        <v>3.3</v>
      </c>
      <c r="N13">
        <v>5</v>
      </c>
      <c r="O13">
        <v>2</v>
      </c>
      <c r="P13">
        <v>3.3</v>
      </c>
      <c r="Q13">
        <v>1.4</v>
      </c>
      <c r="S13">
        <v>47</v>
      </c>
      <c r="T13" t="s">
        <v>66</v>
      </c>
      <c r="U13">
        <v>5.2</v>
      </c>
      <c r="V13">
        <v>5.3</v>
      </c>
      <c r="W13">
        <v>7</v>
      </c>
      <c r="X13">
        <v>4</v>
      </c>
      <c r="Y13">
        <v>5.7</v>
      </c>
      <c r="Z13">
        <v>5.0999999999999996</v>
      </c>
      <c r="AB13">
        <v>109</v>
      </c>
      <c r="AC13" t="s">
        <v>66</v>
      </c>
      <c r="AD13">
        <v>77</v>
      </c>
      <c r="AE13">
        <v>78</v>
      </c>
      <c r="AF13">
        <v>74</v>
      </c>
      <c r="AG13">
        <v>85</v>
      </c>
      <c r="AH13">
        <v>74.3</v>
      </c>
      <c r="AI13">
        <v>78.599999999999994</v>
      </c>
      <c r="AK13">
        <v>117</v>
      </c>
      <c r="AL13" t="s">
        <v>66</v>
      </c>
      <c r="AM13">
        <v>2.2000000000000002</v>
      </c>
      <c r="AN13">
        <v>1.7</v>
      </c>
      <c r="AO13">
        <v>2</v>
      </c>
      <c r="AP13">
        <v>0</v>
      </c>
      <c r="AQ13">
        <v>3</v>
      </c>
      <c r="AR13">
        <v>1.3</v>
      </c>
      <c r="AT13">
        <v>65</v>
      </c>
      <c r="AU13" t="s">
        <v>66</v>
      </c>
      <c r="AV13">
        <v>4.8</v>
      </c>
      <c r="AW13">
        <v>5.3</v>
      </c>
      <c r="AX13">
        <v>7</v>
      </c>
      <c r="AY13">
        <v>6</v>
      </c>
      <c r="AZ13">
        <v>4.3</v>
      </c>
      <c r="BA13">
        <v>3.8</v>
      </c>
      <c r="BC13" s="95" t="s">
        <v>66</v>
      </c>
      <c r="BD13" s="13">
        <f t="shared" si="0"/>
        <v>81.8</v>
      </c>
      <c r="BE13" s="7">
        <f t="shared" si="1"/>
        <v>77</v>
      </c>
      <c r="BF13" s="7">
        <f t="shared" si="2"/>
        <v>3</v>
      </c>
      <c r="BG13" s="7">
        <f t="shared" si="3"/>
        <v>5.2</v>
      </c>
      <c r="BH13" s="7">
        <f t="shared" si="4"/>
        <v>2.2000000000000002</v>
      </c>
      <c r="BI13" s="7">
        <f t="shared" si="5"/>
        <v>4.8</v>
      </c>
      <c r="BJ13" s="99">
        <f t="shared" si="6"/>
        <v>174</v>
      </c>
      <c r="BK13" s="81">
        <f t="shared" si="7"/>
        <v>0.47011494252873559</v>
      </c>
      <c r="BL13" s="73">
        <f t="shared" si="8"/>
        <v>0.44252873563218392</v>
      </c>
      <c r="BM13" s="79">
        <f t="shared" si="9"/>
        <v>8.7356321839080459E-2</v>
      </c>
    </row>
    <row r="14" spans="1:65" x14ac:dyDescent="0.2">
      <c r="A14">
        <v>105</v>
      </c>
      <c r="B14" t="s">
        <v>71</v>
      </c>
      <c r="C14">
        <v>66.2</v>
      </c>
      <c r="D14">
        <v>67.3</v>
      </c>
      <c r="E14">
        <v>56</v>
      </c>
      <c r="F14">
        <v>72.5</v>
      </c>
      <c r="G14">
        <v>60</v>
      </c>
      <c r="H14">
        <v>80.2</v>
      </c>
      <c r="J14">
        <v>113</v>
      </c>
      <c r="K14" t="s">
        <v>71</v>
      </c>
      <c r="L14">
        <v>1</v>
      </c>
      <c r="M14">
        <v>1.3</v>
      </c>
      <c r="N14">
        <v>1</v>
      </c>
      <c r="O14">
        <v>1</v>
      </c>
      <c r="P14">
        <v>1</v>
      </c>
      <c r="Q14">
        <v>1.8</v>
      </c>
      <c r="S14">
        <v>74</v>
      </c>
      <c r="T14" t="s">
        <v>71</v>
      </c>
      <c r="U14">
        <v>4.5</v>
      </c>
      <c r="V14">
        <v>5</v>
      </c>
      <c r="W14">
        <v>6</v>
      </c>
      <c r="X14">
        <v>4.5</v>
      </c>
      <c r="Y14">
        <v>4.5</v>
      </c>
      <c r="Z14">
        <v>4.0999999999999996</v>
      </c>
      <c r="AB14">
        <v>78</v>
      </c>
      <c r="AC14" t="s">
        <v>71</v>
      </c>
      <c r="AD14">
        <v>73.5</v>
      </c>
      <c r="AE14">
        <v>75</v>
      </c>
      <c r="AF14">
        <v>80</v>
      </c>
      <c r="AG14">
        <v>72.5</v>
      </c>
      <c r="AH14">
        <v>74.5</v>
      </c>
      <c r="AI14">
        <v>67.099999999999994</v>
      </c>
      <c r="AK14">
        <v>82</v>
      </c>
      <c r="AL14" t="s">
        <v>71</v>
      </c>
      <c r="AM14">
        <v>1.8</v>
      </c>
      <c r="AN14">
        <v>2.2999999999999998</v>
      </c>
      <c r="AO14">
        <v>2</v>
      </c>
      <c r="AP14">
        <v>1</v>
      </c>
      <c r="AQ14">
        <v>2.5</v>
      </c>
      <c r="AR14">
        <v>2.2000000000000002</v>
      </c>
      <c r="AT14">
        <v>100</v>
      </c>
      <c r="AU14" t="s">
        <v>71</v>
      </c>
      <c r="AV14">
        <v>5.8</v>
      </c>
      <c r="AW14">
        <v>5</v>
      </c>
      <c r="AX14">
        <v>6</v>
      </c>
      <c r="AY14">
        <v>6.5</v>
      </c>
      <c r="AZ14">
        <v>5</v>
      </c>
      <c r="BA14">
        <v>4</v>
      </c>
      <c r="BC14" s="95" t="s">
        <v>71</v>
      </c>
      <c r="BD14" s="13">
        <f t="shared" si="0"/>
        <v>66.2</v>
      </c>
      <c r="BE14" s="7">
        <f t="shared" si="1"/>
        <v>73.5</v>
      </c>
      <c r="BF14" s="7">
        <f t="shared" si="2"/>
        <v>1</v>
      </c>
      <c r="BG14" s="7">
        <f t="shared" si="3"/>
        <v>4.5</v>
      </c>
      <c r="BH14" s="7">
        <f t="shared" si="4"/>
        <v>1.8</v>
      </c>
      <c r="BI14" s="7">
        <f t="shared" si="5"/>
        <v>5.8</v>
      </c>
      <c r="BJ14" s="99">
        <f t="shared" si="6"/>
        <v>152.80000000000001</v>
      </c>
      <c r="BK14" s="81">
        <f t="shared" si="7"/>
        <v>0.43324607329842929</v>
      </c>
      <c r="BL14" s="73">
        <f t="shared" si="8"/>
        <v>0.48102094240837695</v>
      </c>
      <c r="BM14" s="79">
        <f t="shared" si="9"/>
        <v>8.5732984293193704E-2</v>
      </c>
    </row>
    <row r="15" spans="1:65" x14ac:dyDescent="0.2">
      <c r="A15">
        <v>11</v>
      </c>
      <c r="B15" t="s">
        <v>77</v>
      </c>
      <c r="C15">
        <v>80.2</v>
      </c>
      <c r="D15">
        <v>69</v>
      </c>
      <c r="E15">
        <v>65</v>
      </c>
      <c r="F15">
        <v>71</v>
      </c>
      <c r="G15">
        <v>89.5</v>
      </c>
      <c r="H15">
        <v>77.8</v>
      </c>
      <c r="J15">
        <v>30</v>
      </c>
      <c r="K15" t="s">
        <v>77</v>
      </c>
      <c r="L15">
        <v>2</v>
      </c>
      <c r="M15">
        <v>1</v>
      </c>
      <c r="N15">
        <v>1</v>
      </c>
      <c r="O15">
        <v>1</v>
      </c>
      <c r="P15">
        <v>3</v>
      </c>
      <c r="Q15">
        <v>1.5</v>
      </c>
      <c r="S15">
        <v>62</v>
      </c>
      <c r="T15" t="s">
        <v>77</v>
      </c>
      <c r="U15">
        <v>4.8</v>
      </c>
      <c r="V15">
        <v>5</v>
      </c>
      <c r="W15">
        <v>8</v>
      </c>
      <c r="X15">
        <v>3.5</v>
      </c>
      <c r="Y15">
        <v>6</v>
      </c>
      <c r="Z15">
        <v>3.8</v>
      </c>
      <c r="AB15">
        <v>29</v>
      </c>
      <c r="AC15" t="s">
        <v>77</v>
      </c>
      <c r="AD15">
        <v>67</v>
      </c>
      <c r="AE15">
        <v>67.3</v>
      </c>
      <c r="AF15">
        <v>91</v>
      </c>
      <c r="AG15">
        <v>55.5</v>
      </c>
      <c r="AH15">
        <v>78.5</v>
      </c>
      <c r="AI15">
        <v>66.099999999999994</v>
      </c>
      <c r="AK15">
        <v>8</v>
      </c>
      <c r="AL15" t="s">
        <v>77</v>
      </c>
      <c r="AM15">
        <v>0.8</v>
      </c>
      <c r="AN15">
        <v>0.7</v>
      </c>
      <c r="AO15">
        <v>0</v>
      </c>
      <c r="AP15">
        <v>1</v>
      </c>
      <c r="AQ15">
        <v>0.5</v>
      </c>
      <c r="AR15">
        <v>1.7</v>
      </c>
      <c r="AT15">
        <v>123</v>
      </c>
      <c r="AU15" t="s">
        <v>77</v>
      </c>
      <c r="AV15">
        <v>7</v>
      </c>
      <c r="AW15">
        <v>7</v>
      </c>
      <c r="AX15">
        <v>10</v>
      </c>
      <c r="AY15">
        <v>5.5</v>
      </c>
      <c r="AZ15">
        <v>8.5</v>
      </c>
      <c r="BA15">
        <v>4.8</v>
      </c>
      <c r="BC15" s="95" t="s">
        <v>77</v>
      </c>
      <c r="BD15" s="13">
        <f t="shared" si="0"/>
        <v>80.2</v>
      </c>
      <c r="BE15" s="7">
        <f t="shared" si="1"/>
        <v>67</v>
      </c>
      <c r="BF15" s="7">
        <f t="shared" si="2"/>
        <v>2</v>
      </c>
      <c r="BG15" s="7">
        <f t="shared" si="3"/>
        <v>4.8</v>
      </c>
      <c r="BH15" s="7">
        <f t="shared" si="4"/>
        <v>0.8</v>
      </c>
      <c r="BI15" s="7">
        <f t="shared" si="5"/>
        <v>7</v>
      </c>
      <c r="BJ15" s="99">
        <f t="shared" si="6"/>
        <v>161.80000000000001</v>
      </c>
      <c r="BK15" s="81">
        <f t="shared" si="7"/>
        <v>0.49567367119901112</v>
      </c>
      <c r="BL15" s="73">
        <f t="shared" si="8"/>
        <v>0.41409147095179233</v>
      </c>
      <c r="BM15" s="79">
        <f t="shared" si="9"/>
        <v>9.0234857849196534E-2</v>
      </c>
    </row>
    <row r="16" spans="1:65" x14ac:dyDescent="0.2">
      <c r="A16">
        <v>9</v>
      </c>
      <c r="B16" t="s">
        <v>799</v>
      </c>
      <c r="C16">
        <v>81</v>
      </c>
      <c r="D16">
        <v>80</v>
      </c>
      <c r="E16">
        <v>78</v>
      </c>
      <c r="F16">
        <v>80</v>
      </c>
      <c r="G16">
        <v>82.5</v>
      </c>
      <c r="H16">
        <v>76.7</v>
      </c>
      <c r="J16">
        <v>96</v>
      </c>
      <c r="K16" t="s">
        <v>799</v>
      </c>
      <c r="L16">
        <v>1.2</v>
      </c>
      <c r="M16">
        <v>1</v>
      </c>
      <c r="N16">
        <v>1</v>
      </c>
      <c r="O16">
        <v>1.3</v>
      </c>
      <c r="P16">
        <v>1</v>
      </c>
      <c r="Q16">
        <v>0.8</v>
      </c>
      <c r="S16">
        <v>60</v>
      </c>
      <c r="T16" t="s">
        <v>799</v>
      </c>
      <c r="U16">
        <v>4.8</v>
      </c>
      <c r="V16">
        <v>4.7</v>
      </c>
      <c r="W16">
        <v>4</v>
      </c>
      <c r="X16">
        <v>4.7</v>
      </c>
      <c r="Y16">
        <v>5</v>
      </c>
      <c r="Z16">
        <v>6</v>
      </c>
      <c r="AB16">
        <v>118</v>
      </c>
      <c r="AC16" t="s">
        <v>799</v>
      </c>
      <c r="AD16">
        <v>78</v>
      </c>
      <c r="AE16">
        <v>75.7</v>
      </c>
      <c r="AF16">
        <v>78</v>
      </c>
      <c r="AG16">
        <v>84</v>
      </c>
      <c r="AH16">
        <v>69</v>
      </c>
      <c r="AI16">
        <v>81.599999999999994</v>
      </c>
      <c r="AK16">
        <v>98</v>
      </c>
      <c r="AL16" t="s">
        <v>799</v>
      </c>
      <c r="AM16">
        <v>2</v>
      </c>
      <c r="AN16">
        <v>2.7</v>
      </c>
      <c r="AO16">
        <v>3</v>
      </c>
      <c r="AP16">
        <v>1.3</v>
      </c>
      <c r="AQ16">
        <v>3</v>
      </c>
      <c r="AR16">
        <v>1.2</v>
      </c>
      <c r="AT16">
        <v>80</v>
      </c>
      <c r="AU16" t="s">
        <v>799</v>
      </c>
      <c r="AV16">
        <v>5</v>
      </c>
      <c r="AW16">
        <v>5</v>
      </c>
      <c r="AX16">
        <v>5</v>
      </c>
      <c r="AY16">
        <v>5</v>
      </c>
      <c r="AZ16">
        <v>5</v>
      </c>
      <c r="BA16">
        <v>5.5</v>
      </c>
      <c r="BC16" s="95" t="s">
        <v>799</v>
      </c>
      <c r="BD16" s="13">
        <f t="shared" si="0"/>
        <v>81</v>
      </c>
      <c r="BE16" s="7">
        <f t="shared" si="1"/>
        <v>78</v>
      </c>
      <c r="BF16" s="7">
        <f t="shared" si="2"/>
        <v>1.2</v>
      </c>
      <c r="BG16" s="7">
        <f t="shared" si="3"/>
        <v>4.8</v>
      </c>
      <c r="BH16" s="7">
        <f t="shared" si="4"/>
        <v>2</v>
      </c>
      <c r="BI16" s="7">
        <f t="shared" si="5"/>
        <v>5</v>
      </c>
      <c r="BJ16" s="99">
        <f t="shared" si="6"/>
        <v>172</v>
      </c>
      <c r="BK16" s="81">
        <f t="shared" si="7"/>
        <v>0.47093023255813954</v>
      </c>
      <c r="BL16" s="73">
        <f t="shared" si="8"/>
        <v>0.45348837209302323</v>
      </c>
      <c r="BM16" s="79">
        <f t="shared" si="9"/>
        <v>7.5581395348837205E-2</v>
      </c>
    </row>
    <row r="17" spans="1:65" x14ac:dyDescent="0.2">
      <c r="A17">
        <v>90</v>
      </c>
      <c r="B17" t="s">
        <v>825</v>
      </c>
      <c r="C17">
        <v>69</v>
      </c>
      <c r="D17">
        <v>77</v>
      </c>
      <c r="E17">
        <v>71</v>
      </c>
      <c r="F17">
        <v>85</v>
      </c>
      <c r="G17">
        <v>63.7</v>
      </c>
      <c r="H17">
        <v>69.7</v>
      </c>
      <c r="J17">
        <v>125</v>
      </c>
      <c r="K17" t="s">
        <v>825</v>
      </c>
      <c r="L17">
        <v>0.5</v>
      </c>
      <c r="M17">
        <v>0.7</v>
      </c>
      <c r="N17">
        <v>1</v>
      </c>
      <c r="O17">
        <v>1</v>
      </c>
      <c r="P17">
        <v>0.3</v>
      </c>
      <c r="Q17">
        <v>0.9</v>
      </c>
      <c r="S17">
        <v>1</v>
      </c>
      <c r="T17" t="s">
        <v>825</v>
      </c>
      <c r="U17">
        <v>8</v>
      </c>
      <c r="V17">
        <v>7.7</v>
      </c>
      <c r="W17">
        <v>8</v>
      </c>
      <c r="X17">
        <v>8</v>
      </c>
      <c r="Y17">
        <v>8</v>
      </c>
      <c r="Z17">
        <v>5.7</v>
      </c>
      <c r="AB17">
        <v>88</v>
      </c>
      <c r="AC17" t="s">
        <v>825</v>
      </c>
      <c r="AD17">
        <v>74.5</v>
      </c>
      <c r="AE17">
        <v>73</v>
      </c>
      <c r="AF17">
        <v>61</v>
      </c>
      <c r="AG17">
        <v>73</v>
      </c>
      <c r="AH17">
        <v>75</v>
      </c>
      <c r="AI17">
        <v>69.7</v>
      </c>
      <c r="AK17">
        <v>48</v>
      </c>
      <c r="AL17" t="s">
        <v>825</v>
      </c>
      <c r="AM17">
        <v>1.2</v>
      </c>
      <c r="AN17">
        <v>1.3</v>
      </c>
      <c r="AO17">
        <v>1</v>
      </c>
      <c r="AP17">
        <v>0</v>
      </c>
      <c r="AQ17">
        <v>1.7</v>
      </c>
      <c r="AR17">
        <v>0.6</v>
      </c>
      <c r="AT17">
        <v>11</v>
      </c>
      <c r="AU17" t="s">
        <v>825</v>
      </c>
      <c r="AV17">
        <v>3.2</v>
      </c>
      <c r="AW17">
        <v>3.3</v>
      </c>
      <c r="AX17">
        <v>2</v>
      </c>
      <c r="AY17">
        <v>6</v>
      </c>
      <c r="AZ17">
        <v>2.2999999999999998</v>
      </c>
      <c r="BA17">
        <v>4.0999999999999996</v>
      </c>
      <c r="BC17" s="95" t="s">
        <v>825</v>
      </c>
      <c r="BD17" s="13">
        <f t="shared" si="0"/>
        <v>69</v>
      </c>
      <c r="BE17" s="7">
        <f t="shared" si="1"/>
        <v>74.5</v>
      </c>
      <c r="BF17" s="7">
        <f t="shared" si="2"/>
        <v>0.5</v>
      </c>
      <c r="BG17" s="7">
        <f t="shared" si="3"/>
        <v>8</v>
      </c>
      <c r="BH17" s="7">
        <f t="shared" si="4"/>
        <v>1.2</v>
      </c>
      <c r="BI17" s="7">
        <f t="shared" si="5"/>
        <v>3.2</v>
      </c>
      <c r="BJ17" s="99">
        <f t="shared" si="6"/>
        <v>156.39999999999998</v>
      </c>
      <c r="BK17" s="81">
        <f t="shared" si="7"/>
        <v>0.44117647058823534</v>
      </c>
      <c r="BL17" s="73">
        <f t="shared" si="8"/>
        <v>0.47634271099744252</v>
      </c>
      <c r="BM17" s="79">
        <f t="shared" si="9"/>
        <v>8.2480818414322254E-2</v>
      </c>
    </row>
    <row r="18" spans="1:65" x14ac:dyDescent="0.2">
      <c r="A18">
        <v>23</v>
      </c>
      <c r="B18" t="s">
        <v>91</v>
      </c>
      <c r="C18">
        <v>77.2</v>
      </c>
      <c r="D18">
        <v>71.7</v>
      </c>
      <c r="E18">
        <v>70</v>
      </c>
      <c r="F18">
        <v>72</v>
      </c>
      <c r="G18">
        <v>80.7</v>
      </c>
      <c r="H18">
        <v>73.2</v>
      </c>
      <c r="J18">
        <v>32</v>
      </c>
      <c r="K18" t="s">
        <v>91</v>
      </c>
      <c r="L18">
        <v>2</v>
      </c>
      <c r="M18">
        <v>1.3</v>
      </c>
      <c r="N18">
        <v>2</v>
      </c>
      <c r="O18">
        <v>2</v>
      </c>
      <c r="P18">
        <v>2</v>
      </c>
      <c r="Q18">
        <v>1.2</v>
      </c>
      <c r="S18">
        <v>82</v>
      </c>
      <c r="T18" t="s">
        <v>91</v>
      </c>
      <c r="U18">
        <v>4.4000000000000004</v>
      </c>
      <c r="V18">
        <v>4.3</v>
      </c>
      <c r="W18">
        <v>3</v>
      </c>
      <c r="X18">
        <v>4</v>
      </c>
      <c r="Y18">
        <v>4.7</v>
      </c>
      <c r="Z18">
        <v>3.6</v>
      </c>
      <c r="AB18">
        <v>15</v>
      </c>
      <c r="AC18" t="s">
        <v>91</v>
      </c>
      <c r="AD18">
        <v>64.599999999999994</v>
      </c>
      <c r="AE18">
        <v>72.3</v>
      </c>
      <c r="AF18">
        <v>66</v>
      </c>
      <c r="AG18">
        <v>71.5</v>
      </c>
      <c r="AH18">
        <v>60</v>
      </c>
      <c r="AI18">
        <v>70.2</v>
      </c>
      <c r="AK18">
        <v>27</v>
      </c>
      <c r="AL18" t="s">
        <v>91</v>
      </c>
      <c r="AM18">
        <v>1</v>
      </c>
      <c r="AN18">
        <v>1.3</v>
      </c>
      <c r="AO18">
        <v>1</v>
      </c>
      <c r="AP18">
        <v>1</v>
      </c>
      <c r="AQ18">
        <v>1</v>
      </c>
      <c r="AR18">
        <v>0.8</v>
      </c>
      <c r="AT18">
        <v>52</v>
      </c>
      <c r="AU18" t="s">
        <v>91</v>
      </c>
      <c r="AV18">
        <v>4.4000000000000004</v>
      </c>
      <c r="AW18">
        <v>4.3</v>
      </c>
      <c r="AX18">
        <v>3</v>
      </c>
      <c r="AY18">
        <v>3</v>
      </c>
      <c r="AZ18">
        <v>5.3</v>
      </c>
      <c r="BA18">
        <v>5.3</v>
      </c>
      <c r="BC18" s="95" t="s">
        <v>91</v>
      </c>
      <c r="BD18" s="13">
        <f t="shared" si="0"/>
        <v>77.2</v>
      </c>
      <c r="BE18" s="7">
        <f t="shared" si="1"/>
        <v>64.599999999999994</v>
      </c>
      <c r="BF18" s="7">
        <f t="shared" si="2"/>
        <v>2</v>
      </c>
      <c r="BG18" s="7">
        <f t="shared" si="3"/>
        <v>4.4000000000000004</v>
      </c>
      <c r="BH18" s="7">
        <f t="shared" si="4"/>
        <v>1</v>
      </c>
      <c r="BI18" s="7">
        <f t="shared" si="5"/>
        <v>4.4000000000000004</v>
      </c>
      <c r="BJ18" s="99">
        <f t="shared" si="6"/>
        <v>153.60000000000002</v>
      </c>
      <c r="BK18" s="81">
        <f t="shared" si="7"/>
        <v>0.50260416666666663</v>
      </c>
      <c r="BL18" s="73">
        <f t="shared" si="8"/>
        <v>0.42057291666666657</v>
      </c>
      <c r="BM18" s="79">
        <f t="shared" si="9"/>
        <v>7.6822916666666657E-2</v>
      </c>
    </row>
    <row r="19" spans="1:65" x14ac:dyDescent="0.2">
      <c r="A19">
        <v>97</v>
      </c>
      <c r="B19" t="s">
        <v>94</v>
      </c>
      <c r="C19">
        <v>68</v>
      </c>
      <c r="D19">
        <v>73.3</v>
      </c>
      <c r="E19">
        <v>72</v>
      </c>
      <c r="F19">
        <v>68</v>
      </c>
      <c r="G19">
        <v>68</v>
      </c>
      <c r="H19">
        <v>67.7</v>
      </c>
      <c r="J19">
        <v>6</v>
      </c>
      <c r="K19" t="s">
        <v>94</v>
      </c>
      <c r="L19">
        <v>2.6</v>
      </c>
      <c r="M19">
        <v>2.7</v>
      </c>
      <c r="N19">
        <v>2</v>
      </c>
      <c r="O19">
        <v>2.7</v>
      </c>
      <c r="P19">
        <v>2.5</v>
      </c>
      <c r="Q19">
        <v>1.1000000000000001</v>
      </c>
      <c r="S19">
        <v>99</v>
      </c>
      <c r="T19" t="s">
        <v>94</v>
      </c>
      <c r="U19">
        <v>4.2</v>
      </c>
      <c r="V19">
        <v>4</v>
      </c>
      <c r="W19">
        <v>5</v>
      </c>
      <c r="X19">
        <v>3.3</v>
      </c>
      <c r="Y19">
        <v>5.5</v>
      </c>
      <c r="Z19">
        <v>4.9000000000000004</v>
      </c>
      <c r="AB19">
        <v>92</v>
      </c>
      <c r="AC19" t="s">
        <v>94</v>
      </c>
      <c r="AD19">
        <v>75.2</v>
      </c>
      <c r="AE19">
        <v>78</v>
      </c>
      <c r="AF19">
        <v>86</v>
      </c>
      <c r="AG19">
        <v>70.7</v>
      </c>
      <c r="AH19">
        <v>82</v>
      </c>
      <c r="AI19">
        <v>71.8</v>
      </c>
      <c r="AK19">
        <v>108</v>
      </c>
      <c r="AL19" t="s">
        <v>94</v>
      </c>
      <c r="AM19">
        <v>2.2000000000000002</v>
      </c>
      <c r="AN19">
        <v>1.7</v>
      </c>
      <c r="AO19">
        <v>2</v>
      </c>
      <c r="AP19">
        <v>1.7</v>
      </c>
      <c r="AQ19">
        <v>3</v>
      </c>
      <c r="AR19">
        <v>1.3</v>
      </c>
      <c r="AT19">
        <v>10</v>
      </c>
      <c r="AU19" t="s">
        <v>94</v>
      </c>
      <c r="AV19">
        <v>3</v>
      </c>
      <c r="AW19">
        <v>3.3</v>
      </c>
      <c r="AX19">
        <v>5</v>
      </c>
      <c r="AY19">
        <v>2.2999999999999998</v>
      </c>
      <c r="AZ19">
        <v>4</v>
      </c>
      <c r="BA19">
        <v>5.6</v>
      </c>
      <c r="BC19" s="95" t="s">
        <v>94</v>
      </c>
      <c r="BD19" s="13">
        <f t="shared" si="0"/>
        <v>68</v>
      </c>
      <c r="BE19" s="7">
        <f t="shared" si="1"/>
        <v>75.2</v>
      </c>
      <c r="BF19" s="7">
        <f t="shared" si="2"/>
        <v>2.6</v>
      </c>
      <c r="BG19" s="7">
        <f t="shared" si="3"/>
        <v>4.2</v>
      </c>
      <c r="BH19" s="7">
        <f t="shared" si="4"/>
        <v>2.2000000000000002</v>
      </c>
      <c r="BI19" s="7">
        <f t="shared" si="5"/>
        <v>3</v>
      </c>
      <c r="BJ19" s="99">
        <f t="shared" si="6"/>
        <v>155.19999999999996</v>
      </c>
      <c r="BK19" s="81">
        <f t="shared" si="7"/>
        <v>0.43814432989690733</v>
      </c>
      <c r="BL19" s="73">
        <f t="shared" si="8"/>
        <v>0.48453608247422697</v>
      </c>
      <c r="BM19" s="79">
        <f t="shared" si="9"/>
        <v>7.7319587628865996E-2</v>
      </c>
    </row>
    <row r="20" spans="1:65" x14ac:dyDescent="0.2">
      <c r="A20">
        <v>94</v>
      </c>
      <c r="B20" t="s">
        <v>99</v>
      </c>
      <c r="C20">
        <v>68.400000000000006</v>
      </c>
      <c r="D20">
        <v>69</v>
      </c>
      <c r="E20">
        <v>68</v>
      </c>
      <c r="F20">
        <v>71</v>
      </c>
      <c r="G20">
        <v>66.7</v>
      </c>
      <c r="H20">
        <v>72.2</v>
      </c>
      <c r="J20">
        <v>54</v>
      </c>
      <c r="K20" t="s">
        <v>99</v>
      </c>
      <c r="L20">
        <v>1.6</v>
      </c>
      <c r="M20">
        <v>1</v>
      </c>
      <c r="N20">
        <v>2</v>
      </c>
      <c r="O20">
        <v>2</v>
      </c>
      <c r="P20">
        <v>1.3</v>
      </c>
      <c r="Q20">
        <v>1.3</v>
      </c>
      <c r="S20">
        <v>39</v>
      </c>
      <c r="T20" t="s">
        <v>99</v>
      </c>
      <c r="U20">
        <v>5.6</v>
      </c>
      <c r="V20">
        <v>5.7</v>
      </c>
      <c r="W20">
        <v>7</v>
      </c>
      <c r="X20">
        <v>4.5</v>
      </c>
      <c r="Y20">
        <v>6.3</v>
      </c>
      <c r="Z20">
        <v>5.6</v>
      </c>
      <c r="AB20">
        <v>117</v>
      </c>
      <c r="AC20" t="s">
        <v>99</v>
      </c>
      <c r="AD20">
        <v>78</v>
      </c>
      <c r="AE20">
        <v>79</v>
      </c>
      <c r="AF20">
        <v>74</v>
      </c>
      <c r="AG20">
        <v>73.5</v>
      </c>
      <c r="AH20">
        <v>81</v>
      </c>
      <c r="AI20">
        <v>71.400000000000006</v>
      </c>
      <c r="AK20">
        <v>129</v>
      </c>
      <c r="AL20" t="s">
        <v>99</v>
      </c>
      <c r="AM20">
        <v>2.8</v>
      </c>
      <c r="AN20">
        <v>3</v>
      </c>
      <c r="AO20">
        <v>2</v>
      </c>
      <c r="AP20">
        <v>2</v>
      </c>
      <c r="AQ20">
        <v>3.3</v>
      </c>
      <c r="AR20">
        <v>1.4</v>
      </c>
      <c r="AT20">
        <v>33</v>
      </c>
      <c r="AU20" t="s">
        <v>99</v>
      </c>
      <c r="AV20">
        <v>3.8</v>
      </c>
      <c r="AW20">
        <v>4</v>
      </c>
      <c r="AX20">
        <v>4</v>
      </c>
      <c r="AY20">
        <v>4</v>
      </c>
      <c r="AZ20">
        <v>3.7</v>
      </c>
      <c r="BA20">
        <v>5.4</v>
      </c>
      <c r="BC20" s="95" t="s">
        <v>99</v>
      </c>
      <c r="BD20" s="13">
        <f t="shared" si="0"/>
        <v>68.400000000000006</v>
      </c>
      <c r="BE20" s="7">
        <f t="shared" si="1"/>
        <v>78</v>
      </c>
      <c r="BF20" s="7">
        <f t="shared" si="2"/>
        <v>1.6</v>
      </c>
      <c r="BG20" s="7">
        <f t="shared" si="3"/>
        <v>5.6</v>
      </c>
      <c r="BH20" s="7">
        <f t="shared" si="4"/>
        <v>2.8</v>
      </c>
      <c r="BI20" s="7">
        <f t="shared" si="5"/>
        <v>3.8</v>
      </c>
      <c r="BJ20" s="99">
        <f t="shared" si="6"/>
        <v>160.20000000000002</v>
      </c>
      <c r="BK20" s="81">
        <f t="shared" si="7"/>
        <v>0.42696629213483145</v>
      </c>
      <c r="BL20" s="73">
        <f t="shared" si="8"/>
        <v>0.48689138576779023</v>
      </c>
      <c r="BM20" s="79">
        <f t="shared" si="9"/>
        <v>8.6142322097378266E-2</v>
      </c>
    </row>
    <row r="21" spans="1:65" x14ac:dyDescent="0.2">
      <c r="A21">
        <v>24</v>
      </c>
      <c r="B21" t="s">
        <v>803</v>
      </c>
      <c r="C21">
        <v>76.8</v>
      </c>
      <c r="D21">
        <v>80.7</v>
      </c>
      <c r="E21">
        <v>91</v>
      </c>
      <c r="F21">
        <v>71.5</v>
      </c>
      <c r="G21">
        <v>80.3</v>
      </c>
      <c r="H21">
        <v>76.2</v>
      </c>
      <c r="J21">
        <v>78</v>
      </c>
      <c r="K21" t="s">
        <v>803</v>
      </c>
      <c r="L21">
        <v>1.4</v>
      </c>
      <c r="M21">
        <v>1.7</v>
      </c>
      <c r="N21">
        <v>3</v>
      </c>
      <c r="O21">
        <v>0.5</v>
      </c>
      <c r="P21">
        <v>2</v>
      </c>
      <c r="Q21">
        <v>1.1000000000000001</v>
      </c>
      <c r="S21">
        <v>97</v>
      </c>
      <c r="T21" t="s">
        <v>803</v>
      </c>
      <c r="U21">
        <v>4.2</v>
      </c>
      <c r="V21">
        <v>4.3</v>
      </c>
      <c r="W21">
        <v>6</v>
      </c>
      <c r="X21">
        <v>2.5</v>
      </c>
      <c r="Y21">
        <v>5.3</v>
      </c>
      <c r="Z21">
        <v>3.7</v>
      </c>
      <c r="AB21">
        <v>125</v>
      </c>
      <c r="AC21" t="s">
        <v>803</v>
      </c>
      <c r="AD21">
        <v>80.8</v>
      </c>
      <c r="AE21">
        <v>80</v>
      </c>
      <c r="AF21">
        <v>73</v>
      </c>
      <c r="AG21">
        <v>75</v>
      </c>
      <c r="AH21">
        <v>84.7</v>
      </c>
      <c r="AI21">
        <v>82</v>
      </c>
      <c r="AK21">
        <v>110</v>
      </c>
      <c r="AL21" t="s">
        <v>803</v>
      </c>
      <c r="AM21">
        <v>2.2000000000000002</v>
      </c>
      <c r="AN21">
        <v>2</v>
      </c>
      <c r="AO21">
        <v>2</v>
      </c>
      <c r="AP21">
        <v>2</v>
      </c>
      <c r="AQ21">
        <v>2.2999999999999998</v>
      </c>
      <c r="AR21">
        <v>1.9</v>
      </c>
      <c r="AT21">
        <v>125</v>
      </c>
      <c r="AU21" t="s">
        <v>803</v>
      </c>
      <c r="AV21">
        <v>7.2</v>
      </c>
      <c r="AW21">
        <v>6.7</v>
      </c>
      <c r="AX21">
        <v>8</v>
      </c>
      <c r="AY21">
        <v>6</v>
      </c>
      <c r="AZ21">
        <v>8</v>
      </c>
      <c r="BA21">
        <v>4.3</v>
      </c>
      <c r="BC21" s="95" t="s">
        <v>803</v>
      </c>
      <c r="BD21" s="13">
        <f t="shared" si="0"/>
        <v>76.8</v>
      </c>
      <c r="BE21" s="7">
        <f t="shared" si="1"/>
        <v>80.8</v>
      </c>
      <c r="BF21" s="7">
        <f t="shared" si="2"/>
        <v>1.4</v>
      </c>
      <c r="BG21" s="7">
        <f t="shared" si="3"/>
        <v>4.2</v>
      </c>
      <c r="BH21" s="7">
        <f t="shared" si="4"/>
        <v>2.2000000000000002</v>
      </c>
      <c r="BI21" s="7">
        <f t="shared" si="5"/>
        <v>7.2</v>
      </c>
      <c r="BJ21" s="99">
        <f t="shared" si="6"/>
        <v>172.59999999999997</v>
      </c>
      <c r="BK21" s="81">
        <f t="shared" si="7"/>
        <v>0.4449594438006953</v>
      </c>
      <c r="BL21" s="73">
        <f t="shared" si="8"/>
        <v>0.46813441483198154</v>
      </c>
      <c r="BM21" s="79">
        <f t="shared" si="9"/>
        <v>8.6906141367323303E-2</v>
      </c>
    </row>
    <row r="22" spans="1:65" x14ac:dyDescent="0.2">
      <c r="A22">
        <v>89</v>
      </c>
      <c r="B22" t="s">
        <v>824</v>
      </c>
      <c r="C22">
        <v>69</v>
      </c>
      <c r="D22">
        <v>78</v>
      </c>
      <c r="E22">
        <v>69</v>
      </c>
      <c r="F22">
        <v>67.5</v>
      </c>
      <c r="G22">
        <v>70</v>
      </c>
      <c r="H22">
        <v>71.400000000000006</v>
      </c>
      <c r="J22">
        <v>57</v>
      </c>
      <c r="K22" t="s">
        <v>824</v>
      </c>
      <c r="L22">
        <v>1.6</v>
      </c>
      <c r="M22">
        <v>1.7</v>
      </c>
      <c r="N22">
        <v>2</v>
      </c>
      <c r="O22">
        <v>2.5</v>
      </c>
      <c r="P22">
        <v>1</v>
      </c>
      <c r="Q22">
        <v>1.3</v>
      </c>
      <c r="S22">
        <v>83</v>
      </c>
      <c r="T22" t="s">
        <v>824</v>
      </c>
      <c r="U22">
        <v>4.4000000000000004</v>
      </c>
      <c r="V22">
        <v>3.3</v>
      </c>
      <c r="W22">
        <v>2</v>
      </c>
      <c r="X22">
        <v>2.5</v>
      </c>
      <c r="Y22">
        <v>5.7</v>
      </c>
      <c r="Z22">
        <v>7.5</v>
      </c>
      <c r="AB22">
        <v>67</v>
      </c>
      <c r="AC22" t="s">
        <v>824</v>
      </c>
      <c r="AD22">
        <v>72.8</v>
      </c>
      <c r="AE22">
        <v>66</v>
      </c>
      <c r="AF22">
        <v>71</v>
      </c>
      <c r="AG22">
        <v>77</v>
      </c>
      <c r="AH22">
        <v>70</v>
      </c>
      <c r="AI22">
        <v>73.099999999999994</v>
      </c>
      <c r="AK22">
        <v>32</v>
      </c>
      <c r="AL22" t="s">
        <v>824</v>
      </c>
      <c r="AM22">
        <v>1.2</v>
      </c>
      <c r="AN22">
        <v>1</v>
      </c>
      <c r="AO22">
        <v>1</v>
      </c>
      <c r="AP22">
        <v>1</v>
      </c>
      <c r="AQ22">
        <v>1.3</v>
      </c>
      <c r="AR22">
        <v>1.4</v>
      </c>
      <c r="AT22">
        <v>20</v>
      </c>
      <c r="AU22" t="s">
        <v>824</v>
      </c>
      <c r="AV22">
        <v>3.6</v>
      </c>
      <c r="AW22">
        <v>3.7</v>
      </c>
      <c r="AX22">
        <v>4</v>
      </c>
      <c r="AY22">
        <v>5</v>
      </c>
      <c r="AZ22">
        <v>2.7</v>
      </c>
      <c r="BA22">
        <v>5.8</v>
      </c>
      <c r="BC22" s="95" t="s">
        <v>824</v>
      </c>
      <c r="BD22" s="13">
        <f t="shared" si="0"/>
        <v>69</v>
      </c>
      <c r="BE22" s="7">
        <f t="shared" si="1"/>
        <v>72.8</v>
      </c>
      <c r="BF22" s="7">
        <f t="shared" si="2"/>
        <v>1.6</v>
      </c>
      <c r="BG22" s="7">
        <f t="shared" si="3"/>
        <v>4.4000000000000004</v>
      </c>
      <c r="BH22" s="7">
        <f t="shared" si="4"/>
        <v>1.2</v>
      </c>
      <c r="BI22" s="7">
        <f t="shared" si="5"/>
        <v>3.6</v>
      </c>
      <c r="BJ22" s="99">
        <f t="shared" si="6"/>
        <v>152.6</v>
      </c>
      <c r="BK22" s="81">
        <f t="shared" si="7"/>
        <v>0.45216251638269989</v>
      </c>
      <c r="BL22" s="73">
        <f t="shared" si="8"/>
        <v>0.47706422018348627</v>
      </c>
      <c r="BM22" s="79">
        <f t="shared" si="9"/>
        <v>7.0773263433813904E-2</v>
      </c>
    </row>
    <row r="23" spans="1:65" x14ac:dyDescent="0.2">
      <c r="A23">
        <v>116</v>
      </c>
      <c r="B23" t="s">
        <v>108</v>
      </c>
      <c r="C23">
        <v>64.5</v>
      </c>
      <c r="D23">
        <v>61</v>
      </c>
      <c r="E23">
        <v>66</v>
      </c>
      <c r="F23">
        <v>61.5</v>
      </c>
      <c r="G23">
        <v>67.5</v>
      </c>
      <c r="H23">
        <v>72.3</v>
      </c>
      <c r="J23">
        <v>129</v>
      </c>
      <c r="K23" t="s">
        <v>108</v>
      </c>
      <c r="L23">
        <v>0.5</v>
      </c>
      <c r="M23">
        <v>0.7</v>
      </c>
      <c r="N23">
        <v>0</v>
      </c>
      <c r="O23">
        <v>0.5</v>
      </c>
      <c r="P23">
        <v>0.5</v>
      </c>
      <c r="Q23">
        <v>1.7</v>
      </c>
      <c r="S23">
        <v>31</v>
      </c>
      <c r="T23" t="s">
        <v>108</v>
      </c>
      <c r="U23">
        <v>6</v>
      </c>
      <c r="V23">
        <v>6.7</v>
      </c>
      <c r="W23">
        <v>8</v>
      </c>
      <c r="X23">
        <v>6</v>
      </c>
      <c r="Y23">
        <v>6</v>
      </c>
      <c r="Z23">
        <v>5</v>
      </c>
      <c r="AB23">
        <v>44</v>
      </c>
      <c r="AC23" t="s">
        <v>108</v>
      </c>
      <c r="AD23">
        <v>69.2</v>
      </c>
      <c r="AE23">
        <v>71.7</v>
      </c>
      <c r="AF23">
        <v>82</v>
      </c>
      <c r="AG23">
        <v>75</v>
      </c>
      <c r="AH23">
        <v>63.5</v>
      </c>
      <c r="AI23">
        <v>58.9</v>
      </c>
      <c r="AK23">
        <v>40</v>
      </c>
      <c r="AL23" t="s">
        <v>108</v>
      </c>
      <c r="AM23">
        <v>1.2</v>
      </c>
      <c r="AN23">
        <v>1.3</v>
      </c>
      <c r="AO23">
        <v>2</v>
      </c>
      <c r="AP23">
        <v>1.5</v>
      </c>
      <c r="AQ23">
        <v>1</v>
      </c>
      <c r="AR23">
        <v>1.2</v>
      </c>
      <c r="AT23">
        <v>62</v>
      </c>
      <c r="AU23" t="s">
        <v>108</v>
      </c>
      <c r="AV23">
        <v>4.8</v>
      </c>
      <c r="AW23">
        <v>4.7</v>
      </c>
      <c r="AX23">
        <v>5</v>
      </c>
      <c r="AY23">
        <v>6</v>
      </c>
      <c r="AZ23">
        <v>3.5</v>
      </c>
      <c r="BA23">
        <v>4.5</v>
      </c>
      <c r="BC23" s="95" t="s">
        <v>108</v>
      </c>
      <c r="BD23" s="13">
        <f t="shared" si="0"/>
        <v>64.5</v>
      </c>
      <c r="BE23" s="7">
        <f t="shared" si="1"/>
        <v>69.2</v>
      </c>
      <c r="BF23" s="7">
        <f t="shared" si="2"/>
        <v>0.5</v>
      </c>
      <c r="BG23" s="7">
        <f t="shared" si="3"/>
        <v>6</v>
      </c>
      <c r="BH23" s="7">
        <f t="shared" si="4"/>
        <v>1.2</v>
      </c>
      <c r="BI23" s="7">
        <f t="shared" si="5"/>
        <v>4.8</v>
      </c>
      <c r="BJ23" s="99">
        <f t="shared" si="6"/>
        <v>146.19999999999999</v>
      </c>
      <c r="BK23" s="81">
        <f t="shared" si="7"/>
        <v>0.44117647058823534</v>
      </c>
      <c r="BL23" s="73">
        <f t="shared" si="8"/>
        <v>0.47332421340629283</v>
      </c>
      <c r="BM23" s="79">
        <f t="shared" si="9"/>
        <v>8.5499316005471962E-2</v>
      </c>
    </row>
    <row r="24" spans="1:65" x14ac:dyDescent="0.2">
      <c r="A24">
        <v>41</v>
      </c>
      <c r="B24" t="s">
        <v>111</v>
      </c>
      <c r="C24">
        <v>74.400000000000006</v>
      </c>
      <c r="D24">
        <v>78</v>
      </c>
      <c r="E24">
        <v>73</v>
      </c>
      <c r="F24">
        <v>77</v>
      </c>
      <c r="G24">
        <v>70.5</v>
      </c>
      <c r="H24">
        <v>76</v>
      </c>
      <c r="J24">
        <v>99</v>
      </c>
      <c r="K24" t="s">
        <v>111</v>
      </c>
      <c r="L24">
        <v>1.2</v>
      </c>
      <c r="M24">
        <v>1</v>
      </c>
      <c r="N24">
        <v>2</v>
      </c>
      <c r="O24">
        <v>1.3</v>
      </c>
      <c r="P24">
        <v>1</v>
      </c>
      <c r="Q24">
        <v>1</v>
      </c>
      <c r="S24">
        <v>38</v>
      </c>
      <c r="T24" t="s">
        <v>111</v>
      </c>
      <c r="U24">
        <v>5.6</v>
      </c>
      <c r="V24">
        <v>5.3</v>
      </c>
      <c r="W24">
        <v>8</v>
      </c>
      <c r="X24">
        <v>5.7</v>
      </c>
      <c r="Y24">
        <v>5.5</v>
      </c>
      <c r="Z24">
        <v>4.8</v>
      </c>
      <c r="AB24">
        <v>51</v>
      </c>
      <c r="AC24" t="s">
        <v>111</v>
      </c>
      <c r="AD24">
        <v>70.400000000000006</v>
      </c>
      <c r="AE24">
        <v>71.7</v>
      </c>
      <c r="AF24">
        <v>91</v>
      </c>
      <c r="AG24">
        <v>72.3</v>
      </c>
      <c r="AH24">
        <v>67.5</v>
      </c>
      <c r="AI24">
        <v>68</v>
      </c>
      <c r="AK24">
        <v>16</v>
      </c>
      <c r="AL24" t="s">
        <v>111</v>
      </c>
      <c r="AM24">
        <v>1</v>
      </c>
      <c r="AN24">
        <v>1.7</v>
      </c>
      <c r="AO24">
        <v>3</v>
      </c>
      <c r="AP24">
        <v>1.7</v>
      </c>
      <c r="AQ24">
        <v>0</v>
      </c>
      <c r="AR24">
        <v>1.2</v>
      </c>
      <c r="AT24">
        <v>103</v>
      </c>
      <c r="AU24" t="s">
        <v>111</v>
      </c>
      <c r="AV24">
        <v>5.8</v>
      </c>
      <c r="AW24">
        <v>7</v>
      </c>
      <c r="AX24">
        <v>6</v>
      </c>
      <c r="AY24">
        <v>6</v>
      </c>
      <c r="AZ24">
        <v>5.5</v>
      </c>
      <c r="BA24">
        <v>6.4</v>
      </c>
      <c r="BC24" s="95" t="s">
        <v>111</v>
      </c>
      <c r="BD24" s="13">
        <f t="shared" si="0"/>
        <v>74.400000000000006</v>
      </c>
      <c r="BE24" s="7">
        <f t="shared" si="1"/>
        <v>70.400000000000006</v>
      </c>
      <c r="BF24" s="7">
        <f t="shared" si="2"/>
        <v>1.2</v>
      </c>
      <c r="BG24" s="7">
        <f t="shared" si="3"/>
        <v>5.6</v>
      </c>
      <c r="BH24" s="7">
        <f t="shared" si="4"/>
        <v>1</v>
      </c>
      <c r="BI24" s="7">
        <f t="shared" si="5"/>
        <v>5.8</v>
      </c>
      <c r="BJ24" s="99">
        <f t="shared" si="6"/>
        <v>158.4</v>
      </c>
      <c r="BK24" s="81">
        <f t="shared" si="7"/>
        <v>0.46969696969696972</v>
      </c>
      <c r="BL24" s="73">
        <f t="shared" si="8"/>
        <v>0.44444444444444448</v>
      </c>
      <c r="BM24" s="79">
        <f t="shared" si="9"/>
        <v>8.5858585858585856E-2</v>
      </c>
    </row>
    <row r="25" spans="1:65" x14ac:dyDescent="0.2">
      <c r="A25">
        <v>86</v>
      </c>
      <c r="B25" t="s">
        <v>115</v>
      </c>
      <c r="C25">
        <v>69.400000000000006</v>
      </c>
      <c r="D25">
        <v>66</v>
      </c>
      <c r="E25">
        <v>62</v>
      </c>
      <c r="F25">
        <v>71.3</v>
      </c>
      <c r="G25">
        <v>66.5</v>
      </c>
      <c r="H25">
        <v>73</v>
      </c>
      <c r="J25">
        <v>55</v>
      </c>
      <c r="K25" t="s">
        <v>115</v>
      </c>
      <c r="L25">
        <v>1.6</v>
      </c>
      <c r="M25">
        <v>1.7</v>
      </c>
      <c r="N25">
        <v>1</v>
      </c>
      <c r="O25">
        <v>1.3</v>
      </c>
      <c r="P25">
        <v>2</v>
      </c>
      <c r="Q25">
        <v>1.1000000000000001</v>
      </c>
      <c r="S25">
        <v>108</v>
      </c>
      <c r="T25" t="s">
        <v>115</v>
      </c>
      <c r="U25">
        <v>4</v>
      </c>
      <c r="V25">
        <v>4.3</v>
      </c>
      <c r="W25">
        <v>5</v>
      </c>
      <c r="X25">
        <v>3</v>
      </c>
      <c r="Y25">
        <v>5.5</v>
      </c>
      <c r="Z25">
        <v>4.5999999999999996</v>
      </c>
      <c r="AB25">
        <v>38</v>
      </c>
      <c r="AC25" t="s">
        <v>115</v>
      </c>
      <c r="AD25">
        <v>68.400000000000006</v>
      </c>
      <c r="AE25">
        <v>68.3</v>
      </c>
      <c r="AF25">
        <v>66</v>
      </c>
      <c r="AG25">
        <v>65.7</v>
      </c>
      <c r="AH25">
        <v>72.5</v>
      </c>
      <c r="AI25">
        <v>72.099999999999994</v>
      </c>
      <c r="AK25">
        <v>11</v>
      </c>
      <c r="AL25" t="s">
        <v>115</v>
      </c>
      <c r="AM25">
        <v>0.8</v>
      </c>
      <c r="AN25">
        <v>1</v>
      </c>
      <c r="AO25">
        <v>0</v>
      </c>
      <c r="AP25">
        <v>0.7</v>
      </c>
      <c r="AQ25">
        <v>1</v>
      </c>
      <c r="AR25">
        <v>1.2</v>
      </c>
      <c r="AT25">
        <v>127</v>
      </c>
      <c r="AU25" t="s">
        <v>115</v>
      </c>
      <c r="AV25">
        <v>7.6</v>
      </c>
      <c r="AW25">
        <v>8</v>
      </c>
      <c r="AX25">
        <v>7</v>
      </c>
      <c r="AY25">
        <v>7.3</v>
      </c>
      <c r="AZ25">
        <v>8</v>
      </c>
      <c r="BA25">
        <v>7.6</v>
      </c>
      <c r="BC25" s="95" t="s">
        <v>115</v>
      </c>
      <c r="BD25" s="13">
        <f t="shared" si="0"/>
        <v>69.400000000000006</v>
      </c>
      <c r="BE25" s="7">
        <f t="shared" si="1"/>
        <v>68.400000000000006</v>
      </c>
      <c r="BF25" s="7">
        <f t="shared" si="2"/>
        <v>1.6</v>
      </c>
      <c r="BG25" s="7">
        <f t="shared" si="3"/>
        <v>4</v>
      </c>
      <c r="BH25" s="7">
        <f t="shared" si="4"/>
        <v>0.8</v>
      </c>
      <c r="BI25" s="7">
        <f t="shared" si="5"/>
        <v>7.6</v>
      </c>
      <c r="BJ25" s="99">
        <f t="shared" si="6"/>
        <v>151.80000000000001</v>
      </c>
      <c r="BK25" s="81">
        <f t="shared" si="7"/>
        <v>0.45718050065876153</v>
      </c>
      <c r="BL25" s="73">
        <f t="shared" si="8"/>
        <v>0.45059288537549408</v>
      </c>
      <c r="BM25" s="79">
        <f t="shared" si="9"/>
        <v>9.22266139657444E-2</v>
      </c>
    </row>
    <row r="26" spans="1:65" x14ac:dyDescent="0.2">
      <c r="A26">
        <v>75</v>
      </c>
      <c r="B26" t="s">
        <v>822</v>
      </c>
      <c r="C26">
        <v>70.5</v>
      </c>
      <c r="D26">
        <v>69.3</v>
      </c>
      <c r="E26">
        <v>68</v>
      </c>
      <c r="F26">
        <v>74</v>
      </c>
      <c r="G26">
        <v>69.3</v>
      </c>
      <c r="H26">
        <v>68.3</v>
      </c>
      <c r="J26">
        <v>47</v>
      </c>
      <c r="K26" t="s">
        <v>822</v>
      </c>
      <c r="L26">
        <v>1.8</v>
      </c>
      <c r="M26">
        <v>1</v>
      </c>
      <c r="N26">
        <v>1</v>
      </c>
      <c r="O26">
        <v>4</v>
      </c>
      <c r="P26">
        <v>1</v>
      </c>
      <c r="Q26">
        <v>1.4</v>
      </c>
      <c r="S26">
        <v>120</v>
      </c>
      <c r="T26" t="s">
        <v>822</v>
      </c>
      <c r="U26">
        <v>3</v>
      </c>
      <c r="V26">
        <v>3.7</v>
      </c>
      <c r="W26">
        <v>5</v>
      </c>
      <c r="X26">
        <v>1</v>
      </c>
      <c r="Y26">
        <v>3.7</v>
      </c>
      <c r="Z26">
        <v>4.3</v>
      </c>
      <c r="AB26">
        <v>11</v>
      </c>
      <c r="AC26" t="s">
        <v>822</v>
      </c>
      <c r="AD26">
        <v>64</v>
      </c>
      <c r="AE26">
        <v>66</v>
      </c>
      <c r="AF26">
        <v>65</v>
      </c>
      <c r="AG26">
        <v>58</v>
      </c>
      <c r="AH26">
        <v>66</v>
      </c>
      <c r="AI26">
        <v>63.1</v>
      </c>
      <c r="AK26">
        <v>10</v>
      </c>
      <c r="AL26" t="s">
        <v>822</v>
      </c>
      <c r="AM26">
        <v>0.8</v>
      </c>
      <c r="AN26">
        <v>0.7</v>
      </c>
      <c r="AO26">
        <v>0</v>
      </c>
      <c r="AP26">
        <v>1</v>
      </c>
      <c r="AQ26">
        <v>0.7</v>
      </c>
      <c r="AR26">
        <v>1.4</v>
      </c>
      <c r="AT26">
        <v>8</v>
      </c>
      <c r="AU26" t="s">
        <v>822</v>
      </c>
      <c r="AV26">
        <v>3</v>
      </c>
      <c r="AW26">
        <v>3</v>
      </c>
      <c r="AX26">
        <v>3</v>
      </c>
      <c r="AY26">
        <v>3</v>
      </c>
      <c r="AZ26">
        <v>3</v>
      </c>
      <c r="BA26">
        <v>2.8</v>
      </c>
      <c r="BC26" s="95" t="s">
        <v>822</v>
      </c>
      <c r="BD26" s="13">
        <f t="shared" si="0"/>
        <v>70.5</v>
      </c>
      <c r="BE26" s="7">
        <f t="shared" si="1"/>
        <v>64</v>
      </c>
      <c r="BF26" s="7">
        <f t="shared" si="2"/>
        <v>1.8</v>
      </c>
      <c r="BG26" s="7">
        <f t="shared" si="3"/>
        <v>3</v>
      </c>
      <c r="BH26" s="7">
        <f t="shared" si="4"/>
        <v>0.8</v>
      </c>
      <c r="BI26" s="7">
        <f t="shared" si="5"/>
        <v>3</v>
      </c>
      <c r="BJ26" s="99">
        <f t="shared" si="6"/>
        <v>143.10000000000002</v>
      </c>
      <c r="BK26" s="81">
        <f t="shared" si="7"/>
        <v>0.49266247379454919</v>
      </c>
      <c r="BL26" s="73">
        <f t="shared" si="8"/>
        <v>0.44723969252271134</v>
      </c>
      <c r="BM26" s="79">
        <f t="shared" si="9"/>
        <v>6.0097833682739334E-2</v>
      </c>
    </row>
    <row r="27" spans="1:65" x14ac:dyDescent="0.2">
      <c r="A27">
        <v>45</v>
      </c>
      <c r="B27" t="s">
        <v>22</v>
      </c>
      <c r="C27">
        <v>73.8</v>
      </c>
      <c r="D27">
        <v>76</v>
      </c>
      <c r="E27">
        <v>81</v>
      </c>
      <c r="F27">
        <v>79.7</v>
      </c>
      <c r="G27">
        <v>65</v>
      </c>
      <c r="H27">
        <v>75.3</v>
      </c>
      <c r="J27">
        <v>36</v>
      </c>
      <c r="K27" t="s">
        <v>22</v>
      </c>
      <c r="L27">
        <v>1.8</v>
      </c>
      <c r="M27">
        <v>2</v>
      </c>
      <c r="N27">
        <v>3</v>
      </c>
      <c r="O27">
        <v>2</v>
      </c>
      <c r="P27">
        <v>1.5</v>
      </c>
      <c r="Q27">
        <v>1.4</v>
      </c>
      <c r="S27">
        <v>79</v>
      </c>
      <c r="T27" t="s">
        <v>22</v>
      </c>
      <c r="U27">
        <v>4.4000000000000004</v>
      </c>
      <c r="V27">
        <v>4</v>
      </c>
      <c r="W27">
        <v>5</v>
      </c>
      <c r="X27">
        <v>5</v>
      </c>
      <c r="Y27">
        <v>3.5</v>
      </c>
      <c r="Z27">
        <v>5.4</v>
      </c>
      <c r="AB27">
        <v>59</v>
      </c>
      <c r="AC27" t="s">
        <v>22</v>
      </c>
      <c r="AD27">
        <v>71.400000000000006</v>
      </c>
      <c r="AE27">
        <v>66.3</v>
      </c>
      <c r="AF27">
        <v>67</v>
      </c>
      <c r="AG27">
        <v>69.7</v>
      </c>
      <c r="AH27">
        <v>74</v>
      </c>
      <c r="AI27">
        <v>74.8</v>
      </c>
      <c r="AK27">
        <v>35</v>
      </c>
      <c r="AL27" t="s">
        <v>22</v>
      </c>
      <c r="AM27">
        <v>1.2</v>
      </c>
      <c r="AN27">
        <v>1</v>
      </c>
      <c r="AO27">
        <v>0</v>
      </c>
      <c r="AP27">
        <v>1</v>
      </c>
      <c r="AQ27">
        <v>1.5</v>
      </c>
      <c r="AR27">
        <v>2</v>
      </c>
      <c r="AT27">
        <v>7</v>
      </c>
      <c r="AU27" t="s">
        <v>22</v>
      </c>
      <c r="AV27">
        <v>3</v>
      </c>
      <c r="AW27">
        <v>3</v>
      </c>
      <c r="AX27">
        <v>5</v>
      </c>
      <c r="AY27">
        <v>4</v>
      </c>
      <c r="AZ27">
        <v>1.5</v>
      </c>
      <c r="BA27">
        <v>5.5</v>
      </c>
      <c r="BC27" s="95" t="s">
        <v>22</v>
      </c>
      <c r="BD27" s="13">
        <f t="shared" si="0"/>
        <v>73.8</v>
      </c>
      <c r="BE27" s="7">
        <f t="shared" si="1"/>
        <v>71.400000000000006</v>
      </c>
      <c r="BF27" s="7">
        <f t="shared" si="2"/>
        <v>1.8</v>
      </c>
      <c r="BG27" s="7">
        <f t="shared" si="3"/>
        <v>4.4000000000000004</v>
      </c>
      <c r="BH27" s="7">
        <f t="shared" si="4"/>
        <v>1.2</v>
      </c>
      <c r="BI27" s="7">
        <f t="shared" si="5"/>
        <v>3</v>
      </c>
      <c r="BJ27" s="99">
        <f t="shared" si="6"/>
        <v>155.6</v>
      </c>
      <c r="BK27" s="81">
        <f t="shared" si="7"/>
        <v>0.47429305912596403</v>
      </c>
      <c r="BL27" s="73">
        <f t="shared" si="8"/>
        <v>0.45886889460154245</v>
      </c>
      <c r="BM27" s="79">
        <f t="shared" si="9"/>
        <v>6.6838046272493581E-2</v>
      </c>
    </row>
    <row r="28" spans="1:65" x14ac:dyDescent="0.2">
      <c r="A28">
        <v>42</v>
      </c>
      <c r="B28" t="s">
        <v>809</v>
      </c>
      <c r="C28">
        <v>74.400000000000006</v>
      </c>
      <c r="D28">
        <v>72.7</v>
      </c>
      <c r="E28">
        <v>61</v>
      </c>
      <c r="F28">
        <v>76</v>
      </c>
      <c r="G28">
        <v>73.3</v>
      </c>
      <c r="H28">
        <v>76.8</v>
      </c>
      <c r="J28">
        <v>18</v>
      </c>
      <c r="K28" t="s">
        <v>809</v>
      </c>
      <c r="L28">
        <v>2</v>
      </c>
      <c r="M28">
        <v>2</v>
      </c>
      <c r="N28">
        <v>1</v>
      </c>
      <c r="O28">
        <v>2</v>
      </c>
      <c r="P28">
        <v>2</v>
      </c>
      <c r="Q28">
        <v>1.6</v>
      </c>
      <c r="S28">
        <v>59</v>
      </c>
      <c r="T28" t="s">
        <v>809</v>
      </c>
      <c r="U28">
        <v>4.8</v>
      </c>
      <c r="V28">
        <v>5.7</v>
      </c>
      <c r="W28">
        <v>5</v>
      </c>
      <c r="X28">
        <v>4.5</v>
      </c>
      <c r="Y28">
        <v>5</v>
      </c>
      <c r="Z28">
        <v>5.5</v>
      </c>
      <c r="AB28">
        <v>46</v>
      </c>
      <c r="AC28" t="s">
        <v>809</v>
      </c>
      <c r="AD28">
        <v>69.400000000000006</v>
      </c>
      <c r="AE28">
        <v>72</v>
      </c>
      <c r="AF28">
        <v>67</v>
      </c>
      <c r="AG28">
        <v>64</v>
      </c>
      <c r="AH28">
        <v>73</v>
      </c>
      <c r="AI28">
        <v>67.3</v>
      </c>
      <c r="AK28">
        <v>78</v>
      </c>
      <c r="AL28" t="s">
        <v>809</v>
      </c>
      <c r="AM28">
        <v>1.6</v>
      </c>
      <c r="AN28">
        <v>1.7</v>
      </c>
      <c r="AO28">
        <v>1</v>
      </c>
      <c r="AP28">
        <v>1.5</v>
      </c>
      <c r="AQ28">
        <v>1.7</v>
      </c>
      <c r="AR28">
        <v>1.6</v>
      </c>
      <c r="AT28">
        <v>95</v>
      </c>
      <c r="AU28" t="s">
        <v>809</v>
      </c>
      <c r="AV28">
        <v>5.6</v>
      </c>
      <c r="AW28">
        <v>6.7</v>
      </c>
      <c r="AX28">
        <v>8</v>
      </c>
      <c r="AY28">
        <v>7</v>
      </c>
      <c r="AZ28">
        <v>4.7</v>
      </c>
      <c r="BA28">
        <v>4.2</v>
      </c>
      <c r="BC28" s="95" t="s">
        <v>809</v>
      </c>
      <c r="BD28" s="13">
        <f t="shared" si="0"/>
        <v>74.400000000000006</v>
      </c>
      <c r="BE28" s="7">
        <f t="shared" si="1"/>
        <v>69.400000000000006</v>
      </c>
      <c r="BF28" s="7">
        <f t="shared" si="2"/>
        <v>2</v>
      </c>
      <c r="BG28" s="7">
        <f t="shared" si="3"/>
        <v>4.8</v>
      </c>
      <c r="BH28" s="7">
        <f t="shared" si="4"/>
        <v>1.6</v>
      </c>
      <c r="BI28" s="7">
        <f t="shared" si="5"/>
        <v>5.6</v>
      </c>
      <c r="BJ28" s="99">
        <f t="shared" si="6"/>
        <v>157.80000000000001</v>
      </c>
      <c r="BK28" s="81">
        <f t="shared" si="7"/>
        <v>0.47148288973384028</v>
      </c>
      <c r="BL28" s="73">
        <f t="shared" si="8"/>
        <v>0.43979721166032953</v>
      </c>
      <c r="BM28" s="79">
        <f t="shared" si="9"/>
        <v>8.8719898605830155E-2</v>
      </c>
    </row>
    <row r="29" spans="1:65" x14ac:dyDescent="0.2">
      <c r="A29">
        <v>103</v>
      </c>
      <c r="B29" t="s">
        <v>411</v>
      </c>
      <c r="C29">
        <v>67</v>
      </c>
      <c r="D29">
        <v>67.7</v>
      </c>
      <c r="E29">
        <v>71</v>
      </c>
      <c r="F29">
        <v>68</v>
      </c>
      <c r="G29">
        <v>66</v>
      </c>
      <c r="H29">
        <v>72.3</v>
      </c>
      <c r="J29">
        <v>41</v>
      </c>
      <c r="K29" t="s">
        <v>411</v>
      </c>
      <c r="L29">
        <v>1.8</v>
      </c>
      <c r="M29">
        <v>1.3</v>
      </c>
      <c r="N29">
        <v>0</v>
      </c>
      <c r="O29">
        <v>1.5</v>
      </c>
      <c r="P29">
        <v>2</v>
      </c>
      <c r="Q29">
        <v>0.8</v>
      </c>
      <c r="S29">
        <v>45</v>
      </c>
      <c r="T29" t="s">
        <v>411</v>
      </c>
      <c r="U29">
        <v>5.5</v>
      </c>
      <c r="V29">
        <v>5.7</v>
      </c>
      <c r="W29">
        <v>6</v>
      </c>
      <c r="X29">
        <v>5.5</v>
      </c>
      <c r="Y29">
        <v>5.5</v>
      </c>
      <c r="Z29">
        <v>5.5</v>
      </c>
      <c r="AB29">
        <v>40</v>
      </c>
      <c r="AC29" t="s">
        <v>411</v>
      </c>
      <c r="AD29">
        <v>69</v>
      </c>
      <c r="AE29">
        <v>68.7</v>
      </c>
      <c r="AF29">
        <v>68</v>
      </c>
      <c r="AG29">
        <v>69</v>
      </c>
      <c r="AH29">
        <v>69</v>
      </c>
      <c r="AI29">
        <v>71.5</v>
      </c>
      <c r="AK29">
        <v>2</v>
      </c>
      <c r="AL29" t="s">
        <v>411</v>
      </c>
      <c r="AM29">
        <v>0.5</v>
      </c>
      <c r="AN29">
        <v>0.3</v>
      </c>
      <c r="AO29">
        <v>0</v>
      </c>
      <c r="AP29">
        <v>0.5</v>
      </c>
      <c r="AQ29">
        <v>0.5</v>
      </c>
      <c r="AR29">
        <v>1.5</v>
      </c>
      <c r="AT29">
        <v>4</v>
      </c>
      <c r="AU29" t="s">
        <v>411</v>
      </c>
      <c r="AV29">
        <v>2.5</v>
      </c>
      <c r="AW29">
        <v>2</v>
      </c>
      <c r="AX29">
        <v>3</v>
      </c>
      <c r="AY29">
        <v>3.5</v>
      </c>
      <c r="AZ29">
        <v>1.5</v>
      </c>
      <c r="BA29">
        <v>2.2999999999999998</v>
      </c>
      <c r="BC29" s="95" t="s">
        <v>411</v>
      </c>
      <c r="BD29" s="13">
        <f t="shared" si="0"/>
        <v>67</v>
      </c>
      <c r="BE29" s="7">
        <f t="shared" si="1"/>
        <v>69</v>
      </c>
      <c r="BF29" s="7">
        <f t="shared" si="2"/>
        <v>1.8</v>
      </c>
      <c r="BG29" s="7">
        <f t="shared" si="3"/>
        <v>5.5</v>
      </c>
      <c r="BH29" s="7">
        <f t="shared" si="4"/>
        <v>0.5</v>
      </c>
      <c r="BI29" s="7">
        <f t="shared" si="5"/>
        <v>2.5</v>
      </c>
      <c r="BJ29" s="99">
        <f t="shared" si="6"/>
        <v>146.30000000000001</v>
      </c>
      <c r="BK29" s="81">
        <f t="shared" si="7"/>
        <v>0.45796308954203685</v>
      </c>
      <c r="BL29" s="73">
        <f t="shared" si="8"/>
        <v>0.47163362952836635</v>
      </c>
      <c r="BM29" s="79">
        <f t="shared" si="9"/>
        <v>7.0403280929596718E-2</v>
      </c>
    </row>
    <row r="30" spans="1:65" x14ac:dyDescent="0.2">
      <c r="A30">
        <v>60</v>
      </c>
      <c r="B30" t="s">
        <v>129</v>
      </c>
      <c r="C30">
        <v>72</v>
      </c>
      <c r="D30">
        <v>77.7</v>
      </c>
      <c r="E30">
        <v>92</v>
      </c>
      <c r="F30">
        <v>92</v>
      </c>
      <c r="G30">
        <v>65.3</v>
      </c>
      <c r="H30">
        <v>74</v>
      </c>
      <c r="J30">
        <v>91</v>
      </c>
      <c r="K30" t="s">
        <v>129</v>
      </c>
      <c r="L30">
        <v>1.2</v>
      </c>
      <c r="M30">
        <v>1.3</v>
      </c>
      <c r="N30">
        <v>1</v>
      </c>
      <c r="O30">
        <v>1</v>
      </c>
      <c r="P30">
        <v>1.3</v>
      </c>
      <c r="Q30">
        <v>1.1000000000000001</v>
      </c>
      <c r="S30">
        <v>61</v>
      </c>
      <c r="T30" t="s">
        <v>129</v>
      </c>
      <c r="U30">
        <v>4.8</v>
      </c>
      <c r="V30">
        <v>4.3</v>
      </c>
      <c r="W30">
        <v>7</v>
      </c>
      <c r="X30">
        <v>7</v>
      </c>
      <c r="Y30">
        <v>4</v>
      </c>
      <c r="Z30">
        <v>5.8</v>
      </c>
      <c r="AB30">
        <v>75</v>
      </c>
      <c r="AC30" t="s">
        <v>129</v>
      </c>
      <c r="AD30">
        <v>73.5</v>
      </c>
      <c r="AE30">
        <v>71.7</v>
      </c>
      <c r="AF30">
        <v>86</v>
      </c>
      <c r="AG30">
        <v>86</v>
      </c>
      <c r="AH30">
        <v>69.3</v>
      </c>
      <c r="AI30">
        <v>77.5</v>
      </c>
      <c r="AK30">
        <v>63</v>
      </c>
      <c r="AL30" t="s">
        <v>129</v>
      </c>
      <c r="AM30">
        <v>1.5</v>
      </c>
      <c r="AN30">
        <v>1.3</v>
      </c>
      <c r="AO30">
        <v>2</v>
      </c>
      <c r="AP30">
        <v>2</v>
      </c>
      <c r="AQ30">
        <v>1.3</v>
      </c>
      <c r="AR30">
        <v>1.2</v>
      </c>
      <c r="AT30">
        <v>46</v>
      </c>
      <c r="AU30" t="s">
        <v>129</v>
      </c>
      <c r="AV30">
        <v>4.2</v>
      </c>
      <c r="AW30">
        <v>5</v>
      </c>
      <c r="AX30">
        <v>8</v>
      </c>
      <c r="AY30">
        <v>8</v>
      </c>
      <c r="AZ30">
        <v>3</v>
      </c>
      <c r="BA30">
        <v>5.3</v>
      </c>
      <c r="BC30" s="95" t="s">
        <v>129</v>
      </c>
      <c r="BD30" s="13">
        <f t="shared" si="0"/>
        <v>72</v>
      </c>
      <c r="BE30" s="7">
        <f t="shared" si="1"/>
        <v>73.5</v>
      </c>
      <c r="BF30" s="7">
        <f t="shared" si="2"/>
        <v>1.2</v>
      </c>
      <c r="BG30" s="7">
        <f t="shared" si="3"/>
        <v>4.8</v>
      </c>
      <c r="BH30" s="7">
        <f t="shared" si="4"/>
        <v>1.5</v>
      </c>
      <c r="BI30" s="7">
        <f t="shared" si="5"/>
        <v>4.2</v>
      </c>
      <c r="BJ30" s="99">
        <f t="shared" si="6"/>
        <v>157.19999999999999</v>
      </c>
      <c r="BK30" s="81">
        <f t="shared" si="7"/>
        <v>0.45801526717557256</v>
      </c>
      <c r="BL30" s="73">
        <f t="shared" si="8"/>
        <v>0.46755725190839698</v>
      </c>
      <c r="BM30" s="79">
        <f t="shared" si="9"/>
        <v>7.4427480916030533E-2</v>
      </c>
    </row>
    <row r="31" spans="1:65" x14ac:dyDescent="0.2">
      <c r="A31">
        <v>109</v>
      </c>
      <c r="B31" t="s">
        <v>832</v>
      </c>
      <c r="C31">
        <v>65.8</v>
      </c>
      <c r="D31">
        <v>62</v>
      </c>
      <c r="E31">
        <v>76</v>
      </c>
      <c r="F31">
        <v>76</v>
      </c>
      <c r="G31">
        <v>62.3</v>
      </c>
      <c r="H31">
        <v>84</v>
      </c>
      <c r="J31">
        <v>26</v>
      </c>
      <c r="K31" t="s">
        <v>832</v>
      </c>
      <c r="L31">
        <v>2</v>
      </c>
      <c r="M31">
        <v>1.7</v>
      </c>
      <c r="N31">
        <v>2</v>
      </c>
      <c r="O31">
        <v>2</v>
      </c>
      <c r="P31">
        <v>2</v>
      </c>
      <c r="Q31">
        <v>1.6</v>
      </c>
      <c r="S31">
        <v>14</v>
      </c>
      <c r="T31" t="s">
        <v>832</v>
      </c>
      <c r="U31">
        <v>6.5</v>
      </c>
      <c r="V31">
        <v>6.3</v>
      </c>
      <c r="W31">
        <v>6</v>
      </c>
      <c r="X31">
        <v>6</v>
      </c>
      <c r="Y31">
        <v>6.7</v>
      </c>
      <c r="Z31">
        <v>7.2</v>
      </c>
      <c r="AB31">
        <v>116</v>
      </c>
      <c r="AC31" t="s">
        <v>832</v>
      </c>
      <c r="AD31">
        <v>77.8</v>
      </c>
      <c r="AE31">
        <v>80.3</v>
      </c>
      <c r="AF31">
        <v>91</v>
      </c>
      <c r="AG31">
        <v>91</v>
      </c>
      <c r="AH31">
        <v>73.3</v>
      </c>
      <c r="AI31">
        <v>75.599999999999994</v>
      </c>
      <c r="AK31">
        <v>75</v>
      </c>
      <c r="AL31" t="s">
        <v>832</v>
      </c>
      <c r="AM31">
        <v>1.5</v>
      </c>
      <c r="AN31">
        <v>1.3</v>
      </c>
      <c r="AO31">
        <v>2</v>
      </c>
      <c r="AP31">
        <v>2</v>
      </c>
      <c r="AQ31">
        <v>1.3</v>
      </c>
      <c r="AR31">
        <v>1.3</v>
      </c>
      <c r="AT31">
        <v>66</v>
      </c>
      <c r="AU31" t="s">
        <v>832</v>
      </c>
      <c r="AV31">
        <v>4.8</v>
      </c>
      <c r="AW31">
        <v>4.7</v>
      </c>
      <c r="AX31">
        <v>4</v>
      </c>
      <c r="AY31">
        <v>4</v>
      </c>
      <c r="AZ31">
        <v>5</v>
      </c>
      <c r="BA31">
        <v>6.5</v>
      </c>
      <c r="BC31" s="95" t="s">
        <v>832</v>
      </c>
      <c r="BD31" s="13">
        <f t="shared" si="0"/>
        <v>65.8</v>
      </c>
      <c r="BE31" s="7">
        <f t="shared" si="1"/>
        <v>77.8</v>
      </c>
      <c r="BF31" s="7">
        <f t="shared" si="2"/>
        <v>2</v>
      </c>
      <c r="BG31" s="7">
        <f t="shared" si="3"/>
        <v>6.5</v>
      </c>
      <c r="BH31" s="7">
        <f t="shared" si="4"/>
        <v>1.5</v>
      </c>
      <c r="BI31" s="7">
        <f t="shared" si="5"/>
        <v>4.8</v>
      </c>
      <c r="BJ31" s="99">
        <f t="shared" si="6"/>
        <v>158.4</v>
      </c>
      <c r="BK31" s="81">
        <f t="shared" si="7"/>
        <v>0.41540404040404039</v>
      </c>
      <c r="BL31" s="73">
        <f t="shared" si="8"/>
        <v>0.49116161616161613</v>
      </c>
      <c r="BM31" s="79">
        <f t="shared" si="9"/>
        <v>9.3434343434343439E-2</v>
      </c>
    </row>
    <row r="32" spans="1:65" x14ac:dyDescent="0.2">
      <c r="A32">
        <v>73</v>
      </c>
      <c r="B32" t="s">
        <v>821</v>
      </c>
      <c r="C32">
        <v>70.8</v>
      </c>
      <c r="D32">
        <v>75</v>
      </c>
      <c r="E32">
        <v>71</v>
      </c>
      <c r="F32" t="s">
        <v>544</v>
      </c>
      <c r="G32">
        <v>70.8</v>
      </c>
      <c r="H32">
        <v>70.400000000000006</v>
      </c>
      <c r="J32">
        <v>90</v>
      </c>
      <c r="K32" t="s">
        <v>821</v>
      </c>
      <c r="L32">
        <v>1.2</v>
      </c>
      <c r="M32">
        <v>1.3</v>
      </c>
      <c r="N32">
        <v>1</v>
      </c>
      <c r="O32" t="s">
        <v>544</v>
      </c>
      <c r="P32">
        <v>1.2</v>
      </c>
      <c r="Q32">
        <v>1.6</v>
      </c>
      <c r="S32">
        <v>64</v>
      </c>
      <c r="T32" t="s">
        <v>821</v>
      </c>
      <c r="U32">
        <v>4.8</v>
      </c>
      <c r="V32">
        <v>5.3</v>
      </c>
      <c r="W32">
        <v>4</v>
      </c>
      <c r="X32" t="s">
        <v>544</v>
      </c>
      <c r="Y32">
        <v>4.8</v>
      </c>
      <c r="Z32">
        <v>5.7</v>
      </c>
      <c r="AB32">
        <v>96</v>
      </c>
      <c r="AC32" t="s">
        <v>821</v>
      </c>
      <c r="AD32">
        <v>75.8</v>
      </c>
      <c r="AE32">
        <v>76.3</v>
      </c>
      <c r="AF32">
        <v>69</v>
      </c>
      <c r="AG32" t="s">
        <v>544</v>
      </c>
      <c r="AH32">
        <v>75.8</v>
      </c>
      <c r="AI32">
        <v>71.8</v>
      </c>
      <c r="AK32">
        <v>119</v>
      </c>
      <c r="AL32" t="s">
        <v>821</v>
      </c>
      <c r="AM32">
        <v>2.2000000000000002</v>
      </c>
      <c r="AN32">
        <v>1.7</v>
      </c>
      <c r="AO32">
        <v>2</v>
      </c>
      <c r="AP32" t="s">
        <v>544</v>
      </c>
      <c r="AQ32">
        <v>2.2000000000000002</v>
      </c>
      <c r="AR32">
        <v>1.8</v>
      </c>
      <c r="AT32">
        <v>12</v>
      </c>
      <c r="AU32" t="s">
        <v>821</v>
      </c>
      <c r="AV32">
        <v>3.2</v>
      </c>
      <c r="AW32">
        <v>4</v>
      </c>
      <c r="AX32">
        <v>2</v>
      </c>
      <c r="AY32" t="s">
        <v>544</v>
      </c>
      <c r="AZ32">
        <v>3.2</v>
      </c>
      <c r="BA32">
        <v>4.9000000000000004</v>
      </c>
      <c r="BC32" s="95" t="s">
        <v>821</v>
      </c>
      <c r="BD32" s="13">
        <f t="shared" si="0"/>
        <v>70.8</v>
      </c>
      <c r="BE32" s="7">
        <f t="shared" si="1"/>
        <v>75.8</v>
      </c>
      <c r="BF32" s="7">
        <f t="shared" si="2"/>
        <v>1.2</v>
      </c>
      <c r="BG32" s="7">
        <f t="shared" si="3"/>
        <v>4.8</v>
      </c>
      <c r="BH32" s="7">
        <f t="shared" si="4"/>
        <v>2.2000000000000002</v>
      </c>
      <c r="BI32" s="7">
        <f t="shared" si="5"/>
        <v>3.2</v>
      </c>
      <c r="BJ32" s="99">
        <f t="shared" si="6"/>
        <v>157.99999999999997</v>
      </c>
      <c r="BK32" s="81">
        <f t="shared" si="7"/>
        <v>0.44810126582278487</v>
      </c>
      <c r="BL32" s="73">
        <f t="shared" si="8"/>
        <v>0.47974683544303803</v>
      </c>
      <c r="BM32" s="79">
        <f t="shared" si="9"/>
        <v>7.2151898734177225E-2</v>
      </c>
    </row>
    <row r="33" spans="1:65" x14ac:dyDescent="0.2">
      <c r="A33">
        <v>2</v>
      </c>
      <c r="B33" t="s">
        <v>796</v>
      </c>
      <c r="C33">
        <v>84</v>
      </c>
      <c r="D33">
        <v>86.3</v>
      </c>
      <c r="E33">
        <v>82</v>
      </c>
      <c r="F33">
        <v>92</v>
      </c>
      <c r="G33">
        <v>81.3</v>
      </c>
      <c r="H33">
        <v>77.5</v>
      </c>
      <c r="J33">
        <v>48</v>
      </c>
      <c r="K33" t="s">
        <v>796</v>
      </c>
      <c r="L33">
        <v>1.8</v>
      </c>
      <c r="M33">
        <v>1.7</v>
      </c>
      <c r="N33">
        <v>2</v>
      </c>
      <c r="O33">
        <v>3</v>
      </c>
      <c r="P33">
        <v>1.3</v>
      </c>
      <c r="Q33">
        <v>1.5</v>
      </c>
      <c r="S33">
        <v>6</v>
      </c>
      <c r="T33" t="s">
        <v>796</v>
      </c>
      <c r="U33">
        <v>7.2</v>
      </c>
      <c r="V33">
        <v>6.7</v>
      </c>
      <c r="W33">
        <v>5</v>
      </c>
      <c r="X33">
        <v>9</v>
      </c>
      <c r="Y33">
        <v>6.7</v>
      </c>
      <c r="Z33">
        <v>4</v>
      </c>
      <c r="AB33">
        <v>62</v>
      </c>
      <c r="AC33" t="s">
        <v>796</v>
      </c>
      <c r="AD33">
        <v>72</v>
      </c>
      <c r="AE33">
        <v>70.7</v>
      </c>
      <c r="AF33">
        <v>66</v>
      </c>
      <c r="AG33">
        <v>68</v>
      </c>
      <c r="AH33">
        <v>73.3</v>
      </c>
      <c r="AI33">
        <v>75.099999999999994</v>
      </c>
      <c r="AK33">
        <v>24</v>
      </c>
      <c r="AL33" t="s">
        <v>796</v>
      </c>
      <c r="AM33">
        <v>1</v>
      </c>
      <c r="AN33">
        <v>1</v>
      </c>
      <c r="AO33">
        <v>0</v>
      </c>
      <c r="AP33">
        <v>1</v>
      </c>
      <c r="AQ33">
        <v>1</v>
      </c>
      <c r="AR33">
        <v>1.1000000000000001</v>
      </c>
      <c r="AT33">
        <v>86</v>
      </c>
      <c r="AU33" t="s">
        <v>796</v>
      </c>
      <c r="AV33">
        <v>5.2</v>
      </c>
      <c r="AW33">
        <v>5.7</v>
      </c>
      <c r="AX33">
        <v>8</v>
      </c>
      <c r="AY33">
        <v>5</v>
      </c>
      <c r="AZ33">
        <v>5.3</v>
      </c>
      <c r="BA33">
        <v>5</v>
      </c>
      <c r="BC33" s="95" t="s">
        <v>796</v>
      </c>
      <c r="BD33" s="13">
        <f t="shared" si="0"/>
        <v>84</v>
      </c>
      <c r="BE33" s="7">
        <f t="shared" si="1"/>
        <v>72</v>
      </c>
      <c r="BF33" s="7">
        <f t="shared" si="2"/>
        <v>1.8</v>
      </c>
      <c r="BG33" s="7">
        <f t="shared" si="3"/>
        <v>7.2</v>
      </c>
      <c r="BH33" s="7">
        <f t="shared" si="4"/>
        <v>1</v>
      </c>
      <c r="BI33" s="7">
        <f t="shared" si="5"/>
        <v>5.2</v>
      </c>
      <c r="BJ33" s="99">
        <f t="shared" si="6"/>
        <v>171.2</v>
      </c>
      <c r="BK33" s="81">
        <f t="shared" si="7"/>
        <v>0.49065420560747669</v>
      </c>
      <c r="BL33" s="73">
        <f t="shared" si="8"/>
        <v>0.42056074766355145</v>
      </c>
      <c r="BM33" s="79">
        <f t="shared" si="9"/>
        <v>8.8785046728971959E-2</v>
      </c>
    </row>
    <row r="34" spans="1:65" x14ac:dyDescent="0.2">
      <c r="A34">
        <v>111</v>
      </c>
      <c r="B34" t="s">
        <v>143</v>
      </c>
      <c r="C34">
        <v>65.2</v>
      </c>
      <c r="D34">
        <v>68.7</v>
      </c>
      <c r="E34">
        <v>76</v>
      </c>
      <c r="F34">
        <v>74.5</v>
      </c>
      <c r="G34">
        <v>56</v>
      </c>
      <c r="H34">
        <v>69.099999999999994</v>
      </c>
      <c r="J34">
        <v>76</v>
      </c>
      <c r="K34" t="s">
        <v>143</v>
      </c>
      <c r="L34">
        <v>1.5</v>
      </c>
      <c r="M34">
        <v>1.7</v>
      </c>
      <c r="N34">
        <v>1</v>
      </c>
      <c r="O34">
        <v>1.5</v>
      </c>
      <c r="P34">
        <v>1.5</v>
      </c>
      <c r="Q34">
        <v>1.5</v>
      </c>
      <c r="S34">
        <v>121</v>
      </c>
      <c r="T34" t="s">
        <v>143</v>
      </c>
      <c r="U34">
        <v>3</v>
      </c>
      <c r="V34">
        <v>3</v>
      </c>
      <c r="W34">
        <v>7</v>
      </c>
      <c r="X34">
        <v>4</v>
      </c>
      <c r="Y34">
        <v>2</v>
      </c>
      <c r="Z34">
        <v>4.5</v>
      </c>
      <c r="AB34">
        <v>39</v>
      </c>
      <c r="AC34" t="s">
        <v>143</v>
      </c>
      <c r="AD34">
        <v>68.8</v>
      </c>
      <c r="AE34">
        <v>66.3</v>
      </c>
      <c r="AF34">
        <v>63</v>
      </c>
      <c r="AG34">
        <v>61</v>
      </c>
      <c r="AH34">
        <v>76.5</v>
      </c>
      <c r="AI34">
        <v>70.400000000000006</v>
      </c>
      <c r="AK34">
        <v>84</v>
      </c>
      <c r="AL34" t="s">
        <v>143</v>
      </c>
      <c r="AM34">
        <v>1.8</v>
      </c>
      <c r="AN34">
        <v>1.3</v>
      </c>
      <c r="AO34">
        <v>2</v>
      </c>
      <c r="AP34">
        <v>1.5</v>
      </c>
      <c r="AQ34">
        <v>2</v>
      </c>
      <c r="AR34">
        <v>1.8</v>
      </c>
      <c r="AT34">
        <v>68</v>
      </c>
      <c r="AU34" t="s">
        <v>143</v>
      </c>
      <c r="AV34">
        <v>4.8</v>
      </c>
      <c r="AW34">
        <v>5</v>
      </c>
      <c r="AX34">
        <v>8</v>
      </c>
      <c r="AY34">
        <v>6.5</v>
      </c>
      <c r="AZ34">
        <v>3</v>
      </c>
      <c r="BA34">
        <v>5.2</v>
      </c>
      <c r="BC34" s="95" t="s">
        <v>143</v>
      </c>
      <c r="BD34" s="13">
        <f t="shared" si="0"/>
        <v>65.2</v>
      </c>
      <c r="BE34" s="7">
        <f t="shared" si="1"/>
        <v>68.8</v>
      </c>
      <c r="BF34" s="7">
        <f t="shared" si="2"/>
        <v>1.5</v>
      </c>
      <c r="BG34" s="7">
        <f t="shared" si="3"/>
        <v>3</v>
      </c>
      <c r="BH34" s="7">
        <f t="shared" si="4"/>
        <v>1.8</v>
      </c>
      <c r="BI34" s="7">
        <f t="shared" si="5"/>
        <v>4.8</v>
      </c>
      <c r="BJ34" s="99">
        <f t="shared" si="6"/>
        <v>145.10000000000002</v>
      </c>
      <c r="BK34" s="81">
        <f t="shared" si="7"/>
        <v>0.44934527911784972</v>
      </c>
      <c r="BL34" s="73">
        <f t="shared" si="8"/>
        <v>0.47415575465196408</v>
      </c>
      <c r="BM34" s="79">
        <f t="shared" si="9"/>
        <v>7.6498966230186066E-2</v>
      </c>
    </row>
    <row r="35" spans="1:65" x14ac:dyDescent="0.2">
      <c r="A35">
        <v>71</v>
      </c>
      <c r="B35" t="s">
        <v>819</v>
      </c>
      <c r="C35">
        <v>70.8</v>
      </c>
      <c r="D35">
        <v>73.7</v>
      </c>
      <c r="E35">
        <v>89</v>
      </c>
      <c r="F35">
        <v>77</v>
      </c>
      <c r="G35">
        <v>64.5</v>
      </c>
      <c r="H35">
        <v>68.2</v>
      </c>
      <c r="J35">
        <v>72</v>
      </c>
      <c r="K35" t="s">
        <v>819</v>
      </c>
      <c r="L35">
        <v>1.5</v>
      </c>
      <c r="M35">
        <v>2</v>
      </c>
      <c r="N35">
        <v>3</v>
      </c>
      <c r="O35">
        <v>2</v>
      </c>
      <c r="P35">
        <v>1</v>
      </c>
      <c r="Q35">
        <v>1.4</v>
      </c>
      <c r="S35">
        <v>68</v>
      </c>
      <c r="T35" t="s">
        <v>819</v>
      </c>
      <c r="U35">
        <v>4.8</v>
      </c>
      <c r="V35">
        <v>4.3</v>
      </c>
      <c r="W35">
        <v>3</v>
      </c>
      <c r="X35">
        <v>5</v>
      </c>
      <c r="Y35">
        <v>4.5</v>
      </c>
      <c r="Z35">
        <v>3.4</v>
      </c>
      <c r="AB35">
        <v>33</v>
      </c>
      <c r="AC35" t="s">
        <v>819</v>
      </c>
      <c r="AD35">
        <v>67.8</v>
      </c>
      <c r="AE35">
        <v>67.3</v>
      </c>
      <c r="AF35">
        <v>50</v>
      </c>
      <c r="AG35">
        <v>59</v>
      </c>
      <c r="AH35">
        <v>76.5</v>
      </c>
      <c r="AI35">
        <v>69.7</v>
      </c>
      <c r="AK35">
        <v>81</v>
      </c>
      <c r="AL35" t="s">
        <v>819</v>
      </c>
      <c r="AM35">
        <v>1.8</v>
      </c>
      <c r="AN35">
        <v>2.2999999999999998</v>
      </c>
      <c r="AO35">
        <v>0</v>
      </c>
      <c r="AP35">
        <v>1</v>
      </c>
      <c r="AQ35">
        <v>2.5</v>
      </c>
      <c r="AR35">
        <v>1.1000000000000001</v>
      </c>
      <c r="AT35">
        <v>78</v>
      </c>
      <c r="AU35" t="s">
        <v>819</v>
      </c>
      <c r="AV35">
        <v>5</v>
      </c>
      <c r="AW35">
        <v>5.3</v>
      </c>
      <c r="AX35">
        <v>9</v>
      </c>
      <c r="AY35">
        <v>7</v>
      </c>
      <c r="AZ35">
        <v>3</v>
      </c>
      <c r="BA35">
        <v>3.7</v>
      </c>
      <c r="BC35" s="95" t="s">
        <v>819</v>
      </c>
      <c r="BD35" s="13">
        <f t="shared" si="0"/>
        <v>70.8</v>
      </c>
      <c r="BE35" s="7">
        <f t="shared" si="1"/>
        <v>67.8</v>
      </c>
      <c r="BF35" s="7">
        <f t="shared" si="2"/>
        <v>1.5</v>
      </c>
      <c r="BG35" s="7">
        <f t="shared" si="3"/>
        <v>4.8</v>
      </c>
      <c r="BH35" s="7">
        <f t="shared" si="4"/>
        <v>1.8</v>
      </c>
      <c r="BI35" s="7">
        <f t="shared" si="5"/>
        <v>5</v>
      </c>
      <c r="BJ35" s="99">
        <f t="shared" si="6"/>
        <v>151.70000000000002</v>
      </c>
      <c r="BK35" s="81">
        <f t="shared" si="7"/>
        <v>0.4667106130520764</v>
      </c>
      <c r="BL35" s="73">
        <f t="shared" si="8"/>
        <v>0.44693473961766639</v>
      </c>
      <c r="BM35" s="79">
        <f t="shared" si="9"/>
        <v>8.6354647330257078E-2</v>
      </c>
    </row>
    <row r="36" spans="1:65" x14ac:dyDescent="0.2">
      <c r="A36">
        <v>25</v>
      </c>
      <c r="B36" t="s">
        <v>804</v>
      </c>
      <c r="C36">
        <v>76.8</v>
      </c>
      <c r="D36">
        <v>75.3</v>
      </c>
      <c r="E36">
        <v>80</v>
      </c>
      <c r="F36">
        <v>78.8</v>
      </c>
      <c r="G36">
        <v>69</v>
      </c>
      <c r="H36">
        <v>72.8</v>
      </c>
      <c r="J36">
        <v>58</v>
      </c>
      <c r="K36" t="s">
        <v>804</v>
      </c>
      <c r="L36">
        <v>1.6</v>
      </c>
      <c r="M36">
        <v>2</v>
      </c>
      <c r="N36">
        <v>2</v>
      </c>
      <c r="O36">
        <v>1.8</v>
      </c>
      <c r="P36">
        <v>1</v>
      </c>
      <c r="Q36">
        <v>1.4</v>
      </c>
      <c r="S36">
        <v>33</v>
      </c>
      <c r="T36" t="s">
        <v>804</v>
      </c>
      <c r="U36">
        <v>5.8</v>
      </c>
      <c r="V36">
        <v>5.7</v>
      </c>
      <c r="W36">
        <v>7</v>
      </c>
      <c r="X36">
        <v>5.8</v>
      </c>
      <c r="Y36">
        <v>6</v>
      </c>
      <c r="Z36">
        <v>6.8</v>
      </c>
      <c r="AB36">
        <v>128</v>
      </c>
      <c r="AC36" t="s">
        <v>804</v>
      </c>
      <c r="AD36">
        <v>86.2</v>
      </c>
      <c r="AE36">
        <v>79</v>
      </c>
      <c r="AF36">
        <v>82</v>
      </c>
      <c r="AG36">
        <v>89.2</v>
      </c>
      <c r="AH36">
        <v>74</v>
      </c>
      <c r="AI36">
        <v>81.8</v>
      </c>
      <c r="AK36">
        <v>109</v>
      </c>
      <c r="AL36" t="s">
        <v>804</v>
      </c>
      <c r="AM36">
        <v>2.2000000000000002</v>
      </c>
      <c r="AN36">
        <v>1.7</v>
      </c>
      <c r="AO36">
        <v>3</v>
      </c>
      <c r="AP36">
        <v>2.5</v>
      </c>
      <c r="AQ36">
        <v>1</v>
      </c>
      <c r="AR36">
        <v>1.7</v>
      </c>
      <c r="AT36">
        <v>84</v>
      </c>
      <c r="AU36" t="s">
        <v>804</v>
      </c>
      <c r="AV36">
        <v>5.2</v>
      </c>
      <c r="AW36">
        <v>5.3</v>
      </c>
      <c r="AX36">
        <v>6</v>
      </c>
      <c r="AY36">
        <v>5.5</v>
      </c>
      <c r="AZ36">
        <v>4</v>
      </c>
      <c r="BA36">
        <v>5.9</v>
      </c>
      <c r="BC36" s="95" t="s">
        <v>804</v>
      </c>
      <c r="BD36" s="13">
        <f t="shared" si="0"/>
        <v>76.8</v>
      </c>
      <c r="BE36" s="7">
        <f t="shared" si="1"/>
        <v>86.2</v>
      </c>
      <c r="BF36" s="7">
        <f t="shared" si="2"/>
        <v>1.6</v>
      </c>
      <c r="BG36" s="7">
        <f t="shared" si="3"/>
        <v>5.8</v>
      </c>
      <c r="BH36" s="7">
        <f t="shared" si="4"/>
        <v>2.2000000000000002</v>
      </c>
      <c r="BI36" s="7">
        <f t="shared" si="5"/>
        <v>5.2</v>
      </c>
      <c r="BJ36" s="99">
        <f t="shared" si="6"/>
        <v>177.79999999999998</v>
      </c>
      <c r="BK36" s="81">
        <f t="shared" si="7"/>
        <v>0.4319460067491564</v>
      </c>
      <c r="BL36" s="73">
        <f t="shared" si="8"/>
        <v>0.48481439820022504</v>
      </c>
      <c r="BM36" s="79">
        <f t="shared" si="9"/>
        <v>8.3239595050618689E-2</v>
      </c>
    </row>
    <row r="37" spans="1:65" x14ac:dyDescent="0.2">
      <c r="A37">
        <v>50</v>
      </c>
      <c r="B37" t="s">
        <v>811</v>
      </c>
      <c r="C37">
        <v>73</v>
      </c>
      <c r="D37">
        <v>73</v>
      </c>
      <c r="E37">
        <v>71</v>
      </c>
      <c r="F37">
        <v>66</v>
      </c>
      <c r="G37">
        <v>76.5</v>
      </c>
      <c r="H37">
        <v>67.400000000000006</v>
      </c>
      <c r="J37">
        <v>1</v>
      </c>
      <c r="K37" t="s">
        <v>811</v>
      </c>
      <c r="L37">
        <v>3</v>
      </c>
      <c r="M37">
        <v>3</v>
      </c>
      <c r="N37">
        <v>3</v>
      </c>
      <c r="O37">
        <v>3</v>
      </c>
      <c r="P37">
        <v>3</v>
      </c>
      <c r="Q37">
        <v>1.5</v>
      </c>
      <c r="S37">
        <v>69</v>
      </c>
      <c r="T37" t="s">
        <v>811</v>
      </c>
      <c r="U37">
        <v>4.7</v>
      </c>
      <c r="V37">
        <v>4.7</v>
      </c>
      <c r="W37">
        <v>6</v>
      </c>
      <c r="X37">
        <v>3</v>
      </c>
      <c r="Y37">
        <v>5.5</v>
      </c>
      <c r="Z37">
        <v>4.8</v>
      </c>
      <c r="AB37">
        <v>99</v>
      </c>
      <c r="AC37" t="s">
        <v>811</v>
      </c>
      <c r="AD37">
        <v>76</v>
      </c>
      <c r="AE37">
        <v>76</v>
      </c>
      <c r="AF37">
        <v>70</v>
      </c>
      <c r="AG37">
        <v>79</v>
      </c>
      <c r="AH37">
        <v>74.5</v>
      </c>
      <c r="AI37">
        <v>70.2</v>
      </c>
      <c r="AK37">
        <v>54</v>
      </c>
      <c r="AL37" t="s">
        <v>811</v>
      </c>
      <c r="AM37">
        <v>1.3</v>
      </c>
      <c r="AN37">
        <v>1.3</v>
      </c>
      <c r="AO37">
        <v>2</v>
      </c>
      <c r="AP37">
        <v>1</v>
      </c>
      <c r="AQ37">
        <v>1.5</v>
      </c>
      <c r="AR37">
        <v>1.5</v>
      </c>
      <c r="AT37">
        <v>23</v>
      </c>
      <c r="AU37" t="s">
        <v>811</v>
      </c>
      <c r="AV37">
        <v>3.7</v>
      </c>
      <c r="AW37">
        <v>3.7</v>
      </c>
      <c r="AX37">
        <v>6</v>
      </c>
      <c r="AY37">
        <v>2</v>
      </c>
      <c r="AZ37">
        <v>4.5</v>
      </c>
      <c r="BA37">
        <v>6.2</v>
      </c>
      <c r="BC37" s="95" t="s">
        <v>811</v>
      </c>
      <c r="BD37" s="13">
        <f t="shared" si="0"/>
        <v>73</v>
      </c>
      <c r="BE37" s="7">
        <f t="shared" si="1"/>
        <v>76</v>
      </c>
      <c r="BF37" s="7">
        <f t="shared" si="2"/>
        <v>3</v>
      </c>
      <c r="BG37" s="7">
        <f t="shared" si="3"/>
        <v>4.7</v>
      </c>
      <c r="BH37" s="7">
        <f t="shared" si="4"/>
        <v>1.3</v>
      </c>
      <c r="BI37" s="7">
        <f t="shared" si="5"/>
        <v>3.7</v>
      </c>
      <c r="BJ37" s="99">
        <f t="shared" si="6"/>
        <v>161.69999999999999</v>
      </c>
      <c r="BK37" s="81">
        <f t="shared" si="7"/>
        <v>0.45145330859616578</v>
      </c>
      <c r="BL37" s="73">
        <f t="shared" si="8"/>
        <v>0.47000618429189861</v>
      </c>
      <c r="BM37" s="79">
        <f t="shared" si="9"/>
        <v>7.8540507111935678E-2</v>
      </c>
    </row>
    <row r="38" spans="1:65" x14ac:dyDescent="0.2">
      <c r="A38">
        <v>128</v>
      </c>
      <c r="B38" t="s">
        <v>838</v>
      </c>
      <c r="C38">
        <v>62.8</v>
      </c>
      <c r="D38">
        <v>66.3</v>
      </c>
      <c r="E38">
        <v>85</v>
      </c>
      <c r="F38">
        <v>71</v>
      </c>
      <c r="G38">
        <v>60</v>
      </c>
      <c r="H38">
        <v>59.4</v>
      </c>
      <c r="J38">
        <v>8</v>
      </c>
      <c r="K38" t="s">
        <v>838</v>
      </c>
      <c r="L38">
        <v>2.5</v>
      </c>
      <c r="M38">
        <v>3</v>
      </c>
      <c r="N38">
        <v>4</v>
      </c>
      <c r="O38">
        <v>3</v>
      </c>
      <c r="P38">
        <v>2.2999999999999998</v>
      </c>
      <c r="Q38">
        <v>1.7</v>
      </c>
      <c r="S38">
        <v>23</v>
      </c>
      <c r="T38" t="s">
        <v>838</v>
      </c>
      <c r="U38">
        <v>6</v>
      </c>
      <c r="V38">
        <v>5</v>
      </c>
      <c r="W38">
        <v>8</v>
      </c>
      <c r="X38">
        <v>3</v>
      </c>
      <c r="Y38">
        <v>7</v>
      </c>
      <c r="Z38">
        <v>4.8</v>
      </c>
      <c r="AB38">
        <v>10</v>
      </c>
      <c r="AC38" t="s">
        <v>838</v>
      </c>
      <c r="AD38">
        <v>63.8</v>
      </c>
      <c r="AE38">
        <v>61</v>
      </c>
      <c r="AF38">
        <v>40</v>
      </c>
      <c r="AG38">
        <v>59</v>
      </c>
      <c r="AH38">
        <v>65.3</v>
      </c>
      <c r="AI38">
        <v>68.400000000000006</v>
      </c>
      <c r="AK38">
        <v>60</v>
      </c>
      <c r="AL38" t="s">
        <v>838</v>
      </c>
      <c r="AM38">
        <v>1.5</v>
      </c>
      <c r="AN38">
        <v>1.3</v>
      </c>
      <c r="AO38">
        <v>2</v>
      </c>
      <c r="AP38">
        <v>1</v>
      </c>
      <c r="AQ38">
        <v>1.7</v>
      </c>
      <c r="AR38">
        <v>1.4</v>
      </c>
      <c r="AT38">
        <v>30</v>
      </c>
      <c r="AU38" t="s">
        <v>838</v>
      </c>
      <c r="AV38">
        <v>3.8</v>
      </c>
      <c r="AW38">
        <v>4</v>
      </c>
      <c r="AX38">
        <v>8</v>
      </c>
      <c r="AY38">
        <v>1</v>
      </c>
      <c r="AZ38">
        <v>4.7</v>
      </c>
      <c r="BA38">
        <v>4.0999999999999996</v>
      </c>
      <c r="BC38" s="95" t="s">
        <v>838</v>
      </c>
      <c r="BD38" s="13">
        <f t="shared" si="0"/>
        <v>62.8</v>
      </c>
      <c r="BE38" s="7">
        <f t="shared" si="1"/>
        <v>63.8</v>
      </c>
      <c r="BF38" s="7">
        <f t="shared" si="2"/>
        <v>2.5</v>
      </c>
      <c r="BG38" s="7">
        <f t="shared" si="3"/>
        <v>6</v>
      </c>
      <c r="BH38" s="7">
        <f t="shared" si="4"/>
        <v>1.5</v>
      </c>
      <c r="BI38" s="7">
        <f t="shared" si="5"/>
        <v>3.8</v>
      </c>
      <c r="BJ38" s="99">
        <f t="shared" si="6"/>
        <v>140.4</v>
      </c>
      <c r="BK38" s="81">
        <f t="shared" si="7"/>
        <v>0.44729344729344728</v>
      </c>
      <c r="BL38" s="73">
        <f t="shared" si="8"/>
        <v>0.45441595441595439</v>
      </c>
      <c r="BM38" s="79">
        <f t="shared" si="9"/>
        <v>9.8290598290598288E-2</v>
      </c>
    </row>
    <row r="39" spans="1:65" x14ac:dyDescent="0.2">
      <c r="A39">
        <v>108</v>
      </c>
      <c r="B39" t="s">
        <v>831</v>
      </c>
      <c r="C39">
        <v>66</v>
      </c>
      <c r="D39">
        <v>66</v>
      </c>
      <c r="E39">
        <v>55</v>
      </c>
      <c r="F39">
        <v>63.5</v>
      </c>
      <c r="G39">
        <v>68.5</v>
      </c>
      <c r="H39">
        <v>67.900000000000006</v>
      </c>
      <c r="J39">
        <v>130</v>
      </c>
      <c r="K39" t="s">
        <v>831</v>
      </c>
      <c r="L39">
        <v>0.2</v>
      </c>
      <c r="M39">
        <v>0.3</v>
      </c>
      <c r="N39">
        <v>0</v>
      </c>
      <c r="O39">
        <v>0.5</v>
      </c>
      <c r="P39">
        <v>0</v>
      </c>
      <c r="Q39">
        <v>1</v>
      </c>
      <c r="S39">
        <v>9</v>
      </c>
      <c r="T39" t="s">
        <v>831</v>
      </c>
      <c r="U39">
        <v>6.8</v>
      </c>
      <c r="V39">
        <v>6.3</v>
      </c>
      <c r="W39">
        <v>7</v>
      </c>
      <c r="X39">
        <v>6.5</v>
      </c>
      <c r="Y39">
        <v>7</v>
      </c>
      <c r="Z39">
        <v>2.8</v>
      </c>
      <c r="AB39">
        <v>106</v>
      </c>
      <c r="AC39" t="s">
        <v>831</v>
      </c>
      <c r="AD39">
        <v>76.8</v>
      </c>
      <c r="AE39">
        <v>76</v>
      </c>
      <c r="AF39">
        <v>98</v>
      </c>
      <c r="AG39">
        <v>78.5</v>
      </c>
      <c r="AH39">
        <v>75</v>
      </c>
      <c r="AI39">
        <v>64</v>
      </c>
      <c r="AK39">
        <v>51</v>
      </c>
      <c r="AL39" t="s">
        <v>831</v>
      </c>
      <c r="AM39">
        <v>1.2</v>
      </c>
      <c r="AN39">
        <v>1.3</v>
      </c>
      <c r="AO39">
        <v>2</v>
      </c>
      <c r="AP39">
        <v>1.5</v>
      </c>
      <c r="AQ39">
        <v>1</v>
      </c>
      <c r="AR39">
        <v>1.1000000000000001</v>
      </c>
      <c r="AT39">
        <v>53</v>
      </c>
      <c r="AU39" t="s">
        <v>831</v>
      </c>
      <c r="AV39">
        <v>4.5</v>
      </c>
      <c r="AW39">
        <v>5</v>
      </c>
      <c r="AX39">
        <v>4</v>
      </c>
      <c r="AY39">
        <v>5.5</v>
      </c>
      <c r="AZ39">
        <v>3.5</v>
      </c>
      <c r="BA39">
        <v>2.8</v>
      </c>
      <c r="BC39" s="95" t="s">
        <v>831</v>
      </c>
      <c r="BD39" s="13">
        <f t="shared" si="0"/>
        <v>66</v>
      </c>
      <c r="BE39" s="7">
        <f t="shared" si="1"/>
        <v>76.8</v>
      </c>
      <c r="BF39" s="7">
        <f t="shared" si="2"/>
        <v>0.2</v>
      </c>
      <c r="BG39" s="7">
        <f t="shared" si="3"/>
        <v>6.8</v>
      </c>
      <c r="BH39" s="7">
        <f t="shared" si="4"/>
        <v>1.2</v>
      </c>
      <c r="BI39" s="7">
        <f t="shared" si="5"/>
        <v>4.5</v>
      </c>
      <c r="BJ39" s="99">
        <f t="shared" si="6"/>
        <v>155.5</v>
      </c>
      <c r="BK39" s="81">
        <f t="shared" si="7"/>
        <v>0.42443729903536975</v>
      </c>
      <c r="BL39" s="73">
        <f t="shared" si="8"/>
        <v>0.49389067524115754</v>
      </c>
      <c r="BM39" s="79">
        <f t="shared" si="9"/>
        <v>8.1672025723472666E-2</v>
      </c>
    </row>
    <row r="40" spans="1:65" x14ac:dyDescent="0.2">
      <c r="A40">
        <v>123</v>
      </c>
      <c r="B40" t="s">
        <v>157</v>
      </c>
      <c r="C40">
        <v>64</v>
      </c>
      <c r="D40">
        <v>64.3</v>
      </c>
      <c r="E40">
        <v>70</v>
      </c>
      <c r="F40">
        <v>61.5</v>
      </c>
      <c r="G40">
        <v>66.5</v>
      </c>
      <c r="H40">
        <v>67.8</v>
      </c>
      <c r="J40">
        <v>4</v>
      </c>
      <c r="K40" t="s">
        <v>157</v>
      </c>
      <c r="L40">
        <v>2.8</v>
      </c>
      <c r="M40">
        <v>2.7</v>
      </c>
      <c r="N40">
        <v>3</v>
      </c>
      <c r="O40">
        <v>2.5</v>
      </c>
      <c r="P40">
        <v>3</v>
      </c>
      <c r="Q40">
        <v>1.7</v>
      </c>
      <c r="S40">
        <v>123</v>
      </c>
      <c r="T40" t="s">
        <v>157</v>
      </c>
      <c r="U40">
        <v>2.8</v>
      </c>
      <c r="V40">
        <v>3</v>
      </c>
      <c r="W40">
        <v>2</v>
      </c>
      <c r="X40">
        <v>3.5</v>
      </c>
      <c r="Y40">
        <v>2</v>
      </c>
      <c r="Z40">
        <v>3.1</v>
      </c>
      <c r="AB40">
        <v>16</v>
      </c>
      <c r="AC40" t="s">
        <v>157</v>
      </c>
      <c r="AD40">
        <v>65.5</v>
      </c>
      <c r="AE40">
        <v>66</v>
      </c>
      <c r="AF40">
        <v>65</v>
      </c>
      <c r="AG40">
        <v>66.5</v>
      </c>
      <c r="AH40">
        <v>64.5</v>
      </c>
      <c r="AI40">
        <v>66.5</v>
      </c>
      <c r="AK40">
        <v>49</v>
      </c>
      <c r="AL40" t="s">
        <v>157</v>
      </c>
      <c r="AM40">
        <v>1.2</v>
      </c>
      <c r="AN40">
        <v>1</v>
      </c>
      <c r="AO40">
        <v>1</v>
      </c>
      <c r="AP40">
        <v>1</v>
      </c>
      <c r="AQ40">
        <v>1.5</v>
      </c>
      <c r="AR40">
        <v>1.3</v>
      </c>
      <c r="AT40">
        <v>117</v>
      </c>
      <c r="AU40" t="s">
        <v>157</v>
      </c>
      <c r="AV40">
        <v>6.5</v>
      </c>
      <c r="AW40">
        <v>6.3</v>
      </c>
      <c r="AX40">
        <v>5</v>
      </c>
      <c r="AY40">
        <v>7</v>
      </c>
      <c r="AZ40">
        <v>6</v>
      </c>
      <c r="BA40">
        <v>5.0999999999999996</v>
      </c>
      <c r="BC40" s="95" t="s">
        <v>157</v>
      </c>
      <c r="BD40" s="13">
        <f t="shared" si="0"/>
        <v>64</v>
      </c>
      <c r="BE40" s="7">
        <f t="shared" si="1"/>
        <v>65.5</v>
      </c>
      <c r="BF40" s="7">
        <f t="shared" si="2"/>
        <v>2.8</v>
      </c>
      <c r="BG40" s="7">
        <f t="shared" si="3"/>
        <v>2.8</v>
      </c>
      <c r="BH40" s="7">
        <f t="shared" si="4"/>
        <v>1.2</v>
      </c>
      <c r="BI40" s="7">
        <f t="shared" si="5"/>
        <v>6.5</v>
      </c>
      <c r="BJ40" s="99">
        <f t="shared" si="6"/>
        <v>142.80000000000001</v>
      </c>
      <c r="BK40" s="81">
        <f t="shared" si="7"/>
        <v>0.44817927170868344</v>
      </c>
      <c r="BL40" s="73">
        <f t="shared" si="8"/>
        <v>0.45868347338935572</v>
      </c>
      <c r="BM40" s="79">
        <f t="shared" si="9"/>
        <v>9.3137254901960786E-2</v>
      </c>
    </row>
    <row r="41" spans="1:65" x14ac:dyDescent="0.2">
      <c r="A41">
        <v>1</v>
      </c>
      <c r="B41" t="s">
        <v>161</v>
      </c>
      <c r="C41">
        <v>86.5</v>
      </c>
      <c r="D41">
        <v>89</v>
      </c>
      <c r="E41">
        <v>102</v>
      </c>
      <c r="F41">
        <v>102</v>
      </c>
      <c r="G41">
        <v>81.3</v>
      </c>
      <c r="H41">
        <v>70.099999999999994</v>
      </c>
      <c r="J41">
        <v>31</v>
      </c>
      <c r="K41" t="s">
        <v>161</v>
      </c>
      <c r="L41">
        <v>2</v>
      </c>
      <c r="M41">
        <v>2.2999999999999998</v>
      </c>
      <c r="N41">
        <v>2</v>
      </c>
      <c r="O41">
        <v>2</v>
      </c>
      <c r="P41">
        <v>2</v>
      </c>
      <c r="Q41">
        <v>1.2</v>
      </c>
      <c r="S41">
        <v>88</v>
      </c>
      <c r="T41" t="s">
        <v>161</v>
      </c>
      <c r="U41">
        <v>4.2</v>
      </c>
      <c r="V41">
        <v>4.7</v>
      </c>
      <c r="W41">
        <v>4</v>
      </c>
      <c r="X41">
        <v>4</v>
      </c>
      <c r="Y41">
        <v>4.3</v>
      </c>
      <c r="Z41">
        <v>4.3</v>
      </c>
      <c r="AB41">
        <v>36</v>
      </c>
      <c r="AC41" t="s">
        <v>161</v>
      </c>
      <c r="AD41">
        <v>68.2</v>
      </c>
      <c r="AE41">
        <v>66</v>
      </c>
      <c r="AF41">
        <v>57</v>
      </c>
      <c r="AG41">
        <v>57</v>
      </c>
      <c r="AH41">
        <v>72</v>
      </c>
      <c r="AI41">
        <v>63.7</v>
      </c>
      <c r="AK41">
        <v>114</v>
      </c>
      <c r="AL41" t="s">
        <v>161</v>
      </c>
      <c r="AM41">
        <v>2.2000000000000002</v>
      </c>
      <c r="AN41">
        <v>2</v>
      </c>
      <c r="AO41">
        <v>1</v>
      </c>
      <c r="AP41">
        <v>1</v>
      </c>
      <c r="AQ41">
        <v>2.7</v>
      </c>
      <c r="AR41">
        <v>1.5</v>
      </c>
      <c r="AT41">
        <v>25</v>
      </c>
      <c r="AU41" t="s">
        <v>161</v>
      </c>
      <c r="AV41">
        <v>3.8</v>
      </c>
      <c r="AW41">
        <v>4.7</v>
      </c>
      <c r="AX41">
        <v>5</v>
      </c>
      <c r="AY41">
        <v>5</v>
      </c>
      <c r="AZ41">
        <v>3.3</v>
      </c>
      <c r="BA41">
        <v>3.4</v>
      </c>
      <c r="BC41" s="95" t="s">
        <v>161</v>
      </c>
      <c r="BD41" s="13">
        <f t="shared" si="0"/>
        <v>86.5</v>
      </c>
      <c r="BE41" s="7">
        <f t="shared" si="1"/>
        <v>68.2</v>
      </c>
      <c r="BF41" s="7">
        <f t="shared" si="2"/>
        <v>2</v>
      </c>
      <c r="BG41" s="7">
        <f t="shared" si="3"/>
        <v>4.2</v>
      </c>
      <c r="BH41" s="7">
        <f t="shared" si="4"/>
        <v>2.2000000000000002</v>
      </c>
      <c r="BI41" s="7">
        <f t="shared" si="5"/>
        <v>3.8</v>
      </c>
      <c r="BJ41" s="99">
        <f t="shared" si="6"/>
        <v>166.89999999999998</v>
      </c>
      <c r="BK41" s="81">
        <f t="shared" si="7"/>
        <v>0.51827441581785505</v>
      </c>
      <c r="BL41" s="73">
        <f t="shared" si="8"/>
        <v>0.40862792091072508</v>
      </c>
      <c r="BM41" s="79">
        <f t="shared" si="9"/>
        <v>7.3097663271420019E-2</v>
      </c>
    </row>
    <row r="42" spans="1:65" x14ac:dyDescent="0.2">
      <c r="A42">
        <v>28</v>
      </c>
      <c r="B42" t="s">
        <v>167</v>
      </c>
      <c r="C42">
        <v>76.5</v>
      </c>
      <c r="D42">
        <v>75.7</v>
      </c>
      <c r="E42">
        <v>65</v>
      </c>
      <c r="F42">
        <v>79.5</v>
      </c>
      <c r="G42">
        <v>73.5</v>
      </c>
      <c r="H42">
        <v>71.5</v>
      </c>
      <c r="J42">
        <v>33</v>
      </c>
      <c r="K42" t="s">
        <v>167</v>
      </c>
      <c r="L42">
        <v>2</v>
      </c>
      <c r="M42">
        <v>2.2999999999999998</v>
      </c>
      <c r="N42">
        <v>1</v>
      </c>
      <c r="O42">
        <v>2.5</v>
      </c>
      <c r="P42">
        <v>1.5</v>
      </c>
      <c r="Q42">
        <v>1.4</v>
      </c>
      <c r="S42">
        <v>126</v>
      </c>
      <c r="T42" t="s">
        <v>167</v>
      </c>
      <c r="U42">
        <v>2.2000000000000002</v>
      </c>
      <c r="V42">
        <v>2.7</v>
      </c>
      <c r="W42">
        <v>2</v>
      </c>
      <c r="X42">
        <v>2</v>
      </c>
      <c r="Y42">
        <v>2.5</v>
      </c>
      <c r="Z42">
        <v>4.4000000000000004</v>
      </c>
      <c r="AB42">
        <v>45</v>
      </c>
      <c r="AC42" t="s">
        <v>167</v>
      </c>
      <c r="AD42">
        <v>69.2</v>
      </c>
      <c r="AE42">
        <v>68</v>
      </c>
      <c r="AF42">
        <v>70</v>
      </c>
      <c r="AG42">
        <v>75</v>
      </c>
      <c r="AH42">
        <v>63.5</v>
      </c>
      <c r="AI42">
        <v>73</v>
      </c>
      <c r="AK42">
        <v>20</v>
      </c>
      <c r="AL42" t="s">
        <v>167</v>
      </c>
      <c r="AM42">
        <v>1</v>
      </c>
      <c r="AN42">
        <v>1</v>
      </c>
      <c r="AO42">
        <v>1</v>
      </c>
      <c r="AP42">
        <v>1</v>
      </c>
      <c r="AQ42">
        <v>1</v>
      </c>
      <c r="AR42">
        <v>1.8</v>
      </c>
      <c r="AT42">
        <v>43</v>
      </c>
      <c r="AU42" t="s">
        <v>167</v>
      </c>
      <c r="AV42">
        <v>4.2</v>
      </c>
      <c r="AW42">
        <v>4</v>
      </c>
      <c r="AX42">
        <v>4</v>
      </c>
      <c r="AY42">
        <v>5</v>
      </c>
      <c r="AZ42">
        <v>3.5</v>
      </c>
      <c r="BA42">
        <v>3.8</v>
      </c>
      <c r="BC42" s="95" t="s">
        <v>167</v>
      </c>
      <c r="BD42" s="13">
        <f t="shared" si="0"/>
        <v>76.5</v>
      </c>
      <c r="BE42" s="7">
        <f t="shared" si="1"/>
        <v>69.2</v>
      </c>
      <c r="BF42" s="7">
        <f t="shared" si="2"/>
        <v>2</v>
      </c>
      <c r="BG42" s="7">
        <f t="shared" si="3"/>
        <v>2.2000000000000002</v>
      </c>
      <c r="BH42" s="7">
        <f t="shared" si="4"/>
        <v>1</v>
      </c>
      <c r="BI42" s="7">
        <f t="shared" si="5"/>
        <v>4.2</v>
      </c>
      <c r="BJ42" s="99">
        <f t="shared" si="6"/>
        <v>155.09999999999997</v>
      </c>
      <c r="BK42" s="81">
        <f t="shared" si="7"/>
        <v>0.49323017408123804</v>
      </c>
      <c r="BL42" s="73">
        <f t="shared" si="8"/>
        <v>0.44616376531270158</v>
      </c>
      <c r="BM42" s="79">
        <f t="shared" si="9"/>
        <v>6.0606060606060622E-2</v>
      </c>
    </row>
    <row r="43" spans="1:65" x14ac:dyDescent="0.2">
      <c r="A43">
        <v>99</v>
      </c>
      <c r="B43" t="s">
        <v>171</v>
      </c>
      <c r="C43">
        <v>67.8</v>
      </c>
      <c r="D43">
        <v>66.3</v>
      </c>
      <c r="E43">
        <v>52</v>
      </c>
      <c r="F43" t="s">
        <v>544</v>
      </c>
      <c r="G43">
        <v>67.8</v>
      </c>
      <c r="H43">
        <v>79</v>
      </c>
      <c r="J43">
        <v>39</v>
      </c>
      <c r="K43" t="s">
        <v>171</v>
      </c>
      <c r="L43">
        <v>1.8</v>
      </c>
      <c r="M43">
        <v>2</v>
      </c>
      <c r="N43">
        <v>1</v>
      </c>
      <c r="O43" t="s">
        <v>544</v>
      </c>
      <c r="P43">
        <v>1.8</v>
      </c>
      <c r="Q43">
        <v>0.9</v>
      </c>
      <c r="S43">
        <v>91</v>
      </c>
      <c r="T43" t="s">
        <v>171</v>
      </c>
      <c r="U43">
        <v>4.2</v>
      </c>
      <c r="V43">
        <v>4</v>
      </c>
      <c r="W43">
        <v>5</v>
      </c>
      <c r="X43" t="s">
        <v>544</v>
      </c>
      <c r="Y43">
        <v>4.2</v>
      </c>
      <c r="Z43">
        <v>5</v>
      </c>
      <c r="AB43">
        <v>70</v>
      </c>
      <c r="AC43" t="s">
        <v>171</v>
      </c>
      <c r="AD43">
        <v>73.2</v>
      </c>
      <c r="AE43">
        <v>77.3</v>
      </c>
      <c r="AF43">
        <v>89</v>
      </c>
      <c r="AG43" t="s">
        <v>544</v>
      </c>
      <c r="AH43">
        <v>73.2</v>
      </c>
      <c r="AI43">
        <v>86.3</v>
      </c>
      <c r="AK43">
        <v>61</v>
      </c>
      <c r="AL43" t="s">
        <v>171</v>
      </c>
      <c r="AM43">
        <v>1.5</v>
      </c>
      <c r="AN43">
        <v>1.3</v>
      </c>
      <c r="AO43">
        <v>2</v>
      </c>
      <c r="AP43" t="s">
        <v>544</v>
      </c>
      <c r="AQ43">
        <v>1.5</v>
      </c>
      <c r="AR43">
        <v>1.8</v>
      </c>
      <c r="AT43">
        <v>28</v>
      </c>
      <c r="AU43" t="s">
        <v>171</v>
      </c>
      <c r="AV43">
        <v>3.8</v>
      </c>
      <c r="AW43">
        <v>4.7</v>
      </c>
      <c r="AX43">
        <v>5</v>
      </c>
      <c r="AY43" t="s">
        <v>544</v>
      </c>
      <c r="AZ43">
        <v>3.8</v>
      </c>
      <c r="BA43">
        <v>4.8</v>
      </c>
      <c r="BC43" s="95" t="s">
        <v>171</v>
      </c>
      <c r="BD43" s="13">
        <f t="shared" si="0"/>
        <v>67.8</v>
      </c>
      <c r="BE43" s="7">
        <f t="shared" si="1"/>
        <v>73.2</v>
      </c>
      <c r="BF43" s="7">
        <f t="shared" si="2"/>
        <v>1.8</v>
      </c>
      <c r="BG43" s="7">
        <f t="shared" si="3"/>
        <v>4.2</v>
      </c>
      <c r="BH43" s="7">
        <f t="shared" si="4"/>
        <v>1.5</v>
      </c>
      <c r="BI43" s="7">
        <f t="shared" si="5"/>
        <v>3.8</v>
      </c>
      <c r="BJ43" s="99">
        <f t="shared" si="6"/>
        <v>152.30000000000001</v>
      </c>
      <c r="BK43" s="81">
        <f t="shared" si="7"/>
        <v>0.4451739986868023</v>
      </c>
      <c r="BL43" s="73">
        <f t="shared" si="8"/>
        <v>0.48063033486539725</v>
      </c>
      <c r="BM43" s="79">
        <f t="shared" si="9"/>
        <v>7.4195666447800387E-2</v>
      </c>
    </row>
    <row r="44" spans="1:65" x14ac:dyDescent="0.2">
      <c r="A44">
        <v>67</v>
      </c>
      <c r="B44" t="s">
        <v>173</v>
      </c>
      <c r="C44">
        <v>71.599999999999994</v>
      </c>
      <c r="D44">
        <v>71.7</v>
      </c>
      <c r="E44">
        <v>69</v>
      </c>
      <c r="F44">
        <v>73</v>
      </c>
      <c r="G44">
        <v>69.5</v>
      </c>
      <c r="H44">
        <v>70.3</v>
      </c>
      <c r="J44">
        <v>100</v>
      </c>
      <c r="K44" t="s">
        <v>173</v>
      </c>
      <c r="L44">
        <v>1.2</v>
      </c>
      <c r="M44">
        <v>1.3</v>
      </c>
      <c r="N44">
        <v>2</v>
      </c>
      <c r="O44">
        <v>1</v>
      </c>
      <c r="P44">
        <v>1.5</v>
      </c>
      <c r="Q44">
        <v>2.1</v>
      </c>
      <c r="S44">
        <v>24</v>
      </c>
      <c r="T44" t="s">
        <v>173</v>
      </c>
      <c r="U44">
        <v>6</v>
      </c>
      <c r="V44">
        <v>7.3</v>
      </c>
      <c r="W44">
        <v>7</v>
      </c>
      <c r="X44">
        <v>6.3</v>
      </c>
      <c r="Y44">
        <v>5.5</v>
      </c>
      <c r="Z44">
        <v>5.2</v>
      </c>
      <c r="AB44">
        <v>107</v>
      </c>
      <c r="AC44" t="s">
        <v>173</v>
      </c>
      <c r="AD44">
        <v>76.8</v>
      </c>
      <c r="AE44">
        <v>82.3</v>
      </c>
      <c r="AF44">
        <v>70</v>
      </c>
      <c r="AG44">
        <v>83</v>
      </c>
      <c r="AH44">
        <v>67.5</v>
      </c>
      <c r="AI44">
        <v>74.3</v>
      </c>
      <c r="AK44">
        <v>101</v>
      </c>
      <c r="AL44" t="s">
        <v>173</v>
      </c>
      <c r="AM44">
        <v>2</v>
      </c>
      <c r="AN44">
        <v>1.7</v>
      </c>
      <c r="AO44">
        <v>2</v>
      </c>
      <c r="AP44">
        <v>1.7</v>
      </c>
      <c r="AQ44">
        <v>2.5</v>
      </c>
      <c r="AR44">
        <v>1.2</v>
      </c>
      <c r="AT44">
        <v>98</v>
      </c>
      <c r="AU44" t="s">
        <v>173</v>
      </c>
      <c r="AV44">
        <v>5.6</v>
      </c>
      <c r="AW44">
        <v>5.3</v>
      </c>
      <c r="AX44">
        <v>4</v>
      </c>
      <c r="AY44">
        <v>6.3</v>
      </c>
      <c r="AZ44">
        <v>4.5</v>
      </c>
      <c r="BA44">
        <v>3.9</v>
      </c>
      <c r="BC44" s="95" t="s">
        <v>173</v>
      </c>
      <c r="BD44" s="13">
        <f t="shared" si="0"/>
        <v>71.599999999999994</v>
      </c>
      <c r="BE44" s="7">
        <f t="shared" si="1"/>
        <v>76.8</v>
      </c>
      <c r="BF44" s="7">
        <f t="shared" si="2"/>
        <v>1.2</v>
      </c>
      <c r="BG44" s="7">
        <f t="shared" si="3"/>
        <v>6</v>
      </c>
      <c r="BH44" s="7">
        <f t="shared" si="4"/>
        <v>2</v>
      </c>
      <c r="BI44" s="7">
        <f t="shared" si="5"/>
        <v>5.6</v>
      </c>
      <c r="BJ44" s="99">
        <f t="shared" si="6"/>
        <v>163.19999999999996</v>
      </c>
      <c r="BK44" s="81">
        <f t="shared" si="7"/>
        <v>0.43872549019607848</v>
      </c>
      <c r="BL44" s="73">
        <f t="shared" si="8"/>
        <v>0.47058823529411775</v>
      </c>
      <c r="BM44" s="79">
        <f t="shared" si="9"/>
        <v>9.0686274509803932E-2</v>
      </c>
    </row>
    <row r="45" spans="1:65" x14ac:dyDescent="0.2">
      <c r="A45">
        <v>69</v>
      </c>
      <c r="B45" t="s">
        <v>69</v>
      </c>
      <c r="C45">
        <v>71.2</v>
      </c>
      <c r="D45">
        <v>70.3</v>
      </c>
      <c r="E45">
        <v>70</v>
      </c>
      <c r="F45">
        <v>70.5</v>
      </c>
      <c r="G45">
        <v>72</v>
      </c>
      <c r="H45">
        <v>78</v>
      </c>
      <c r="J45">
        <v>49</v>
      </c>
      <c r="K45" t="s">
        <v>69</v>
      </c>
      <c r="L45">
        <v>1.8</v>
      </c>
      <c r="M45">
        <v>1</v>
      </c>
      <c r="N45">
        <v>1</v>
      </c>
      <c r="O45">
        <v>1</v>
      </c>
      <c r="P45">
        <v>2.5</v>
      </c>
      <c r="Q45">
        <v>1.5</v>
      </c>
      <c r="S45">
        <v>90</v>
      </c>
      <c r="T45" t="s">
        <v>69</v>
      </c>
      <c r="U45">
        <v>4.2</v>
      </c>
      <c r="V45">
        <v>4.7</v>
      </c>
      <c r="W45">
        <v>5</v>
      </c>
      <c r="X45">
        <v>4.5</v>
      </c>
      <c r="Y45">
        <v>4</v>
      </c>
      <c r="Z45">
        <v>4.2</v>
      </c>
      <c r="AB45">
        <v>49</v>
      </c>
      <c r="AC45" t="s">
        <v>69</v>
      </c>
      <c r="AD45">
        <v>70</v>
      </c>
      <c r="AE45">
        <v>65.3</v>
      </c>
      <c r="AF45">
        <v>69</v>
      </c>
      <c r="AG45">
        <v>63.5</v>
      </c>
      <c r="AH45">
        <v>76.5</v>
      </c>
      <c r="AI45">
        <v>72.400000000000006</v>
      </c>
      <c r="AK45">
        <v>102</v>
      </c>
      <c r="AL45" t="s">
        <v>69</v>
      </c>
      <c r="AM45">
        <v>2</v>
      </c>
      <c r="AN45">
        <v>2</v>
      </c>
      <c r="AO45">
        <v>3</v>
      </c>
      <c r="AP45">
        <v>1.5</v>
      </c>
      <c r="AQ45">
        <v>2.5</v>
      </c>
      <c r="AR45">
        <v>1.3</v>
      </c>
      <c r="AT45">
        <v>57</v>
      </c>
      <c r="AU45" t="s">
        <v>69</v>
      </c>
      <c r="AV45">
        <v>4.5</v>
      </c>
      <c r="AW45">
        <v>4.3</v>
      </c>
      <c r="AX45">
        <v>4</v>
      </c>
      <c r="AY45">
        <v>4.5</v>
      </c>
      <c r="AZ45">
        <v>4.5</v>
      </c>
      <c r="BA45">
        <v>4.0999999999999996</v>
      </c>
      <c r="BC45" s="95" t="s">
        <v>69</v>
      </c>
      <c r="BD45" s="13">
        <f t="shared" si="0"/>
        <v>71.2</v>
      </c>
      <c r="BE45" s="7">
        <f t="shared" si="1"/>
        <v>70</v>
      </c>
      <c r="BF45" s="7">
        <f t="shared" si="2"/>
        <v>1.8</v>
      </c>
      <c r="BG45" s="7">
        <f t="shared" si="3"/>
        <v>4.2</v>
      </c>
      <c r="BH45" s="7">
        <f t="shared" si="4"/>
        <v>2</v>
      </c>
      <c r="BI45" s="7">
        <f t="shared" si="5"/>
        <v>4.5</v>
      </c>
      <c r="BJ45" s="99">
        <f t="shared" si="6"/>
        <v>153.69999999999999</v>
      </c>
      <c r="BK45" s="81">
        <f t="shared" si="7"/>
        <v>0.4632400780741705</v>
      </c>
      <c r="BL45" s="73">
        <f t="shared" si="8"/>
        <v>0.45543266102797664</v>
      </c>
      <c r="BM45" s="79">
        <f t="shared" si="9"/>
        <v>8.1327260897852971E-2</v>
      </c>
    </row>
    <row r="46" spans="1:65" x14ac:dyDescent="0.2">
      <c r="A46">
        <v>30</v>
      </c>
      <c r="B46" t="s">
        <v>181</v>
      </c>
      <c r="C46">
        <v>76.2</v>
      </c>
      <c r="D46">
        <v>78.7</v>
      </c>
      <c r="E46">
        <v>80</v>
      </c>
      <c r="F46">
        <v>75.7</v>
      </c>
      <c r="G46">
        <v>77</v>
      </c>
      <c r="H46">
        <v>68.900000000000006</v>
      </c>
      <c r="J46">
        <v>10</v>
      </c>
      <c r="K46" t="s">
        <v>181</v>
      </c>
      <c r="L46">
        <v>2.4</v>
      </c>
      <c r="M46">
        <v>2.7</v>
      </c>
      <c r="N46">
        <v>1</v>
      </c>
      <c r="O46">
        <v>2.2999999999999998</v>
      </c>
      <c r="P46">
        <v>2.5</v>
      </c>
      <c r="Q46">
        <v>1.7</v>
      </c>
      <c r="S46">
        <v>106</v>
      </c>
      <c r="T46" t="s">
        <v>181</v>
      </c>
      <c r="U46">
        <v>4</v>
      </c>
      <c r="V46">
        <v>4.3</v>
      </c>
      <c r="W46">
        <v>7</v>
      </c>
      <c r="X46">
        <v>2.7</v>
      </c>
      <c r="Y46">
        <v>6</v>
      </c>
      <c r="Z46">
        <v>4.5</v>
      </c>
      <c r="AB46">
        <v>1</v>
      </c>
      <c r="AC46" t="s">
        <v>181</v>
      </c>
      <c r="AD46">
        <v>54.2</v>
      </c>
      <c r="AE46">
        <v>56</v>
      </c>
      <c r="AF46">
        <v>60</v>
      </c>
      <c r="AG46">
        <v>52</v>
      </c>
      <c r="AH46">
        <v>57.5</v>
      </c>
      <c r="AI46">
        <v>67.5</v>
      </c>
      <c r="AK46">
        <v>17</v>
      </c>
      <c r="AL46" t="s">
        <v>181</v>
      </c>
      <c r="AM46">
        <v>1</v>
      </c>
      <c r="AN46">
        <v>1.7</v>
      </c>
      <c r="AO46">
        <v>3</v>
      </c>
      <c r="AP46">
        <v>0.3</v>
      </c>
      <c r="AQ46">
        <v>2</v>
      </c>
      <c r="AR46">
        <v>1.2</v>
      </c>
      <c r="AT46">
        <v>126</v>
      </c>
      <c r="AU46" t="s">
        <v>181</v>
      </c>
      <c r="AV46">
        <v>7.4</v>
      </c>
      <c r="AW46">
        <v>6.7</v>
      </c>
      <c r="AX46">
        <v>8</v>
      </c>
      <c r="AY46">
        <v>8.3000000000000007</v>
      </c>
      <c r="AZ46">
        <v>6</v>
      </c>
      <c r="BA46">
        <v>5.7</v>
      </c>
      <c r="BC46" s="95" t="s">
        <v>181</v>
      </c>
      <c r="BD46" s="13">
        <f t="shared" si="0"/>
        <v>76.2</v>
      </c>
      <c r="BE46" s="7">
        <f t="shared" si="1"/>
        <v>54.2</v>
      </c>
      <c r="BF46" s="7">
        <f t="shared" si="2"/>
        <v>2.4</v>
      </c>
      <c r="BG46" s="7">
        <f t="shared" si="3"/>
        <v>4</v>
      </c>
      <c r="BH46" s="7">
        <f t="shared" si="4"/>
        <v>1</v>
      </c>
      <c r="BI46" s="7">
        <f t="shared" si="5"/>
        <v>7.4</v>
      </c>
      <c r="BJ46" s="99">
        <f t="shared" si="6"/>
        <v>145.20000000000002</v>
      </c>
      <c r="BK46" s="81">
        <f t="shared" si="7"/>
        <v>0.52479338842975198</v>
      </c>
      <c r="BL46" s="73">
        <f t="shared" si="8"/>
        <v>0.37327823691460055</v>
      </c>
      <c r="BM46" s="79">
        <f t="shared" si="9"/>
        <v>0.10192837465564737</v>
      </c>
    </row>
    <row r="47" spans="1:65" x14ac:dyDescent="0.2">
      <c r="A47">
        <v>114</v>
      </c>
      <c r="B47" t="s">
        <v>185</v>
      </c>
      <c r="C47">
        <v>65</v>
      </c>
      <c r="D47">
        <v>68.3</v>
      </c>
      <c r="E47">
        <v>62</v>
      </c>
      <c r="F47">
        <v>61.3</v>
      </c>
      <c r="G47">
        <v>76</v>
      </c>
      <c r="H47">
        <v>65.599999999999994</v>
      </c>
      <c r="J47">
        <v>70</v>
      </c>
      <c r="K47" t="s">
        <v>185</v>
      </c>
      <c r="L47">
        <v>1.5</v>
      </c>
      <c r="M47">
        <v>1.7</v>
      </c>
      <c r="N47">
        <v>0</v>
      </c>
      <c r="O47">
        <v>1.3</v>
      </c>
      <c r="P47">
        <v>2</v>
      </c>
      <c r="Q47">
        <v>1.9</v>
      </c>
      <c r="S47">
        <v>119</v>
      </c>
      <c r="T47" t="s">
        <v>185</v>
      </c>
      <c r="U47">
        <v>3</v>
      </c>
      <c r="V47">
        <v>2.7</v>
      </c>
      <c r="W47">
        <v>3</v>
      </c>
      <c r="X47">
        <v>2.2999999999999998</v>
      </c>
      <c r="Y47">
        <v>5</v>
      </c>
      <c r="Z47">
        <v>4.5</v>
      </c>
      <c r="AB47">
        <v>100</v>
      </c>
      <c r="AC47" t="s">
        <v>185</v>
      </c>
      <c r="AD47">
        <v>76</v>
      </c>
      <c r="AE47">
        <v>76.7</v>
      </c>
      <c r="AF47">
        <v>65</v>
      </c>
      <c r="AG47">
        <v>74</v>
      </c>
      <c r="AH47">
        <v>82</v>
      </c>
      <c r="AI47">
        <v>72.400000000000006</v>
      </c>
      <c r="AK47">
        <v>121</v>
      </c>
      <c r="AL47" t="s">
        <v>185</v>
      </c>
      <c r="AM47">
        <v>2.2000000000000002</v>
      </c>
      <c r="AN47">
        <v>1.7</v>
      </c>
      <c r="AO47">
        <v>2</v>
      </c>
      <c r="AP47">
        <v>2.2999999999999998</v>
      </c>
      <c r="AQ47">
        <v>2</v>
      </c>
      <c r="AR47">
        <v>1.4</v>
      </c>
      <c r="AT47">
        <v>87</v>
      </c>
      <c r="AU47" t="s">
        <v>185</v>
      </c>
      <c r="AV47">
        <v>5.2</v>
      </c>
      <c r="AW47">
        <v>5.3</v>
      </c>
      <c r="AX47">
        <v>6</v>
      </c>
      <c r="AY47">
        <v>5</v>
      </c>
      <c r="AZ47">
        <v>6</v>
      </c>
      <c r="BA47">
        <v>5</v>
      </c>
      <c r="BC47" s="95" t="s">
        <v>185</v>
      </c>
      <c r="BD47" s="13">
        <f t="shared" si="0"/>
        <v>65</v>
      </c>
      <c r="BE47" s="7">
        <f t="shared" si="1"/>
        <v>76</v>
      </c>
      <c r="BF47" s="7">
        <f t="shared" si="2"/>
        <v>1.5</v>
      </c>
      <c r="BG47" s="7">
        <f t="shared" si="3"/>
        <v>3</v>
      </c>
      <c r="BH47" s="7">
        <f t="shared" si="4"/>
        <v>2.2000000000000002</v>
      </c>
      <c r="BI47" s="7">
        <f t="shared" si="5"/>
        <v>5.2</v>
      </c>
      <c r="BJ47" s="99">
        <f t="shared" si="6"/>
        <v>152.89999999999998</v>
      </c>
      <c r="BK47" s="81">
        <f t="shared" si="7"/>
        <v>0.42511445389143238</v>
      </c>
      <c r="BL47" s="73">
        <f t="shared" si="8"/>
        <v>0.49705689993459784</v>
      </c>
      <c r="BM47" s="79">
        <f t="shared" si="9"/>
        <v>7.7828646173969923E-2</v>
      </c>
    </row>
    <row r="48" spans="1:65" x14ac:dyDescent="0.2">
      <c r="A48">
        <v>130</v>
      </c>
      <c r="B48" t="s">
        <v>189</v>
      </c>
      <c r="C48">
        <v>59.8</v>
      </c>
      <c r="D48">
        <v>56.3</v>
      </c>
      <c r="E48">
        <v>63</v>
      </c>
      <c r="F48">
        <v>59.3</v>
      </c>
      <c r="G48">
        <v>60.5</v>
      </c>
      <c r="H48">
        <v>69.8</v>
      </c>
      <c r="J48">
        <v>106</v>
      </c>
      <c r="K48" t="s">
        <v>189</v>
      </c>
      <c r="L48">
        <v>1</v>
      </c>
      <c r="M48">
        <v>0.7</v>
      </c>
      <c r="N48">
        <v>0</v>
      </c>
      <c r="O48">
        <v>0.7</v>
      </c>
      <c r="P48">
        <v>1.5</v>
      </c>
      <c r="Q48">
        <v>1.4</v>
      </c>
      <c r="S48">
        <v>57</v>
      </c>
      <c r="T48" t="s">
        <v>189</v>
      </c>
      <c r="U48">
        <v>5</v>
      </c>
      <c r="V48">
        <v>6.3</v>
      </c>
      <c r="W48">
        <v>5</v>
      </c>
      <c r="X48">
        <v>4</v>
      </c>
      <c r="Y48">
        <v>6.5</v>
      </c>
      <c r="Z48">
        <v>5.6</v>
      </c>
      <c r="AB48">
        <v>123</v>
      </c>
      <c r="AC48" t="s">
        <v>189</v>
      </c>
      <c r="AD48">
        <v>79.8</v>
      </c>
      <c r="AE48">
        <v>81.3</v>
      </c>
      <c r="AF48">
        <v>67</v>
      </c>
      <c r="AG48">
        <v>73.7</v>
      </c>
      <c r="AH48">
        <v>89</v>
      </c>
      <c r="AI48">
        <v>70.3</v>
      </c>
      <c r="AK48">
        <v>107</v>
      </c>
      <c r="AL48" t="s">
        <v>189</v>
      </c>
      <c r="AM48">
        <v>2.2000000000000002</v>
      </c>
      <c r="AN48">
        <v>2.2999999999999998</v>
      </c>
      <c r="AO48">
        <v>1</v>
      </c>
      <c r="AP48">
        <v>2.2999999999999998</v>
      </c>
      <c r="AQ48">
        <v>2</v>
      </c>
      <c r="AR48">
        <v>1.2</v>
      </c>
      <c r="AT48">
        <v>22</v>
      </c>
      <c r="AU48" t="s">
        <v>189</v>
      </c>
      <c r="AV48">
        <v>3.6</v>
      </c>
      <c r="AW48">
        <v>3.3</v>
      </c>
      <c r="AX48">
        <v>2</v>
      </c>
      <c r="AY48">
        <v>3.3</v>
      </c>
      <c r="AZ48">
        <v>4</v>
      </c>
      <c r="BA48">
        <v>4.0999999999999996</v>
      </c>
      <c r="BC48" s="95" t="s">
        <v>189</v>
      </c>
      <c r="BD48" s="13">
        <f t="shared" si="0"/>
        <v>59.8</v>
      </c>
      <c r="BE48" s="7">
        <f t="shared" si="1"/>
        <v>79.8</v>
      </c>
      <c r="BF48" s="7">
        <f t="shared" si="2"/>
        <v>1</v>
      </c>
      <c r="BG48" s="7">
        <f t="shared" si="3"/>
        <v>5</v>
      </c>
      <c r="BH48" s="7">
        <f t="shared" si="4"/>
        <v>2.2000000000000002</v>
      </c>
      <c r="BI48" s="7">
        <f t="shared" si="5"/>
        <v>3.6</v>
      </c>
      <c r="BJ48" s="99">
        <f t="shared" si="6"/>
        <v>151.39999999999998</v>
      </c>
      <c r="BK48" s="81">
        <f t="shared" si="7"/>
        <v>0.39498018494055487</v>
      </c>
      <c r="BL48" s="73">
        <f t="shared" si="8"/>
        <v>0.52708058124174384</v>
      </c>
      <c r="BM48" s="79">
        <f t="shared" si="9"/>
        <v>7.7939233817701459E-2</v>
      </c>
    </row>
    <row r="49" spans="1:65" x14ac:dyDescent="0.2">
      <c r="A49">
        <v>102</v>
      </c>
      <c r="B49" t="s">
        <v>830</v>
      </c>
      <c r="C49">
        <v>67.2</v>
      </c>
      <c r="D49">
        <v>63.3</v>
      </c>
      <c r="E49">
        <v>80</v>
      </c>
      <c r="F49">
        <v>79.5</v>
      </c>
      <c r="G49">
        <v>55</v>
      </c>
      <c r="H49">
        <v>68.400000000000006</v>
      </c>
      <c r="J49">
        <v>77</v>
      </c>
      <c r="K49" t="s">
        <v>830</v>
      </c>
      <c r="L49">
        <v>1.5</v>
      </c>
      <c r="M49">
        <v>1.7</v>
      </c>
      <c r="N49">
        <v>2</v>
      </c>
      <c r="O49">
        <v>1.5</v>
      </c>
      <c r="P49">
        <v>1.5</v>
      </c>
      <c r="Q49">
        <v>1.5</v>
      </c>
      <c r="S49">
        <v>46</v>
      </c>
      <c r="T49" t="s">
        <v>830</v>
      </c>
      <c r="U49">
        <v>5.2</v>
      </c>
      <c r="V49">
        <v>6</v>
      </c>
      <c r="W49">
        <v>6</v>
      </c>
      <c r="X49">
        <v>4.5</v>
      </c>
      <c r="Y49">
        <v>6</v>
      </c>
      <c r="Z49">
        <v>4.5</v>
      </c>
      <c r="AB49">
        <v>4</v>
      </c>
      <c r="AC49" t="s">
        <v>830</v>
      </c>
      <c r="AD49">
        <v>61.2</v>
      </c>
      <c r="AE49">
        <v>66.7</v>
      </c>
      <c r="AF49">
        <v>56</v>
      </c>
      <c r="AG49">
        <v>50.5</v>
      </c>
      <c r="AH49">
        <v>72</v>
      </c>
      <c r="AI49">
        <v>68.400000000000006</v>
      </c>
      <c r="AK49">
        <v>71</v>
      </c>
      <c r="AL49" t="s">
        <v>830</v>
      </c>
      <c r="AM49">
        <v>1.5</v>
      </c>
      <c r="AN49">
        <v>2</v>
      </c>
      <c r="AO49">
        <v>1</v>
      </c>
      <c r="AP49">
        <v>0.5</v>
      </c>
      <c r="AQ49">
        <v>2.5</v>
      </c>
      <c r="AR49">
        <v>2</v>
      </c>
      <c r="AT49">
        <v>113</v>
      </c>
      <c r="AU49" t="s">
        <v>830</v>
      </c>
      <c r="AV49">
        <v>6.2</v>
      </c>
      <c r="AW49">
        <v>5.3</v>
      </c>
      <c r="AX49">
        <v>6</v>
      </c>
      <c r="AY49">
        <v>7.5</v>
      </c>
      <c r="AZ49">
        <v>5</v>
      </c>
      <c r="BA49">
        <v>3</v>
      </c>
      <c r="BC49" s="95" t="s">
        <v>830</v>
      </c>
      <c r="BD49" s="13">
        <f t="shared" si="0"/>
        <v>67.2</v>
      </c>
      <c r="BE49" s="7">
        <f t="shared" si="1"/>
        <v>61.2</v>
      </c>
      <c r="BF49" s="7">
        <f t="shared" si="2"/>
        <v>1.5</v>
      </c>
      <c r="BG49" s="7">
        <f t="shared" si="3"/>
        <v>5.2</v>
      </c>
      <c r="BH49" s="7">
        <f t="shared" si="4"/>
        <v>1.5</v>
      </c>
      <c r="BI49" s="7">
        <f t="shared" si="5"/>
        <v>6.2</v>
      </c>
      <c r="BJ49" s="99">
        <f t="shared" si="6"/>
        <v>142.79999999999998</v>
      </c>
      <c r="BK49" s="81">
        <f t="shared" si="7"/>
        <v>0.4705882352941177</v>
      </c>
      <c r="BL49" s="73">
        <f t="shared" si="8"/>
        <v>0.42857142857142866</v>
      </c>
      <c r="BM49" s="79">
        <f t="shared" si="9"/>
        <v>0.10084033613445378</v>
      </c>
    </row>
    <row r="50" spans="1:65" x14ac:dyDescent="0.2">
      <c r="A50">
        <v>85</v>
      </c>
      <c r="B50" t="s">
        <v>195</v>
      </c>
      <c r="C50">
        <v>69.5</v>
      </c>
      <c r="D50">
        <v>70.3</v>
      </c>
      <c r="E50">
        <v>53</v>
      </c>
      <c r="F50">
        <v>85</v>
      </c>
      <c r="G50">
        <v>64.3</v>
      </c>
      <c r="H50">
        <v>79.400000000000006</v>
      </c>
      <c r="J50">
        <v>69</v>
      </c>
      <c r="K50" t="s">
        <v>195</v>
      </c>
      <c r="L50">
        <v>1.5</v>
      </c>
      <c r="M50">
        <v>2</v>
      </c>
      <c r="N50">
        <v>1</v>
      </c>
      <c r="O50">
        <v>3</v>
      </c>
      <c r="P50">
        <v>1</v>
      </c>
      <c r="Q50">
        <v>1.5</v>
      </c>
      <c r="S50">
        <v>19</v>
      </c>
      <c r="T50" t="s">
        <v>195</v>
      </c>
      <c r="U50">
        <v>6.2</v>
      </c>
      <c r="V50">
        <v>5.3</v>
      </c>
      <c r="W50">
        <v>7</v>
      </c>
      <c r="X50">
        <v>2</v>
      </c>
      <c r="Y50">
        <v>7.7</v>
      </c>
      <c r="Z50">
        <v>6.9</v>
      </c>
      <c r="AB50">
        <v>105</v>
      </c>
      <c r="AC50" t="s">
        <v>195</v>
      </c>
      <c r="AD50">
        <v>76.8</v>
      </c>
      <c r="AE50">
        <v>77.3</v>
      </c>
      <c r="AF50">
        <v>76</v>
      </c>
      <c r="AG50">
        <v>75</v>
      </c>
      <c r="AH50">
        <v>77.3</v>
      </c>
      <c r="AI50">
        <v>75.3</v>
      </c>
      <c r="AK50">
        <v>46</v>
      </c>
      <c r="AL50" t="s">
        <v>195</v>
      </c>
      <c r="AM50">
        <v>1.2</v>
      </c>
      <c r="AN50">
        <v>0.7</v>
      </c>
      <c r="AO50">
        <v>0</v>
      </c>
      <c r="AP50">
        <v>0</v>
      </c>
      <c r="AQ50">
        <v>1.7</v>
      </c>
      <c r="AR50">
        <v>1.1000000000000001</v>
      </c>
      <c r="AT50">
        <v>31</v>
      </c>
      <c r="AU50" t="s">
        <v>195</v>
      </c>
      <c r="AV50">
        <v>3.8</v>
      </c>
      <c r="AW50">
        <v>3.3</v>
      </c>
      <c r="AX50">
        <v>1</v>
      </c>
      <c r="AY50">
        <v>7</v>
      </c>
      <c r="AZ50">
        <v>2.7</v>
      </c>
      <c r="BA50">
        <v>4.5999999999999996</v>
      </c>
      <c r="BC50" s="95" t="s">
        <v>195</v>
      </c>
      <c r="BD50" s="13">
        <f t="shared" si="0"/>
        <v>69.5</v>
      </c>
      <c r="BE50" s="7">
        <f t="shared" si="1"/>
        <v>76.8</v>
      </c>
      <c r="BF50" s="7">
        <f t="shared" si="2"/>
        <v>1.5</v>
      </c>
      <c r="BG50" s="7">
        <f t="shared" si="3"/>
        <v>6.2</v>
      </c>
      <c r="BH50" s="7">
        <f t="shared" si="4"/>
        <v>1.2</v>
      </c>
      <c r="BI50" s="7">
        <f t="shared" si="5"/>
        <v>3.8</v>
      </c>
      <c r="BJ50" s="99">
        <f t="shared" si="6"/>
        <v>159</v>
      </c>
      <c r="BK50" s="81">
        <f t="shared" si="7"/>
        <v>0.43710691823899372</v>
      </c>
      <c r="BL50" s="73">
        <f t="shared" si="8"/>
        <v>0.48301886792452831</v>
      </c>
      <c r="BM50" s="79">
        <f t="shared" si="9"/>
        <v>7.9874213836477984E-2</v>
      </c>
    </row>
    <row r="51" spans="1:65" x14ac:dyDescent="0.2">
      <c r="A51">
        <v>62</v>
      </c>
      <c r="B51" t="s">
        <v>199</v>
      </c>
      <c r="C51">
        <v>71.8</v>
      </c>
      <c r="D51">
        <v>72</v>
      </c>
      <c r="E51">
        <v>66</v>
      </c>
      <c r="F51">
        <v>73.3</v>
      </c>
      <c r="G51">
        <v>69.5</v>
      </c>
      <c r="H51">
        <v>65.400000000000006</v>
      </c>
      <c r="J51">
        <v>56</v>
      </c>
      <c r="K51" t="s">
        <v>199</v>
      </c>
      <c r="L51">
        <v>1.6</v>
      </c>
      <c r="M51">
        <v>1.7</v>
      </c>
      <c r="N51">
        <v>0</v>
      </c>
      <c r="O51">
        <v>1.3</v>
      </c>
      <c r="P51">
        <v>2</v>
      </c>
      <c r="Q51">
        <v>1.1000000000000001</v>
      </c>
      <c r="S51">
        <v>70</v>
      </c>
      <c r="T51" t="s">
        <v>199</v>
      </c>
      <c r="U51">
        <v>4.5999999999999996</v>
      </c>
      <c r="V51">
        <v>4.7</v>
      </c>
      <c r="W51">
        <v>9</v>
      </c>
      <c r="X51">
        <v>3.7</v>
      </c>
      <c r="Y51">
        <v>6</v>
      </c>
      <c r="Z51">
        <v>4.9000000000000004</v>
      </c>
      <c r="AB51">
        <v>37</v>
      </c>
      <c r="AC51" t="s">
        <v>199</v>
      </c>
      <c r="AD51">
        <v>68.400000000000006</v>
      </c>
      <c r="AE51">
        <v>65.7</v>
      </c>
      <c r="AF51">
        <v>76</v>
      </c>
      <c r="AG51">
        <v>67.3</v>
      </c>
      <c r="AH51">
        <v>70</v>
      </c>
      <c r="AI51">
        <v>67.599999999999994</v>
      </c>
      <c r="AK51">
        <v>14</v>
      </c>
      <c r="AL51" t="s">
        <v>199</v>
      </c>
      <c r="AM51">
        <v>1</v>
      </c>
      <c r="AN51">
        <v>1</v>
      </c>
      <c r="AO51">
        <v>1</v>
      </c>
      <c r="AP51">
        <v>1.3</v>
      </c>
      <c r="AQ51">
        <v>0.5</v>
      </c>
      <c r="AR51">
        <v>1.4</v>
      </c>
      <c r="AT51">
        <v>73</v>
      </c>
      <c r="AU51" t="s">
        <v>199</v>
      </c>
      <c r="AV51">
        <v>5</v>
      </c>
      <c r="AW51">
        <v>4.3</v>
      </c>
      <c r="AX51">
        <v>9</v>
      </c>
      <c r="AY51">
        <v>4.3</v>
      </c>
      <c r="AZ51">
        <v>6</v>
      </c>
      <c r="BA51">
        <v>5.4</v>
      </c>
      <c r="BC51" s="95" t="s">
        <v>199</v>
      </c>
      <c r="BD51" s="13">
        <f t="shared" si="0"/>
        <v>71.8</v>
      </c>
      <c r="BE51" s="7">
        <f t="shared" si="1"/>
        <v>68.400000000000006</v>
      </c>
      <c r="BF51" s="7">
        <f t="shared" si="2"/>
        <v>1.6</v>
      </c>
      <c r="BG51" s="7">
        <f t="shared" si="3"/>
        <v>4.5999999999999996</v>
      </c>
      <c r="BH51" s="7">
        <f t="shared" si="4"/>
        <v>1</v>
      </c>
      <c r="BI51" s="7">
        <f t="shared" si="5"/>
        <v>5</v>
      </c>
      <c r="BJ51" s="99">
        <f t="shared" si="6"/>
        <v>152.39999999999998</v>
      </c>
      <c r="BK51" s="81">
        <f t="shared" si="7"/>
        <v>0.47112860892388458</v>
      </c>
      <c r="BL51" s="73">
        <f t="shared" si="8"/>
        <v>0.44881889763779537</v>
      </c>
      <c r="BM51" s="79">
        <f t="shared" si="9"/>
        <v>8.0052493438320216E-2</v>
      </c>
    </row>
    <row r="52" spans="1:65" x14ac:dyDescent="0.2">
      <c r="A52">
        <v>58</v>
      </c>
      <c r="B52" t="s">
        <v>814</v>
      </c>
      <c r="C52">
        <v>72</v>
      </c>
      <c r="D52">
        <v>70</v>
      </c>
      <c r="E52">
        <v>59</v>
      </c>
      <c r="F52">
        <v>73</v>
      </c>
      <c r="G52">
        <v>71.7</v>
      </c>
      <c r="H52">
        <v>65.5</v>
      </c>
      <c r="J52">
        <v>63</v>
      </c>
      <c r="K52" t="s">
        <v>814</v>
      </c>
      <c r="L52">
        <v>1.5</v>
      </c>
      <c r="M52">
        <v>2</v>
      </c>
      <c r="N52">
        <v>1</v>
      </c>
      <c r="O52">
        <v>3</v>
      </c>
      <c r="P52">
        <v>1</v>
      </c>
      <c r="Q52">
        <v>1.4</v>
      </c>
      <c r="S52">
        <v>124</v>
      </c>
      <c r="T52" t="s">
        <v>814</v>
      </c>
      <c r="U52">
        <v>2.8</v>
      </c>
      <c r="V52">
        <v>2.7</v>
      </c>
      <c r="W52">
        <v>1</v>
      </c>
      <c r="X52">
        <v>1</v>
      </c>
      <c r="Y52">
        <v>3.3</v>
      </c>
      <c r="Z52">
        <v>4</v>
      </c>
      <c r="AB52">
        <v>48</v>
      </c>
      <c r="AC52" t="s">
        <v>814</v>
      </c>
      <c r="AD52">
        <v>70</v>
      </c>
      <c r="AE52">
        <v>69.3</v>
      </c>
      <c r="AF52">
        <v>71</v>
      </c>
      <c r="AG52">
        <v>70</v>
      </c>
      <c r="AH52">
        <v>70</v>
      </c>
      <c r="AI52">
        <v>71</v>
      </c>
      <c r="AK52">
        <v>87</v>
      </c>
      <c r="AL52" t="s">
        <v>814</v>
      </c>
      <c r="AM52">
        <v>1.8</v>
      </c>
      <c r="AN52">
        <v>1.7</v>
      </c>
      <c r="AO52">
        <v>3</v>
      </c>
      <c r="AP52">
        <v>0</v>
      </c>
      <c r="AQ52">
        <v>2.2999999999999998</v>
      </c>
      <c r="AR52">
        <v>1.4</v>
      </c>
      <c r="AT52">
        <v>38</v>
      </c>
      <c r="AU52" t="s">
        <v>814</v>
      </c>
      <c r="AV52">
        <v>4</v>
      </c>
      <c r="AW52">
        <v>4.7</v>
      </c>
      <c r="AX52">
        <v>3</v>
      </c>
      <c r="AY52">
        <v>5</v>
      </c>
      <c r="AZ52">
        <v>3.7</v>
      </c>
      <c r="BA52">
        <v>3.2</v>
      </c>
      <c r="BC52" s="95" t="s">
        <v>814</v>
      </c>
      <c r="BD52" s="13">
        <f t="shared" si="0"/>
        <v>72</v>
      </c>
      <c r="BE52" s="7">
        <f t="shared" si="1"/>
        <v>70</v>
      </c>
      <c r="BF52" s="7">
        <f t="shared" si="2"/>
        <v>1.5</v>
      </c>
      <c r="BG52" s="7">
        <f t="shared" si="3"/>
        <v>2.8</v>
      </c>
      <c r="BH52" s="7">
        <f t="shared" si="4"/>
        <v>1.8</v>
      </c>
      <c r="BI52" s="7">
        <f t="shared" si="5"/>
        <v>4</v>
      </c>
      <c r="BJ52" s="99">
        <f t="shared" si="6"/>
        <v>152.10000000000002</v>
      </c>
      <c r="BK52" s="81">
        <f t="shared" si="7"/>
        <v>0.47337278106508868</v>
      </c>
      <c r="BL52" s="73">
        <f t="shared" si="8"/>
        <v>0.46022353714661401</v>
      </c>
      <c r="BM52" s="79">
        <f t="shared" si="9"/>
        <v>6.6403681788297156E-2</v>
      </c>
    </row>
    <row r="53" spans="1:65" x14ac:dyDescent="0.2">
      <c r="A53">
        <v>20</v>
      </c>
      <c r="B53" t="s">
        <v>801</v>
      </c>
      <c r="C53">
        <v>77.8</v>
      </c>
      <c r="D53">
        <v>77</v>
      </c>
      <c r="E53">
        <v>91</v>
      </c>
      <c r="F53">
        <v>74</v>
      </c>
      <c r="G53">
        <v>81.5</v>
      </c>
      <c r="H53">
        <v>66.099999999999994</v>
      </c>
      <c r="J53">
        <v>62</v>
      </c>
      <c r="K53" t="s">
        <v>801</v>
      </c>
      <c r="L53">
        <v>1.5</v>
      </c>
      <c r="M53">
        <v>1.7</v>
      </c>
      <c r="N53">
        <v>3</v>
      </c>
      <c r="O53">
        <v>2</v>
      </c>
      <c r="P53">
        <v>1</v>
      </c>
      <c r="Q53">
        <v>0.9</v>
      </c>
      <c r="S53">
        <v>95</v>
      </c>
      <c r="T53" t="s">
        <v>801</v>
      </c>
      <c r="U53">
        <v>4.2</v>
      </c>
      <c r="V53">
        <v>3.7</v>
      </c>
      <c r="W53">
        <v>2</v>
      </c>
      <c r="X53">
        <v>3.5</v>
      </c>
      <c r="Y53">
        <v>5</v>
      </c>
      <c r="Z53">
        <v>4.7</v>
      </c>
      <c r="AB53">
        <v>95</v>
      </c>
      <c r="AC53" t="s">
        <v>801</v>
      </c>
      <c r="AD53">
        <v>75.8</v>
      </c>
      <c r="AE53">
        <v>70.3</v>
      </c>
      <c r="AF53">
        <v>62</v>
      </c>
      <c r="AG53">
        <v>72</v>
      </c>
      <c r="AH53">
        <v>79.5</v>
      </c>
      <c r="AI53">
        <v>71.099999999999994</v>
      </c>
      <c r="AK53">
        <v>66</v>
      </c>
      <c r="AL53" t="s">
        <v>801</v>
      </c>
      <c r="AM53">
        <v>1.5</v>
      </c>
      <c r="AN53">
        <v>1.7</v>
      </c>
      <c r="AO53">
        <v>1</v>
      </c>
      <c r="AP53">
        <v>1</v>
      </c>
      <c r="AQ53">
        <v>2</v>
      </c>
      <c r="AR53">
        <v>1.9</v>
      </c>
      <c r="AT53">
        <v>19</v>
      </c>
      <c r="AU53" t="s">
        <v>801</v>
      </c>
      <c r="AV53">
        <v>3.5</v>
      </c>
      <c r="AW53">
        <v>3</v>
      </c>
      <c r="AX53">
        <v>3</v>
      </c>
      <c r="AY53">
        <v>4.5</v>
      </c>
      <c r="AZ53">
        <v>2.5</v>
      </c>
      <c r="BA53">
        <v>4.4000000000000004</v>
      </c>
      <c r="BC53" s="95" t="s">
        <v>801</v>
      </c>
      <c r="BD53" s="13">
        <f t="shared" si="0"/>
        <v>77.8</v>
      </c>
      <c r="BE53" s="7">
        <f t="shared" si="1"/>
        <v>75.8</v>
      </c>
      <c r="BF53" s="7">
        <f t="shared" si="2"/>
        <v>1.5</v>
      </c>
      <c r="BG53" s="7">
        <f t="shared" si="3"/>
        <v>4.2</v>
      </c>
      <c r="BH53" s="7">
        <f t="shared" si="4"/>
        <v>1.5</v>
      </c>
      <c r="BI53" s="7">
        <f t="shared" si="5"/>
        <v>3.5</v>
      </c>
      <c r="BJ53" s="99">
        <f t="shared" si="6"/>
        <v>164.29999999999998</v>
      </c>
      <c r="BK53" s="81">
        <f t="shared" si="7"/>
        <v>0.47352404138770543</v>
      </c>
      <c r="BL53" s="73">
        <f t="shared" si="8"/>
        <v>0.46135118685331711</v>
      </c>
      <c r="BM53" s="79">
        <f t="shared" si="9"/>
        <v>6.5124771758977476E-2</v>
      </c>
    </row>
    <row r="54" spans="1:65" x14ac:dyDescent="0.2">
      <c r="A54">
        <v>33</v>
      </c>
      <c r="B54" t="s">
        <v>806</v>
      </c>
      <c r="C54">
        <v>75.5</v>
      </c>
      <c r="D54">
        <v>73.7</v>
      </c>
      <c r="E54">
        <v>64</v>
      </c>
      <c r="F54">
        <v>84</v>
      </c>
      <c r="G54">
        <v>72.7</v>
      </c>
      <c r="H54">
        <v>72.5</v>
      </c>
      <c r="J54">
        <v>34</v>
      </c>
      <c r="K54" t="s">
        <v>806</v>
      </c>
      <c r="L54">
        <v>2</v>
      </c>
      <c r="M54">
        <v>2</v>
      </c>
      <c r="N54">
        <v>1</v>
      </c>
      <c r="O54">
        <v>5</v>
      </c>
      <c r="P54">
        <v>1</v>
      </c>
      <c r="Q54">
        <v>1.8</v>
      </c>
      <c r="S54">
        <v>76</v>
      </c>
      <c r="T54" t="s">
        <v>806</v>
      </c>
      <c r="U54">
        <v>4.5</v>
      </c>
      <c r="V54">
        <v>5.3</v>
      </c>
      <c r="W54">
        <v>8</v>
      </c>
      <c r="X54">
        <v>2</v>
      </c>
      <c r="Y54">
        <v>5.3</v>
      </c>
      <c r="Z54">
        <v>5.4</v>
      </c>
      <c r="AB54">
        <v>91</v>
      </c>
      <c r="AC54" t="s">
        <v>806</v>
      </c>
      <c r="AD54">
        <v>75</v>
      </c>
      <c r="AE54">
        <v>75.3</v>
      </c>
      <c r="AF54">
        <v>74</v>
      </c>
      <c r="AG54">
        <v>67</v>
      </c>
      <c r="AH54">
        <v>77.7</v>
      </c>
      <c r="AI54">
        <v>71.2</v>
      </c>
      <c r="AK54">
        <v>103</v>
      </c>
      <c r="AL54" t="s">
        <v>806</v>
      </c>
      <c r="AM54">
        <v>2</v>
      </c>
      <c r="AN54">
        <v>2</v>
      </c>
      <c r="AO54">
        <v>3</v>
      </c>
      <c r="AP54">
        <v>2</v>
      </c>
      <c r="AQ54">
        <v>2</v>
      </c>
      <c r="AR54">
        <v>1</v>
      </c>
      <c r="AT54">
        <v>74</v>
      </c>
      <c r="AU54" t="s">
        <v>806</v>
      </c>
      <c r="AV54">
        <v>5</v>
      </c>
      <c r="AW54">
        <v>5.7</v>
      </c>
      <c r="AX54">
        <v>6</v>
      </c>
      <c r="AY54">
        <v>3</v>
      </c>
      <c r="AZ54">
        <v>5.7</v>
      </c>
      <c r="BA54">
        <v>5.7</v>
      </c>
      <c r="BC54" s="95" t="s">
        <v>806</v>
      </c>
      <c r="BD54" s="13">
        <f t="shared" si="0"/>
        <v>75.5</v>
      </c>
      <c r="BE54" s="7">
        <f t="shared" si="1"/>
        <v>75</v>
      </c>
      <c r="BF54" s="7">
        <f t="shared" si="2"/>
        <v>2</v>
      </c>
      <c r="BG54" s="7">
        <f t="shared" si="3"/>
        <v>4.5</v>
      </c>
      <c r="BH54" s="7">
        <f t="shared" si="4"/>
        <v>2</v>
      </c>
      <c r="BI54" s="7">
        <f t="shared" si="5"/>
        <v>5</v>
      </c>
      <c r="BJ54" s="99">
        <f t="shared" si="6"/>
        <v>164</v>
      </c>
      <c r="BK54" s="81">
        <f t="shared" si="7"/>
        <v>0.46036585365853661</v>
      </c>
      <c r="BL54" s="73">
        <f t="shared" si="8"/>
        <v>0.45731707317073172</v>
      </c>
      <c r="BM54" s="79">
        <f t="shared" si="9"/>
        <v>8.2317073170731711E-2</v>
      </c>
    </row>
    <row r="55" spans="1:65" x14ac:dyDescent="0.2">
      <c r="A55">
        <v>79</v>
      </c>
      <c r="B55" t="s">
        <v>201</v>
      </c>
      <c r="C55">
        <v>70.2</v>
      </c>
      <c r="D55">
        <v>65.7</v>
      </c>
      <c r="E55">
        <v>72</v>
      </c>
      <c r="F55">
        <v>69.7</v>
      </c>
      <c r="G55">
        <v>71</v>
      </c>
      <c r="H55">
        <v>79.099999999999994</v>
      </c>
      <c r="J55">
        <v>97</v>
      </c>
      <c r="K55" t="s">
        <v>201</v>
      </c>
      <c r="L55">
        <v>1.2</v>
      </c>
      <c r="M55">
        <v>1.7</v>
      </c>
      <c r="N55">
        <v>3</v>
      </c>
      <c r="O55">
        <v>1</v>
      </c>
      <c r="P55">
        <v>1.5</v>
      </c>
      <c r="Q55">
        <v>0.8</v>
      </c>
      <c r="S55">
        <v>51</v>
      </c>
      <c r="T55" t="s">
        <v>201</v>
      </c>
      <c r="U55">
        <v>5.2</v>
      </c>
      <c r="V55">
        <v>4.3</v>
      </c>
      <c r="W55">
        <v>5</v>
      </c>
      <c r="X55">
        <v>5.3</v>
      </c>
      <c r="Y55">
        <v>5</v>
      </c>
      <c r="Z55">
        <v>6.4</v>
      </c>
      <c r="AB55">
        <v>85</v>
      </c>
      <c r="AC55" t="s">
        <v>201</v>
      </c>
      <c r="AD55">
        <v>74.2</v>
      </c>
      <c r="AE55">
        <v>72.3</v>
      </c>
      <c r="AF55">
        <v>69</v>
      </c>
      <c r="AG55">
        <v>76.3</v>
      </c>
      <c r="AH55">
        <v>71</v>
      </c>
      <c r="AI55">
        <v>79.8</v>
      </c>
      <c r="AK55">
        <v>105</v>
      </c>
      <c r="AL55" t="s">
        <v>201</v>
      </c>
      <c r="AM55">
        <v>2</v>
      </c>
      <c r="AN55">
        <v>2</v>
      </c>
      <c r="AO55">
        <v>2</v>
      </c>
      <c r="AP55">
        <v>1.7</v>
      </c>
      <c r="AQ55">
        <v>2.5</v>
      </c>
      <c r="AR55">
        <v>1.5</v>
      </c>
      <c r="AT55">
        <v>32</v>
      </c>
      <c r="AU55" t="s">
        <v>201</v>
      </c>
      <c r="AV55">
        <v>3.8</v>
      </c>
      <c r="AW55">
        <v>4</v>
      </c>
      <c r="AX55">
        <v>4</v>
      </c>
      <c r="AY55">
        <v>4.7</v>
      </c>
      <c r="AZ55">
        <v>2.5</v>
      </c>
      <c r="BA55">
        <v>5.0999999999999996</v>
      </c>
      <c r="BC55" s="95" t="s">
        <v>201</v>
      </c>
      <c r="BD55" s="13">
        <f t="shared" si="0"/>
        <v>70.2</v>
      </c>
      <c r="BE55" s="7">
        <f t="shared" si="1"/>
        <v>74.2</v>
      </c>
      <c r="BF55" s="7">
        <f t="shared" si="2"/>
        <v>1.2</v>
      </c>
      <c r="BG55" s="7">
        <f t="shared" si="3"/>
        <v>5.2</v>
      </c>
      <c r="BH55" s="7">
        <f t="shared" si="4"/>
        <v>2</v>
      </c>
      <c r="BI55" s="7">
        <f t="shared" si="5"/>
        <v>3.8</v>
      </c>
      <c r="BJ55" s="99">
        <f t="shared" si="6"/>
        <v>156.6</v>
      </c>
      <c r="BK55" s="81">
        <f t="shared" si="7"/>
        <v>0.44827586206896552</v>
      </c>
      <c r="BL55" s="73">
        <f t="shared" si="8"/>
        <v>0.47381864623243936</v>
      </c>
      <c r="BM55" s="79">
        <f t="shared" si="9"/>
        <v>7.7905491698595147E-2</v>
      </c>
    </row>
    <row r="56" spans="1:65" x14ac:dyDescent="0.2">
      <c r="A56">
        <v>26</v>
      </c>
      <c r="B56" t="s">
        <v>217</v>
      </c>
      <c r="C56">
        <v>76.8</v>
      </c>
      <c r="D56">
        <v>76.3</v>
      </c>
      <c r="E56">
        <v>78</v>
      </c>
      <c r="F56">
        <v>78</v>
      </c>
      <c r="G56">
        <v>75.5</v>
      </c>
      <c r="H56">
        <v>70.5</v>
      </c>
      <c r="J56">
        <v>61</v>
      </c>
      <c r="K56" t="s">
        <v>217</v>
      </c>
      <c r="L56">
        <v>1.5</v>
      </c>
      <c r="M56">
        <v>1.7</v>
      </c>
      <c r="N56">
        <v>3</v>
      </c>
      <c r="O56">
        <v>2</v>
      </c>
      <c r="P56">
        <v>1</v>
      </c>
      <c r="Q56">
        <v>1</v>
      </c>
      <c r="S56">
        <v>55</v>
      </c>
      <c r="T56" t="s">
        <v>217</v>
      </c>
      <c r="U56">
        <v>5</v>
      </c>
      <c r="V56">
        <v>5</v>
      </c>
      <c r="W56">
        <v>5</v>
      </c>
      <c r="X56">
        <v>5</v>
      </c>
      <c r="Y56">
        <v>5</v>
      </c>
      <c r="Z56">
        <v>5.8</v>
      </c>
      <c r="AB56">
        <v>71</v>
      </c>
      <c r="AC56" t="s">
        <v>217</v>
      </c>
      <c r="AD56">
        <v>73.2</v>
      </c>
      <c r="AE56">
        <v>75.3</v>
      </c>
      <c r="AF56">
        <v>78</v>
      </c>
      <c r="AG56">
        <v>72.5</v>
      </c>
      <c r="AH56">
        <v>74</v>
      </c>
      <c r="AI56">
        <v>71.8</v>
      </c>
      <c r="AK56">
        <v>26</v>
      </c>
      <c r="AL56" t="s">
        <v>217</v>
      </c>
      <c r="AM56">
        <v>1</v>
      </c>
      <c r="AN56">
        <v>1.3</v>
      </c>
      <c r="AO56">
        <v>1</v>
      </c>
      <c r="AP56">
        <v>0.5</v>
      </c>
      <c r="AQ56">
        <v>1.5</v>
      </c>
      <c r="AR56">
        <v>1.4</v>
      </c>
      <c r="AT56">
        <v>60</v>
      </c>
      <c r="AU56" t="s">
        <v>217</v>
      </c>
      <c r="AV56">
        <v>4.8</v>
      </c>
      <c r="AW56">
        <v>4.3</v>
      </c>
      <c r="AX56">
        <v>4</v>
      </c>
      <c r="AY56">
        <v>5</v>
      </c>
      <c r="AZ56">
        <v>4.5</v>
      </c>
      <c r="BA56">
        <v>2.7</v>
      </c>
      <c r="BC56" s="95" t="s">
        <v>217</v>
      </c>
      <c r="BD56" s="13">
        <f t="shared" si="0"/>
        <v>76.8</v>
      </c>
      <c r="BE56" s="7">
        <f t="shared" si="1"/>
        <v>73.2</v>
      </c>
      <c r="BF56" s="7">
        <f t="shared" si="2"/>
        <v>1.5</v>
      </c>
      <c r="BG56" s="7">
        <f t="shared" si="3"/>
        <v>5</v>
      </c>
      <c r="BH56" s="7">
        <f t="shared" si="4"/>
        <v>1</v>
      </c>
      <c r="BI56" s="7">
        <f t="shared" si="5"/>
        <v>4.8</v>
      </c>
      <c r="BJ56" s="99">
        <f t="shared" si="6"/>
        <v>162.30000000000001</v>
      </c>
      <c r="BK56" s="81">
        <f t="shared" si="7"/>
        <v>0.47319778188539735</v>
      </c>
      <c r="BL56" s="73">
        <f t="shared" si="8"/>
        <v>0.4510166358595194</v>
      </c>
      <c r="BM56" s="79">
        <f t="shared" si="9"/>
        <v>7.5785582255083181E-2</v>
      </c>
    </row>
    <row r="57" spans="1:65" x14ac:dyDescent="0.2">
      <c r="A57">
        <v>18</v>
      </c>
      <c r="B57" t="s">
        <v>219</v>
      </c>
      <c r="C57">
        <v>78</v>
      </c>
      <c r="D57">
        <v>80</v>
      </c>
      <c r="E57">
        <v>92</v>
      </c>
      <c r="F57">
        <v>82</v>
      </c>
      <c r="G57">
        <v>74</v>
      </c>
      <c r="H57">
        <v>76.900000000000006</v>
      </c>
      <c r="J57">
        <v>44</v>
      </c>
      <c r="K57" t="s">
        <v>219</v>
      </c>
      <c r="L57">
        <v>1.8</v>
      </c>
      <c r="M57">
        <v>1.7</v>
      </c>
      <c r="N57">
        <v>1</v>
      </c>
      <c r="O57">
        <v>1.5</v>
      </c>
      <c r="P57">
        <v>2</v>
      </c>
      <c r="Q57">
        <v>2.7</v>
      </c>
      <c r="S57">
        <v>118</v>
      </c>
      <c r="T57" t="s">
        <v>219</v>
      </c>
      <c r="U57">
        <v>3</v>
      </c>
      <c r="V57">
        <v>3</v>
      </c>
      <c r="W57">
        <v>2</v>
      </c>
      <c r="X57">
        <v>2.5</v>
      </c>
      <c r="Y57">
        <v>3.5</v>
      </c>
      <c r="Z57">
        <v>5.0999999999999996</v>
      </c>
      <c r="AB57">
        <v>35</v>
      </c>
      <c r="AC57" t="s">
        <v>219</v>
      </c>
      <c r="AD57">
        <v>68</v>
      </c>
      <c r="AE57">
        <v>73.3</v>
      </c>
      <c r="AF57">
        <v>54</v>
      </c>
      <c r="AG57">
        <v>53</v>
      </c>
      <c r="AH57">
        <v>83</v>
      </c>
      <c r="AI57">
        <v>72.2</v>
      </c>
      <c r="AK57">
        <v>47</v>
      </c>
      <c r="AL57" t="s">
        <v>219</v>
      </c>
      <c r="AM57">
        <v>1.2</v>
      </c>
      <c r="AN57">
        <v>1.3</v>
      </c>
      <c r="AO57">
        <v>2</v>
      </c>
      <c r="AP57">
        <v>1.5</v>
      </c>
      <c r="AQ57">
        <v>1</v>
      </c>
      <c r="AR57">
        <v>1.4</v>
      </c>
      <c r="AT57">
        <v>118</v>
      </c>
      <c r="AU57" t="s">
        <v>219</v>
      </c>
      <c r="AV57">
        <v>6.5</v>
      </c>
      <c r="AW57">
        <v>5.7</v>
      </c>
      <c r="AX57">
        <v>7</v>
      </c>
      <c r="AY57">
        <v>8</v>
      </c>
      <c r="AZ57">
        <v>5</v>
      </c>
      <c r="BA57">
        <v>6</v>
      </c>
      <c r="BC57" s="95" t="s">
        <v>219</v>
      </c>
      <c r="BD57" s="13">
        <f t="shared" si="0"/>
        <v>78</v>
      </c>
      <c r="BE57" s="7">
        <f t="shared" si="1"/>
        <v>68</v>
      </c>
      <c r="BF57" s="7">
        <f t="shared" si="2"/>
        <v>1.8</v>
      </c>
      <c r="BG57" s="7">
        <f t="shared" si="3"/>
        <v>3</v>
      </c>
      <c r="BH57" s="7">
        <f t="shared" si="4"/>
        <v>1.2</v>
      </c>
      <c r="BI57" s="7">
        <f t="shared" si="5"/>
        <v>6.5</v>
      </c>
      <c r="BJ57" s="99">
        <f t="shared" si="6"/>
        <v>158.5</v>
      </c>
      <c r="BK57" s="81">
        <f t="shared" si="7"/>
        <v>0.49211356466876971</v>
      </c>
      <c r="BL57" s="73">
        <f t="shared" si="8"/>
        <v>0.42902208201892744</v>
      </c>
      <c r="BM57" s="79">
        <f t="shared" si="9"/>
        <v>7.8864353312302835E-2</v>
      </c>
    </row>
    <row r="58" spans="1:65" x14ac:dyDescent="0.2">
      <c r="A58">
        <v>106</v>
      </c>
      <c r="B58" t="s">
        <v>221</v>
      </c>
      <c r="C58">
        <v>66.2</v>
      </c>
      <c r="D58">
        <v>73</v>
      </c>
      <c r="E58">
        <v>84</v>
      </c>
      <c r="F58">
        <v>67.5</v>
      </c>
      <c r="G58">
        <v>65</v>
      </c>
      <c r="H58">
        <v>71.5</v>
      </c>
      <c r="J58">
        <v>105</v>
      </c>
      <c r="K58" t="s">
        <v>221</v>
      </c>
      <c r="L58">
        <v>1</v>
      </c>
      <c r="M58">
        <v>1.3</v>
      </c>
      <c r="N58">
        <v>2</v>
      </c>
      <c r="O58">
        <v>1</v>
      </c>
      <c r="P58">
        <v>1</v>
      </c>
      <c r="Q58">
        <v>1.7</v>
      </c>
      <c r="S58">
        <v>43</v>
      </c>
      <c r="T58" t="s">
        <v>221</v>
      </c>
      <c r="U58">
        <v>5.5</v>
      </c>
      <c r="V58">
        <v>5</v>
      </c>
      <c r="W58">
        <v>2</v>
      </c>
      <c r="X58">
        <v>6.5</v>
      </c>
      <c r="Y58">
        <v>4.5</v>
      </c>
      <c r="Z58">
        <v>5.2</v>
      </c>
      <c r="AB58">
        <v>63</v>
      </c>
      <c r="AC58" t="s">
        <v>221</v>
      </c>
      <c r="AD58">
        <v>72</v>
      </c>
      <c r="AE58">
        <v>68.3</v>
      </c>
      <c r="AF58">
        <v>69</v>
      </c>
      <c r="AG58">
        <v>68</v>
      </c>
      <c r="AH58">
        <v>76</v>
      </c>
      <c r="AI58">
        <v>73.8</v>
      </c>
      <c r="AK58">
        <v>62</v>
      </c>
      <c r="AL58" t="s">
        <v>221</v>
      </c>
      <c r="AM58">
        <v>1.5</v>
      </c>
      <c r="AN58">
        <v>1.7</v>
      </c>
      <c r="AO58">
        <v>2</v>
      </c>
      <c r="AP58">
        <v>1.5</v>
      </c>
      <c r="AQ58">
        <v>1.5</v>
      </c>
      <c r="AR58">
        <v>1.8</v>
      </c>
      <c r="AT58">
        <v>48</v>
      </c>
      <c r="AU58" t="s">
        <v>221</v>
      </c>
      <c r="AV58">
        <v>4.2</v>
      </c>
      <c r="AW58">
        <v>4.7</v>
      </c>
      <c r="AX58">
        <v>6</v>
      </c>
      <c r="AY58">
        <v>4</v>
      </c>
      <c r="AZ58">
        <v>4.5</v>
      </c>
      <c r="BA58">
        <v>5.9</v>
      </c>
      <c r="BC58" s="95" t="s">
        <v>221</v>
      </c>
      <c r="BD58" s="13">
        <f t="shared" si="0"/>
        <v>66.2</v>
      </c>
      <c r="BE58" s="7">
        <f t="shared" si="1"/>
        <v>72</v>
      </c>
      <c r="BF58" s="7">
        <f t="shared" si="2"/>
        <v>1</v>
      </c>
      <c r="BG58" s="7">
        <f t="shared" si="3"/>
        <v>5.5</v>
      </c>
      <c r="BH58" s="7">
        <f t="shared" si="4"/>
        <v>1.5</v>
      </c>
      <c r="BI58" s="7">
        <f t="shared" si="5"/>
        <v>4.2</v>
      </c>
      <c r="BJ58" s="99">
        <f t="shared" si="6"/>
        <v>150.39999999999998</v>
      </c>
      <c r="BK58" s="81">
        <f t="shared" si="7"/>
        <v>0.44015957446808518</v>
      </c>
      <c r="BL58" s="73">
        <f t="shared" si="8"/>
        <v>0.47872340425531923</v>
      </c>
      <c r="BM58" s="79">
        <f t="shared" si="9"/>
        <v>8.1117021276595758E-2</v>
      </c>
    </row>
    <row r="59" spans="1:65" x14ac:dyDescent="0.2">
      <c r="A59">
        <v>38</v>
      </c>
      <c r="B59" t="s">
        <v>227</v>
      </c>
      <c r="C59">
        <v>74.8</v>
      </c>
      <c r="D59">
        <v>71.7</v>
      </c>
      <c r="E59">
        <v>64</v>
      </c>
      <c r="F59">
        <v>73</v>
      </c>
      <c r="G59">
        <v>76.5</v>
      </c>
      <c r="H59">
        <v>63</v>
      </c>
      <c r="J59">
        <v>126</v>
      </c>
      <c r="K59" t="s">
        <v>227</v>
      </c>
      <c r="L59">
        <v>0.5</v>
      </c>
      <c r="M59">
        <v>0.7</v>
      </c>
      <c r="N59">
        <v>1</v>
      </c>
      <c r="O59">
        <v>0</v>
      </c>
      <c r="P59">
        <v>1</v>
      </c>
      <c r="Q59">
        <v>1.2</v>
      </c>
      <c r="S59">
        <v>5</v>
      </c>
      <c r="T59" t="s">
        <v>227</v>
      </c>
      <c r="U59">
        <v>7.2</v>
      </c>
      <c r="V59">
        <v>8.6999999999999993</v>
      </c>
      <c r="W59">
        <v>8</v>
      </c>
      <c r="X59">
        <v>6</v>
      </c>
      <c r="Y59">
        <v>8.5</v>
      </c>
      <c r="Z59">
        <v>5.6</v>
      </c>
      <c r="AB59">
        <v>103</v>
      </c>
      <c r="AC59" t="s">
        <v>227</v>
      </c>
      <c r="AD59">
        <v>76.5</v>
      </c>
      <c r="AE59">
        <v>77.3</v>
      </c>
      <c r="AF59">
        <v>75</v>
      </c>
      <c r="AG59">
        <v>77</v>
      </c>
      <c r="AH59">
        <v>76</v>
      </c>
      <c r="AI59">
        <v>71.7</v>
      </c>
      <c r="AK59">
        <v>53</v>
      </c>
      <c r="AL59" t="s">
        <v>227</v>
      </c>
      <c r="AM59">
        <v>1.2</v>
      </c>
      <c r="AN59">
        <v>1.7</v>
      </c>
      <c r="AO59">
        <v>2</v>
      </c>
      <c r="AP59">
        <v>1</v>
      </c>
      <c r="AQ59">
        <v>1.5</v>
      </c>
      <c r="AR59">
        <v>1.3</v>
      </c>
      <c r="AT59">
        <v>101</v>
      </c>
      <c r="AU59" t="s">
        <v>227</v>
      </c>
      <c r="AV59">
        <v>5.8</v>
      </c>
      <c r="AW59">
        <v>6</v>
      </c>
      <c r="AX59">
        <v>8</v>
      </c>
      <c r="AY59">
        <v>4</v>
      </c>
      <c r="AZ59">
        <v>7.5</v>
      </c>
      <c r="BA59">
        <v>4.8</v>
      </c>
      <c r="BC59" s="95" t="s">
        <v>227</v>
      </c>
      <c r="BD59" s="13">
        <f t="shared" si="0"/>
        <v>74.8</v>
      </c>
      <c r="BE59" s="7">
        <f t="shared" si="1"/>
        <v>76.5</v>
      </c>
      <c r="BF59" s="7">
        <f t="shared" si="2"/>
        <v>0.5</v>
      </c>
      <c r="BG59" s="7">
        <f t="shared" si="3"/>
        <v>7.2</v>
      </c>
      <c r="BH59" s="7">
        <f t="shared" si="4"/>
        <v>1.2</v>
      </c>
      <c r="BI59" s="7">
        <f t="shared" si="5"/>
        <v>5.8</v>
      </c>
      <c r="BJ59" s="99">
        <f t="shared" si="6"/>
        <v>166</v>
      </c>
      <c r="BK59" s="81">
        <f t="shared" si="7"/>
        <v>0.45060240963855419</v>
      </c>
      <c r="BL59" s="73">
        <f t="shared" si="8"/>
        <v>0.46084337349397592</v>
      </c>
      <c r="BM59" s="79">
        <f t="shared" si="9"/>
        <v>8.8554216867469879E-2</v>
      </c>
    </row>
    <row r="60" spans="1:65" x14ac:dyDescent="0.2">
      <c r="A60">
        <v>112</v>
      </c>
      <c r="B60" t="s">
        <v>231</v>
      </c>
      <c r="C60">
        <v>65</v>
      </c>
      <c r="D60">
        <v>58.7</v>
      </c>
      <c r="E60">
        <v>62</v>
      </c>
      <c r="F60">
        <v>65</v>
      </c>
      <c r="G60">
        <v>65</v>
      </c>
      <c r="H60">
        <v>74.3</v>
      </c>
      <c r="J60">
        <v>117</v>
      </c>
      <c r="K60" t="s">
        <v>231</v>
      </c>
      <c r="L60">
        <v>1</v>
      </c>
      <c r="M60">
        <v>1.3</v>
      </c>
      <c r="N60">
        <v>1</v>
      </c>
      <c r="O60">
        <v>0.5</v>
      </c>
      <c r="P60">
        <v>1.5</v>
      </c>
      <c r="Q60">
        <v>1.5</v>
      </c>
      <c r="S60">
        <v>94</v>
      </c>
      <c r="T60" t="s">
        <v>231</v>
      </c>
      <c r="U60">
        <v>4.2</v>
      </c>
      <c r="V60">
        <v>3.7</v>
      </c>
      <c r="W60">
        <v>3</v>
      </c>
      <c r="X60">
        <v>5</v>
      </c>
      <c r="Y60">
        <v>3.5</v>
      </c>
      <c r="Z60">
        <v>4.3</v>
      </c>
      <c r="AB60">
        <v>76</v>
      </c>
      <c r="AC60" t="s">
        <v>231</v>
      </c>
      <c r="AD60">
        <v>73.5</v>
      </c>
      <c r="AE60">
        <v>79.7</v>
      </c>
      <c r="AF60">
        <v>91</v>
      </c>
      <c r="AG60">
        <v>68</v>
      </c>
      <c r="AH60">
        <v>79</v>
      </c>
      <c r="AI60">
        <v>80.8</v>
      </c>
      <c r="AK60">
        <v>85</v>
      </c>
      <c r="AL60" t="s">
        <v>231</v>
      </c>
      <c r="AM60">
        <v>1.8</v>
      </c>
      <c r="AN60">
        <v>1.7</v>
      </c>
      <c r="AO60">
        <v>3</v>
      </c>
      <c r="AP60">
        <v>2</v>
      </c>
      <c r="AQ60">
        <v>1.5</v>
      </c>
      <c r="AR60">
        <v>1.1000000000000001</v>
      </c>
      <c r="AT60">
        <v>58</v>
      </c>
      <c r="AU60" t="s">
        <v>231</v>
      </c>
      <c r="AV60">
        <v>4.5</v>
      </c>
      <c r="AW60">
        <v>4.3</v>
      </c>
      <c r="AX60">
        <v>2</v>
      </c>
      <c r="AY60">
        <v>4.5</v>
      </c>
      <c r="AZ60">
        <v>4.5</v>
      </c>
      <c r="BA60">
        <v>5.2</v>
      </c>
      <c r="BC60" s="95" t="s">
        <v>231</v>
      </c>
      <c r="BD60" s="13">
        <f t="shared" si="0"/>
        <v>65</v>
      </c>
      <c r="BE60" s="7">
        <f t="shared" si="1"/>
        <v>73.5</v>
      </c>
      <c r="BF60" s="7">
        <f t="shared" si="2"/>
        <v>1</v>
      </c>
      <c r="BG60" s="7">
        <f t="shared" si="3"/>
        <v>4.2</v>
      </c>
      <c r="BH60" s="7">
        <f t="shared" si="4"/>
        <v>1.8</v>
      </c>
      <c r="BI60" s="7">
        <f t="shared" si="5"/>
        <v>4.5</v>
      </c>
      <c r="BJ60" s="99">
        <f t="shared" si="6"/>
        <v>150</v>
      </c>
      <c r="BK60" s="81">
        <f t="shared" si="7"/>
        <v>0.43333333333333335</v>
      </c>
      <c r="BL60" s="73">
        <f t="shared" si="8"/>
        <v>0.49</v>
      </c>
      <c r="BM60" s="79">
        <f t="shared" si="9"/>
        <v>7.6666666666666661E-2</v>
      </c>
    </row>
    <row r="61" spans="1:65" x14ac:dyDescent="0.2">
      <c r="A61">
        <v>37</v>
      </c>
      <c r="B61" t="s">
        <v>234</v>
      </c>
      <c r="C61">
        <v>74.8</v>
      </c>
      <c r="D61">
        <v>74.3</v>
      </c>
      <c r="E61">
        <v>82</v>
      </c>
      <c r="F61">
        <v>71.5</v>
      </c>
      <c r="G61">
        <v>78</v>
      </c>
      <c r="H61">
        <v>66</v>
      </c>
      <c r="J61">
        <v>16</v>
      </c>
      <c r="K61" t="s">
        <v>234</v>
      </c>
      <c r="L61">
        <v>2</v>
      </c>
      <c r="M61">
        <v>1.7</v>
      </c>
      <c r="N61">
        <v>0</v>
      </c>
      <c r="O61">
        <v>0.5</v>
      </c>
      <c r="P61">
        <v>3.5</v>
      </c>
      <c r="Q61">
        <v>1</v>
      </c>
      <c r="S61">
        <v>114</v>
      </c>
      <c r="T61" t="s">
        <v>234</v>
      </c>
      <c r="U61">
        <v>3.5</v>
      </c>
      <c r="V61">
        <v>3.3</v>
      </c>
      <c r="W61">
        <v>3</v>
      </c>
      <c r="X61">
        <v>3.5</v>
      </c>
      <c r="Y61">
        <v>3.5</v>
      </c>
      <c r="Z61">
        <v>5.0999999999999996</v>
      </c>
      <c r="AB61">
        <v>25</v>
      </c>
      <c r="AC61" t="s">
        <v>234</v>
      </c>
      <c r="AD61">
        <v>66.8</v>
      </c>
      <c r="AE61">
        <v>70.7</v>
      </c>
      <c r="AF61">
        <v>65</v>
      </c>
      <c r="AG61">
        <v>73.5</v>
      </c>
      <c r="AH61">
        <v>60</v>
      </c>
      <c r="AI61">
        <v>68.099999999999994</v>
      </c>
      <c r="AK61">
        <v>70</v>
      </c>
      <c r="AL61" t="s">
        <v>234</v>
      </c>
      <c r="AM61">
        <v>1.5</v>
      </c>
      <c r="AN61">
        <v>1.7</v>
      </c>
      <c r="AO61">
        <v>0</v>
      </c>
      <c r="AP61">
        <v>1</v>
      </c>
      <c r="AQ61">
        <v>2</v>
      </c>
      <c r="AR61">
        <v>2.2000000000000002</v>
      </c>
      <c r="AT61">
        <v>71</v>
      </c>
      <c r="AU61" t="s">
        <v>234</v>
      </c>
      <c r="AV61">
        <v>5</v>
      </c>
      <c r="AW61">
        <v>5.7</v>
      </c>
      <c r="AX61">
        <v>7</v>
      </c>
      <c r="AY61">
        <v>6.5</v>
      </c>
      <c r="AZ61">
        <v>3.5</v>
      </c>
      <c r="BA61">
        <v>6.1</v>
      </c>
      <c r="BC61" s="95" t="s">
        <v>234</v>
      </c>
      <c r="BD61" s="13">
        <f t="shared" si="0"/>
        <v>74.8</v>
      </c>
      <c r="BE61" s="7">
        <f t="shared" si="1"/>
        <v>66.8</v>
      </c>
      <c r="BF61" s="7">
        <f t="shared" si="2"/>
        <v>2</v>
      </c>
      <c r="BG61" s="7">
        <f t="shared" si="3"/>
        <v>3.5</v>
      </c>
      <c r="BH61" s="7">
        <f t="shared" si="4"/>
        <v>1.5</v>
      </c>
      <c r="BI61" s="7">
        <f t="shared" si="5"/>
        <v>5</v>
      </c>
      <c r="BJ61" s="99">
        <f t="shared" si="6"/>
        <v>153.6</v>
      </c>
      <c r="BK61" s="81">
        <f t="shared" si="7"/>
        <v>0.48697916666666669</v>
      </c>
      <c r="BL61" s="73">
        <f t="shared" si="8"/>
        <v>0.43489583333333331</v>
      </c>
      <c r="BM61" s="79">
        <f t="shared" si="9"/>
        <v>7.8125E-2</v>
      </c>
    </row>
    <row r="62" spans="1:65" x14ac:dyDescent="0.2">
      <c r="A62">
        <v>122</v>
      </c>
      <c r="B62" t="s">
        <v>239</v>
      </c>
      <c r="C62">
        <v>64</v>
      </c>
      <c r="D62">
        <v>67.7</v>
      </c>
      <c r="E62">
        <v>74</v>
      </c>
      <c r="F62">
        <v>74</v>
      </c>
      <c r="G62">
        <v>60.7</v>
      </c>
      <c r="H62">
        <v>69.7</v>
      </c>
      <c r="J62">
        <v>94</v>
      </c>
      <c r="K62" t="s">
        <v>239</v>
      </c>
      <c r="L62">
        <v>1.2</v>
      </c>
      <c r="M62">
        <v>1.7</v>
      </c>
      <c r="N62">
        <v>2</v>
      </c>
      <c r="O62">
        <v>2</v>
      </c>
      <c r="P62">
        <v>1</v>
      </c>
      <c r="Q62">
        <v>1.1000000000000001</v>
      </c>
      <c r="S62">
        <v>3</v>
      </c>
      <c r="T62" t="s">
        <v>239</v>
      </c>
      <c r="U62">
        <v>7.5</v>
      </c>
      <c r="V62">
        <v>7.7</v>
      </c>
      <c r="W62">
        <v>7</v>
      </c>
      <c r="X62">
        <v>7</v>
      </c>
      <c r="Y62">
        <v>7.7</v>
      </c>
      <c r="Z62">
        <v>5.5</v>
      </c>
      <c r="AB62">
        <v>87</v>
      </c>
      <c r="AC62" t="s">
        <v>239</v>
      </c>
      <c r="AD62">
        <v>74.5</v>
      </c>
      <c r="AE62">
        <v>75.7</v>
      </c>
      <c r="AF62">
        <v>71</v>
      </c>
      <c r="AG62">
        <v>71</v>
      </c>
      <c r="AH62">
        <v>75.7</v>
      </c>
      <c r="AI62">
        <v>72.2</v>
      </c>
      <c r="AK62">
        <v>1</v>
      </c>
      <c r="AL62" t="s">
        <v>239</v>
      </c>
      <c r="AM62">
        <v>0.2</v>
      </c>
      <c r="AN62">
        <v>0</v>
      </c>
      <c r="AO62">
        <v>0</v>
      </c>
      <c r="AP62">
        <v>0</v>
      </c>
      <c r="AQ62">
        <v>0.3</v>
      </c>
      <c r="AR62">
        <v>0.8</v>
      </c>
      <c r="AT62">
        <v>14</v>
      </c>
      <c r="AU62" t="s">
        <v>239</v>
      </c>
      <c r="AV62">
        <v>3.2</v>
      </c>
      <c r="AW62">
        <v>4</v>
      </c>
      <c r="AX62">
        <v>5</v>
      </c>
      <c r="AY62">
        <v>5</v>
      </c>
      <c r="AZ62">
        <v>2.7</v>
      </c>
      <c r="BA62">
        <v>5.8</v>
      </c>
      <c r="BC62" s="95" t="s">
        <v>239</v>
      </c>
      <c r="BD62" s="13">
        <f t="shared" si="0"/>
        <v>64</v>
      </c>
      <c r="BE62" s="7">
        <f t="shared" si="1"/>
        <v>74.5</v>
      </c>
      <c r="BF62" s="7">
        <f t="shared" si="2"/>
        <v>1.2</v>
      </c>
      <c r="BG62" s="7">
        <f t="shared" si="3"/>
        <v>7.5</v>
      </c>
      <c r="BH62" s="7">
        <f t="shared" si="4"/>
        <v>0.2</v>
      </c>
      <c r="BI62" s="7">
        <f t="shared" si="5"/>
        <v>3.2</v>
      </c>
      <c r="BJ62" s="99">
        <f t="shared" si="6"/>
        <v>150.59999999999997</v>
      </c>
      <c r="BK62" s="81">
        <f t="shared" si="7"/>
        <v>0.42496679946879162</v>
      </c>
      <c r="BL62" s="73">
        <f t="shared" si="8"/>
        <v>0.49468791500664022</v>
      </c>
      <c r="BM62" s="79">
        <f t="shared" si="9"/>
        <v>8.0345285524568391E-2</v>
      </c>
    </row>
    <row r="63" spans="1:65" x14ac:dyDescent="0.2">
      <c r="A63">
        <v>78</v>
      </c>
      <c r="B63" t="s">
        <v>106</v>
      </c>
      <c r="C63">
        <v>70.400000000000006</v>
      </c>
      <c r="D63">
        <v>64</v>
      </c>
      <c r="E63">
        <v>60</v>
      </c>
      <c r="F63">
        <v>72.2</v>
      </c>
      <c r="G63">
        <v>63</v>
      </c>
      <c r="H63">
        <v>70.7</v>
      </c>
      <c r="J63">
        <v>60</v>
      </c>
      <c r="K63" t="s">
        <v>106</v>
      </c>
      <c r="L63">
        <v>1.6</v>
      </c>
      <c r="M63">
        <v>1.3</v>
      </c>
      <c r="N63">
        <v>3</v>
      </c>
      <c r="O63">
        <v>2</v>
      </c>
      <c r="P63">
        <v>0</v>
      </c>
      <c r="Q63">
        <v>2.1</v>
      </c>
      <c r="S63">
        <v>98</v>
      </c>
      <c r="T63" t="s">
        <v>106</v>
      </c>
      <c r="U63">
        <v>4.2</v>
      </c>
      <c r="V63">
        <v>5</v>
      </c>
      <c r="W63">
        <v>8</v>
      </c>
      <c r="X63">
        <v>4</v>
      </c>
      <c r="Y63">
        <v>5</v>
      </c>
      <c r="Z63">
        <v>3.3</v>
      </c>
      <c r="AB63">
        <v>43</v>
      </c>
      <c r="AC63" t="s">
        <v>106</v>
      </c>
      <c r="AD63">
        <v>69.2</v>
      </c>
      <c r="AE63">
        <v>69.3</v>
      </c>
      <c r="AF63">
        <v>80</v>
      </c>
      <c r="AG63">
        <v>68</v>
      </c>
      <c r="AH63">
        <v>74</v>
      </c>
      <c r="AI63">
        <v>62.6</v>
      </c>
      <c r="AK63">
        <v>7</v>
      </c>
      <c r="AL63" t="s">
        <v>106</v>
      </c>
      <c r="AM63">
        <v>0.6</v>
      </c>
      <c r="AN63">
        <v>0.7</v>
      </c>
      <c r="AO63">
        <v>1</v>
      </c>
      <c r="AP63">
        <v>0.5</v>
      </c>
      <c r="AQ63">
        <v>1</v>
      </c>
      <c r="AR63">
        <v>0.8</v>
      </c>
      <c r="AT63">
        <v>109</v>
      </c>
      <c r="AU63" t="s">
        <v>106</v>
      </c>
      <c r="AV63">
        <v>6.2</v>
      </c>
      <c r="AW63">
        <v>6</v>
      </c>
      <c r="AX63">
        <v>7</v>
      </c>
      <c r="AY63">
        <v>6.8</v>
      </c>
      <c r="AZ63">
        <v>4</v>
      </c>
      <c r="BA63">
        <v>6.1</v>
      </c>
      <c r="BC63" s="95" t="s">
        <v>106</v>
      </c>
      <c r="BD63" s="13">
        <f t="shared" si="0"/>
        <v>70.400000000000006</v>
      </c>
      <c r="BE63" s="7">
        <f t="shared" si="1"/>
        <v>69.2</v>
      </c>
      <c r="BF63" s="7">
        <f t="shared" si="2"/>
        <v>1.6</v>
      </c>
      <c r="BG63" s="7">
        <f t="shared" si="3"/>
        <v>4.2</v>
      </c>
      <c r="BH63" s="7">
        <f t="shared" si="4"/>
        <v>0.6</v>
      </c>
      <c r="BI63" s="7">
        <f t="shared" si="5"/>
        <v>6.2</v>
      </c>
      <c r="BJ63" s="99">
        <f t="shared" si="6"/>
        <v>152.19999999999999</v>
      </c>
      <c r="BK63" s="81">
        <f t="shared" si="7"/>
        <v>0.46254927726675432</v>
      </c>
      <c r="BL63" s="73">
        <f t="shared" si="8"/>
        <v>0.454664914586071</v>
      </c>
      <c r="BM63" s="79">
        <f t="shared" si="9"/>
        <v>8.2785808147174789E-2</v>
      </c>
    </row>
    <row r="64" spans="1:65" x14ac:dyDescent="0.2">
      <c r="A64">
        <v>65</v>
      </c>
      <c r="B64" t="s">
        <v>764</v>
      </c>
      <c r="C64">
        <v>71.7</v>
      </c>
      <c r="D64">
        <v>69.7</v>
      </c>
      <c r="E64">
        <v>68</v>
      </c>
      <c r="F64">
        <v>72.5</v>
      </c>
      <c r="G64">
        <v>70</v>
      </c>
      <c r="H64">
        <v>75.900000000000006</v>
      </c>
      <c r="J64">
        <v>3</v>
      </c>
      <c r="K64" t="s">
        <v>764</v>
      </c>
      <c r="L64">
        <v>2.8</v>
      </c>
      <c r="M64">
        <v>2.2999999999999998</v>
      </c>
      <c r="N64">
        <v>2</v>
      </c>
      <c r="O64">
        <v>3.2</v>
      </c>
      <c r="P64">
        <v>2</v>
      </c>
      <c r="Q64">
        <v>1.7</v>
      </c>
      <c r="S64">
        <v>77</v>
      </c>
      <c r="T64" t="s">
        <v>764</v>
      </c>
      <c r="U64">
        <v>4.5</v>
      </c>
      <c r="V64">
        <v>5.7</v>
      </c>
      <c r="W64">
        <v>7</v>
      </c>
      <c r="X64">
        <v>3.5</v>
      </c>
      <c r="Y64">
        <v>6.5</v>
      </c>
      <c r="Z64">
        <v>6.5</v>
      </c>
      <c r="AB64">
        <v>41</v>
      </c>
      <c r="AC64" t="s">
        <v>764</v>
      </c>
      <c r="AD64">
        <v>69</v>
      </c>
      <c r="AE64">
        <v>76.3</v>
      </c>
      <c r="AF64">
        <v>77</v>
      </c>
      <c r="AG64">
        <v>63.8</v>
      </c>
      <c r="AH64">
        <v>79.5</v>
      </c>
      <c r="AI64">
        <v>68.900000000000006</v>
      </c>
      <c r="AK64">
        <v>69</v>
      </c>
      <c r="AL64" t="s">
        <v>764</v>
      </c>
      <c r="AM64">
        <v>1.5</v>
      </c>
      <c r="AN64">
        <v>1.7</v>
      </c>
      <c r="AO64">
        <v>3</v>
      </c>
      <c r="AP64">
        <v>1.2</v>
      </c>
      <c r="AQ64">
        <v>2</v>
      </c>
      <c r="AR64">
        <v>1.8</v>
      </c>
      <c r="AT64">
        <v>99</v>
      </c>
      <c r="AU64" t="s">
        <v>764</v>
      </c>
      <c r="AV64">
        <v>5.7</v>
      </c>
      <c r="AW64">
        <v>5</v>
      </c>
      <c r="AX64">
        <v>4</v>
      </c>
      <c r="AY64">
        <v>6</v>
      </c>
      <c r="AZ64">
        <v>5</v>
      </c>
      <c r="BA64">
        <v>6.7</v>
      </c>
      <c r="BC64" s="95" t="s">
        <v>764</v>
      </c>
      <c r="BD64" s="13">
        <f t="shared" si="0"/>
        <v>71.7</v>
      </c>
      <c r="BE64" s="7">
        <f t="shared" si="1"/>
        <v>69</v>
      </c>
      <c r="BF64" s="7">
        <f t="shared" si="2"/>
        <v>2.8</v>
      </c>
      <c r="BG64" s="7">
        <f t="shared" si="3"/>
        <v>4.5</v>
      </c>
      <c r="BH64" s="7">
        <f t="shared" si="4"/>
        <v>1.5</v>
      </c>
      <c r="BI64" s="7">
        <f t="shared" si="5"/>
        <v>5.7</v>
      </c>
      <c r="BJ64" s="99">
        <f t="shared" si="6"/>
        <v>155.19999999999999</v>
      </c>
      <c r="BK64" s="81">
        <f t="shared" si="7"/>
        <v>0.46198453608247431</v>
      </c>
      <c r="BL64" s="73">
        <f t="shared" si="8"/>
        <v>0.44458762886597941</v>
      </c>
      <c r="BM64" s="79">
        <f t="shared" si="9"/>
        <v>9.3427835051546393E-2</v>
      </c>
    </row>
    <row r="65" spans="1:65" x14ac:dyDescent="0.2">
      <c r="A65">
        <v>118</v>
      </c>
      <c r="B65" t="s">
        <v>835</v>
      </c>
      <c r="C65">
        <v>64.5</v>
      </c>
      <c r="D65">
        <v>62.3</v>
      </c>
      <c r="E65">
        <v>69</v>
      </c>
      <c r="F65">
        <v>67</v>
      </c>
      <c r="G65">
        <v>62</v>
      </c>
      <c r="H65">
        <v>73.5</v>
      </c>
      <c r="J65">
        <v>116</v>
      </c>
      <c r="K65" t="s">
        <v>835</v>
      </c>
      <c r="L65">
        <v>1</v>
      </c>
      <c r="M65">
        <v>1.3</v>
      </c>
      <c r="N65">
        <v>2</v>
      </c>
      <c r="O65">
        <v>1.5</v>
      </c>
      <c r="P65">
        <v>0.5</v>
      </c>
      <c r="Q65">
        <v>1.8</v>
      </c>
      <c r="S65">
        <v>20</v>
      </c>
      <c r="T65" t="s">
        <v>835</v>
      </c>
      <c r="U65">
        <v>6.2</v>
      </c>
      <c r="V65">
        <v>5.3</v>
      </c>
      <c r="W65">
        <v>6</v>
      </c>
      <c r="X65">
        <v>4</v>
      </c>
      <c r="Y65">
        <v>8.5</v>
      </c>
      <c r="Z65">
        <v>4.5</v>
      </c>
      <c r="AB65">
        <v>122</v>
      </c>
      <c r="AC65" t="s">
        <v>835</v>
      </c>
      <c r="AD65">
        <v>79.5</v>
      </c>
      <c r="AE65">
        <v>79.3</v>
      </c>
      <c r="AF65">
        <v>84</v>
      </c>
      <c r="AG65">
        <v>78</v>
      </c>
      <c r="AH65">
        <v>81</v>
      </c>
      <c r="AI65">
        <v>69.2</v>
      </c>
      <c r="AK65">
        <v>116</v>
      </c>
      <c r="AL65" t="s">
        <v>835</v>
      </c>
      <c r="AM65">
        <v>2.2000000000000002</v>
      </c>
      <c r="AN65">
        <v>2.2999999999999998</v>
      </c>
      <c r="AO65">
        <v>2</v>
      </c>
      <c r="AP65">
        <v>2</v>
      </c>
      <c r="AQ65">
        <v>2.5</v>
      </c>
      <c r="AR65">
        <v>1.5</v>
      </c>
      <c r="AT65">
        <v>3</v>
      </c>
      <c r="AU65" t="s">
        <v>835</v>
      </c>
      <c r="AV65">
        <v>2.5</v>
      </c>
      <c r="AW65">
        <v>1.7</v>
      </c>
      <c r="AX65">
        <v>2</v>
      </c>
      <c r="AY65">
        <v>2</v>
      </c>
      <c r="AZ65">
        <v>3</v>
      </c>
      <c r="BA65">
        <v>4</v>
      </c>
      <c r="BC65" s="95" t="s">
        <v>835</v>
      </c>
      <c r="BD65" s="13">
        <f t="shared" si="0"/>
        <v>64.5</v>
      </c>
      <c r="BE65" s="7">
        <f t="shared" si="1"/>
        <v>79.5</v>
      </c>
      <c r="BF65" s="7">
        <f t="shared" si="2"/>
        <v>1</v>
      </c>
      <c r="BG65" s="7">
        <f t="shared" si="3"/>
        <v>6.2</v>
      </c>
      <c r="BH65" s="7">
        <f t="shared" si="4"/>
        <v>2.2000000000000002</v>
      </c>
      <c r="BI65" s="7">
        <f t="shared" si="5"/>
        <v>2.5</v>
      </c>
      <c r="BJ65" s="99">
        <f t="shared" si="6"/>
        <v>155.89999999999998</v>
      </c>
      <c r="BK65" s="81">
        <f t="shared" si="7"/>
        <v>0.41372674791533037</v>
      </c>
      <c r="BL65" s="73">
        <f t="shared" si="8"/>
        <v>0.50994227068633746</v>
      </c>
      <c r="BM65" s="79">
        <f t="shared" si="9"/>
        <v>7.6330981398332276E-2</v>
      </c>
    </row>
    <row r="66" spans="1:65" x14ac:dyDescent="0.2">
      <c r="A66">
        <v>49</v>
      </c>
      <c r="B66" t="s">
        <v>253</v>
      </c>
      <c r="C66">
        <v>73.2</v>
      </c>
      <c r="D66">
        <v>71.3</v>
      </c>
      <c r="E66">
        <v>70</v>
      </c>
      <c r="F66">
        <v>77</v>
      </c>
      <c r="G66">
        <v>69.5</v>
      </c>
      <c r="H66">
        <v>68.900000000000006</v>
      </c>
      <c r="J66">
        <v>73</v>
      </c>
      <c r="K66" t="s">
        <v>253</v>
      </c>
      <c r="L66">
        <v>1.5</v>
      </c>
      <c r="M66">
        <v>1.7</v>
      </c>
      <c r="N66">
        <v>2</v>
      </c>
      <c r="O66">
        <v>1.5</v>
      </c>
      <c r="P66">
        <v>1.5</v>
      </c>
      <c r="Q66">
        <v>1.8</v>
      </c>
      <c r="S66">
        <v>116</v>
      </c>
      <c r="T66" t="s">
        <v>253</v>
      </c>
      <c r="U66">
        <v>3.2</v>
      </c>
      <c r="V66">
        <v>3.7</v>
      </c>
      <c r="W66">
        <v>4</v>
      </c>
      <c r="X66">
        <v>3.5</v>
      </c>
      <c r="Y66">
        <v>3</v>
      </c>
      <c r="Z66">
        <v>3.9</v>
      </c>
      <c r="AB66">
        <v>19</v>
      </c>
      <c r="AC66" t="s">
        <v>253</v>
      </c>
      <c r="AD66">
        <v>65.5</v>
      </c>
      <c r="AE66">
        <v>65.3</v>
      </c>
      <c r="AF66">
        <v>69</v>
      </c>
      <c r="AG66">
        <v>56</v>
      </c>
      <c r="AH66">
        <v>75</v>
      </c>
      <c r="AI66">
        <v>66.8</v>
      </c>
      <c r="AK66">
        <v>104</v>
      </c>
      <c r="AL66" t="s">
        <v>253</v>
      </c>
      <c r="AM66">
        <v>2</v>
      </c>
      <c r="AN66">
        <v>1.7</v>
      </c>
      <c r="AO66">
        <v>2</v>
      </c>
      <c r="AP66">
        <v>2</v>
      </c>
      <c r="AQ66">
        <v>2</v>
      </c>
      <c r="AR66">
        <v>1.3</v>
      </c>
      <c r="AT66">
        <v>64</v>
      </c>
      <c r="AU66" t="s">
        <v>253</v>
      </c>
      <c r="AV66">
        <v>4.8</v>
      </c>
      <c r="AW66">
        <v>5.3</v>
      </c>
      <c r="AX66">
        <v>7</v>
      </c>
      <c r="AY66">
        <v>5.5</v>
      </c>
      <c r="AZ66">
        <v>4</v>
      </c>
      <c r="BA66">
        <v>4.8</v>
      </c>
      <c r="BC66" s="95" t="s">
        <v>253</v>
      </c>
      <c r="BD66" s="13">
        <f t="shared" si="0"/>
        <v>73.2</v>
      </c>
      <c r="BE66" s="7">
        <f t="shared" si="1"/>
        <v>65.5</v>
      </c>
      <c r="BF66" s="7">
        <f t="shared" si="2"/>
        <v>1.5</v>
      </c>
      <c r="BG66" s="7">
        <f t="shared" si="3"/>
        <v>3.2</v>
      </c>
      <c r="BH66" s="7">
        <f t="shared" si="4"/>
        <v>2</v>
      </c>
      <c r="BI66" s="7">
        <f t="shared" si="5"/>
        <v>4.8</v>
      </c>
      <c r="BJ66" s="99">
        <f t="shared" si="6"/>
        <v>150.19999999999999</v>
      </c>
      <c r="BK66" s="81">
        <f t="shared" si="7"/>
        <v>0.48735019973368848</v>
      </c>
      <c r="BL66" s="73">
        <f t="shared" si="8"/>
        <v>0.43608521970705727</v>
      </c>
      <c r="BM66" s="79">
        <f t="shared" si="9"/>
        <v>7.656458055925433E-2</v>
      </c>
    </row>
    <row r="67" spans="1:65" x14ac:dyDescent="0.2">
      <c r="A67">
        <v>96</v>
      </c>
      <c r="B67" t="s">
        <v>828</v>
      </c>
      <c r="C67">
        <v>68</v>
      </c>
      <c r="D67">
        <v>67.7</v>
      </c>
      <c r="E67">
        <v>66</v>
      </c>
      <c r="F67">
        <v>67.3</v>
      </c>
      <c r="G67">
        <v>69</v>
      </c>
      <c r="H67">
        <v>65.900000000000006</v>
      </c>
      <c r="J67">
        <v>101</v>
      </c>
      <c r="K67" t="s">
        <v>828</v>
      </c>
      <c r="L67">
        <v>1.2</v>
      </c>
      <c r="M67">
        <v>0.7</v>
      </c>
      <c r="N67">
        <v>1</v>
      </c>
      <c r="O67">
        <v>1</v>
      </c>
      <c r="P67">
        <v>1.5</v>
      </c>
      <c r="Q67">
        <v>1.2</v>
      </c>
      <c r="S67">
        <v>96</v>
      </c>
      <c r="T67" t="s">
        <v>828</v>
      </c>
      <c r="U67">
        <v>4.2</v>
      </c>
      <c r="V67">
        <v>5</v>
      </c>
      <c r="W67">
        <v>6</v>
      </c>
      <c r="X67">
        <v>4.3</v>
      </c>
      <c r="Y67">
        <v>4</v>
      </c>
      <c r="Z67">
        <v>4.4000000000000004</v>
      </c>
      <c r="AB67">
        <v>20</v>
      </c>
      <c r="AC67" t="s">
        <v>828</v>
      </c>
      <c r="AD67">
        <v>65.8</v>
      </c>
      <c r="AE67">
        <v>65.3</v>
      </c>
      <c r="AF67">
        <v>69</v>
      </c>
      <c r="AG67">
        <v>60.7</v>
      </c>
      <c r="AH67">
        <v>73.5</v>
      </c>
      <c r="AI67">
        <v>65.599999999999994</v>
      </c>
      <c r="AK67">
        <v>31</v>
      </c>
      <c r="AL67" t="s">
        <v>828</v>
      </c>
      <c r="AM67">
        <v>1.2</v>
      </c>
      <c r="AN67">
        <v>1.7</v>
      </c>
      <c r="AO67">
        <v>0</v>
      </c>
      <c r="AP67">
        <v>2</v>
      </c>
      <c r="AQ67">
        <v>0</v>
      </c>
      <c r="AR67">
        <v>2.1</v>
      </c>
      <c r="AT67">
        <v>16</v>
      </c>
      <c r="AU67" t="s">
        <v>828</v>
      </c>
      <c r="AV67">
        <v>3.4</v>
      </c>
      <c r="AW67">
        <v>3</v>
      </c>
      <c r="AX67">
        <v>1</v>
      </c>
      <c r="AY67">
        <v>4.3</v>
      </c>
      <c r="AZ67">
        <v>2</v>
      </c>
      <c r="BA67">
        <v>5.2</v>
      </c>
      <c r="BC67" s="95" t="s">
        <v>828</v>
      </c>
      <c r="BD67" s="13">
        <f t="shared" si="0"/>
        <v>68</v>
      </c>
      <c r="BE67" s="7">
        <f t="shared" si="1"/>
        <v>65.8</v>
      </c>
      <c r="BF67" s="7">
        <f t="shared" si="2"/>
        <v>1.2</v>
      </c>
      <c r="BG67" s="7">
        <f t="shared" si="3"/>
        <v>4.2</v>
      </c>
      <c r="BH67" s="7">
        <f t="shared" si="4"/>
        <v>1.2</v>
      </c>
      <c r="BI67" s="7">
        <f t="shared" si="5"/>
        <v>3.4</v>
      </c>
      <c r="BJ67" s="99">
        <f t="shared" si="6"/>
        <v>143.79999999999998</v>
      </c>
      <c r="BK67" s="81">
        <f t="shared" si="7"/>
        <v>0.47287899860917948</v>
      </c>
      <c r="BL67" s="73">
        <f t="shared" si="8"/>
        <v>0.45757997218358837</v>
      </c>
      <c r="BM67" s="79">
        <f t="shared" si="9"/>
        <v>6.9541029207232277E-2</v>
      </c>
    </row>
    <row r="68" spans="1:65" x14ac:dyDescent="0.2">
      <c r="A68">
        <v>35</v>
      </c>
      <c r="B68" t="s">
        <v>258</v>
      </c>
      <c r="C68">
        <v>75</v>
      </c>
      <c r="D68">
        <v>80.7</v>
      </c>
      <c r="E68">
        <v>65</v>
      </c>
      <c r="F68">
        <v>77.3</v>
      </c>
      <c r="G68">
        <v>71.5</v>
      </c>
      <c r="H68">
        <v>74.900000000000006</v>
      </c>
      <c r="J68">
        <v>35</v>
      </c>
      <c r="K68" t="s">
        <v>258</v>
      </c>
      <c r="L68">
        <v>1.8</v>
      </c>
      <c r="M68">
        <v>2</v>
      </c>
      <c r="N68">
        <v>1</v>
      </c>
      <c r="O68">
        <v>2</v>
      </c>
      <c r="P68">
        <v>1.5</v>
      </c>
      <c r="Q68">
        <v>2.5</v>
      </c>
      <c r="S68">
        <v>52</v>
      </c>
      <c r="T68" t="s">
        <v>258</v>
      </c>
      <c r="U68">
        <v>5.2</v>
      </c>
      <c r="V68">
        <v>5.7</v>
      </c>
      <c r="W68">
        <v>6</v>
      </c>
      <c r="X68">
        <v>5</v>
      </c>
      <c r="Y68">
        <v>5.5</v>
      </c>
      <c r="Z68">
        <v>4.3</v>
      </c>
      <c r="AB68">
        <v>83</v>
      </c>
      <c r="AC68" t="s">
        <v>258</v>
      </c>
      <c r="AD68">
        <v>74.2</v>
      </c>
      <c r="AE68">
        <v>72.3</v>
      </c>
      <c r="AF68">
        <v>76</v>
      </c>
      <c r="AG68">
        <v>73</v>
      </c>
      <c r="AH68">
        <v>76</v>
      </c>
      <c r="AI68">
        <v>76.5</v>
      </c>
      <c r="AK68">
        <v>33</v>
      </c>
      <c r="AL68" t="s">
        <v>258</v>
      </c>
      <c r="AM68">
        <v>1.2</v>
      </c>
      <c r="AN68">
        <v>1.3</v>
      </c>
      <c r="AO68">
        <v>2</v>
      </c>
      <c r="AP68">
        <v>1.3</v>
      </c>
      <c r="AQ68">
        <v>1</v>
      </c>
      <c r="AR68">
        <v>1.9</v>
      </c>
      <c r="AT68">
        <v>110</v>
      </c>
      <c r="AU68" t="s">
        <v>258</v>
      </c>
      <c r="AV68">
        <v>6.2</v>
      </c>
      <c r="AW68">
        <v>6.3</v>
      </c>
      <c r="AX68">
        <v>11</v>
      </c>
      <c r="AY68">
        <v>7.7</v>
      </c>
      <c r="AZ68">
        <v>4</v>
      </c>
      <c r="BA68">
        <v>3.7</v>
      </c>
      <c r="BC68" s="95" t="s">
        <v>258</v>
      </c>
      <c r="BD68" s="13">
        <f t="shared" ref="BD68:BD131" si="10">INDEX($C$3:$C$132, MATCH($BC68,$B$3:$B$132, 0), 0)</f>
        <v>75</v>
      </c>
      <c r="BE68" s="7">
        <f t="shared" ref="BE68:BE131" si="11">INDEX($AD$3:$AD$132, MATCH($BC68,$AC$3:$AC$132, 0), 0)</f>
        <v>74.2</v>
      </c>
      <c r="BF68" s="7">
        <f t="shared" ref="BF68:BF131" si="12">INDEX($L$3:$L$132, MATCH($BC68,$K$3:$K$132, 0), 0)</f>
        <v>1.8</v>
      </c>
      <c r="BG68" s="7">
        <f t="shared" ref="BG68:BG131" si="13">INDEX($U$3:$U$132, MATCH($BC68,$T$3:$T$132, 0), 0)</f>
        <v>5.2</v>
      </c>
      <c r="BH68" s="7">
        <f t="shared" ref="BH68:BH131" si="14">INDEX($AM$3:$AM$132, MATCH($BC68,$AL$3:$AL$132, 0), 0)</f>
        <v>1.2</v>
      </c>
      <c r="BI68" s="7">
        <f t="shared" ref="BI68:BI131" si="15">INDEX($AV$3:$AV$132, MATCH($BC68,$AU$3:$AU$132, 0), 0)</f>
        <v>6.2</v>
      </c>
      <c r="BJ68" s="99">
        <f t="shared" ref="BJ68:BJ131" si="16">SUM(BD68:BI68)</f>
        <v>163.59999999999997</v>
      </c>
      <c r="BK68" s="81">
        <f t="shared" ref="BK68:BK131" si="17">($BD68 / $BJ68)</f>
        <v>0.45843520782396097</v>
      </c>
      <c r="BL68" s="73">
        <f t="shared" ref="BL68:BL131" si="18">($BE68 / $BJ68)</f>
        <v>0.45354523227383875</v>
      </c>
      <c r="BM68" s="79">
        <f t="shared" ref="BM68:BM131" si="19">SUM($BF68:$BI68) / $BJ68</f>
        <v>8.8019559902200492E-2</v>
      </c>
    </row>
    <row r="69" spans="1:65" x14ac:dyDescent="0.2">
      <c r="A69">
        <v>7</v>
      </c>
      <c r="B69" t="s">
        <v>259</v>
      </c>
      <c r="C69">
        <v>81.5</v>
      </c>
      <c r="D69">
        <v>78</v>
      </c>
      <c r="E69">
        <v>65</v>
      </c>
      <c r="F69">
        <v>78</v>
      </c>
      <c r="G69">
        <v>92</v>
      </c>
      <c r="H69">
        <v>78.2</v>
      </c>
      <c r="J69">
        <v>22</v>
      </c>
      <c r="K69" t="s">
        <v>259</v>
      </c>
      <c r="L69">
        <v>2</v>
      </c>
      <c r="M69">
        <v>2.2999999999999998</v>
      </c>
      <c r="N69">
        <v>2</v>
      </c>
      <c r="O69">
        <v>2.2999999999999998</v>
      </c>
      <c r="P69">
        <v>1</v>
      </c>
      <c r="Q69">
        <v>2.6</v>
      </c>
      <c r="S69">
        <v>71</v>
      </c>
      <c r="T69" t="s">
        <v>259</v>
      </c>
      <c r="U69">
        <v>4.5</v>
      </c>
      <c r="V69">
        <v>4.7</v>
      </c>
      <c r="W69">
        <v>4</v>
      </c>
      <c r="X69">
        <v>4.7</v>
      </c>
      <c r="Y69">
        <v>4</v>
      </c>
      <c r="Z69">
        <v>3.9</v>
      </c>
      <c r="AB69">
        <v>13</v>
      </c>
      <c r="AC69" t="s">
        <v>259</v>
      </c>
      <c r="AD69">
        <v>64.2</v>
      </c>
      <c r="AE69">
        <v>66.3</v>
      </c>
      <c r="AF69">
        <v>68</v>
      </c>
      <c r="AG69">
        <v>66.3</v>
      </c>
      <c r="AH69">
        <v>58</v>
      </c>
      <c r="AI69">
        <v>71.2</v>
      </c>
      <c r="AK69">
        <v>72</v>
      </c>
      <c r="AL69" t="s">
        <v>259</v>
      </c>
      <c r="AM69">
        <v>1.5</v>
      </c>
      <c r="AN69">
        <v>1</v>
      </c>
      <c r="AO69">
        <v>1</v>
      </c>
      <c r="AP69">
        <v>1</v>
      </c>
      <c r="AQ69">
        <v>3</v>
      </c>
      <c r="AR69">
        <v>2.1</v>
      </c>
      <c r="AT69">
        <v>112</v>
      </c>
      <c r="AU69" t="s">
        <v>259</v>
      </c>
      <c r="AV69">
        <v>6.2</v>
      </c>
      <c r="AW69">
        <v>6.3</v>
      </c>
      <c r="AX69">
        <v>6</v>
      </c>
      <c r="AY69">
        <v>6.3</v>
      </c>
      <c r="AZ69">
        <v>6</v>
      </c>
      <c r="BA69">
        <v>4.5</v>
      </c>
      <c r="BC69" s="95" t="s">
        <v>259</v>
      </c>
      <c r="BD69" s="13">
        <f t="shared" si="10"/>
        <v>81.5</v>
      </c>
      <c r="BE69" s="7">
        <f t="shared" si="11"/>
        <v>64.2</v>
      </c>
      <c r="BF69" s="7">
        <f t="shared" si="12"/>
        <v>2</v>
      </c>
      <c r="BG69" s="7">
        <f t="shared" si="13"/>
        <v>4.5</v>
      </c>
      <c r="BH69" s="7">
        <f t="shared" si="14"/>
        <v>1.5</v>
      </c>
      <c r="BI69" s="7">
        <f t="shared" si="15"/>
        <v>6.2</v>
      </c>
      <c r="BJ69" s="99">
        <f t="shared" si="16"/>
        <v>159.89999999999998</v>
      </c>
      <c r="BK69" s="81">
        <f t="shared" si="17"/>
        <v>0.5096935584740464</v>
      </c>
      <c r="BL69" s="73">
        <f t="shared" si="18"/>
        <v>0.40150093808630399</v>
      </c>
      <c r="BM69" s="79">
        <f t="shared" si="19"/>
        <v>8.8805503439649783E-2</v>
      </c>
    </row>
    <row r="70" spans="1:65" x14ac:dyDescent="0.2">
      <c r="A70">
        <v>22</v>
      </c>
      <c r="B70" t="s">
        <v>802</v>
      </c>
      <c r="C70">
        <v>77.7</v>
      </c>
      <c r="D70">
        <v>83</v>
      </c>
      <c r="E70">
        <v>98</v>
      </c>
      <c r="F70">
        <v>72</v>
      </c>
      <c r="G70">
        <v>83.3</v>
      </c>
      <c r="H70">
        <v>74.8</v>
      </c>
      <c r="J70">
        <v>15</v>
      </c>
      <c r="K70" t="s">
        <v>802</v>
      </c>
      <c r="L70">
        <v>2</v>
      </c>
      <c r="M70">
        <v>1.3</v>
      </c>
      <c r="N70">
        <v>2</v>
      </c>
      <c r="O70">
        <v>1.7</v>
      </c>
      <c r="P70">
        <v>2.2999999999999998</v>
      </c>
      <c r="Q70">
        <v>2.6</v>
      </c>
      <c r="S70">
        <v>36</v>
      </c>
      <c r="T70" t="s">
        <v>802</v>
      </c>
      <c r="U70">
        <v>5.7</v>
      </c>
      <c r="V70">
        <v>5</v>
      </c>
      <c r="W70">
        <v>4</v>
      </c>
      <c r="X70">
        <v>5</v>
      </c>
      <c r="Y70">
        <v>6.3</v>
      </c>
      <c r="Z70">
        <v>4.9000000000000004</v>
      </c>
      <c r="AB70">
        <v>27</v>
      </c>
      <c r="AC70" t="s">
        <v>802</v>
      </c>
      <c r="AD70">
        <v>67</v>
      </c>
      <c r="AE70">
        <v>61</v>
      </c>
      <c r="AF70">
        <v>55</v>
      </c>
      <c r="AG70">
        <v>69.3</v>
      </c>
      <c r="AH70">
        <v>64.7</v>
      </c>
      <c r="AI70">
        <v>78</v>
      </c>
      <c r="AK70">
        <v>94</v>
      </c>
      <c r="AL70" t="s">
        <v>802</v>
      </c>
      <c r="AM70">
        <v>1.8</v>
      </c>
      <c r="AN70">
        <v>1</v>
      </c>
      <c r="AO70">
        <v>0</v>
      </c>
      <c r="AP70">
        <v>2.2999999999999998</v>
      </c>
      <c r="AQ70">
        <v>1.3</v>
      </c>
      <c r="AR70">
        <v>1.3</v>
      </c>
      <c r="AT70">
        <v>91</v>
      </c>
      <c r="AU70" t="s">
        <v>802</v>
      </c>
      <c r="AV70">
        <v>5.5</v>
      </c>
      <c r="AW70">
        <v>5.7</v>
      </c>
      <c r="AX70">
        <v>7</v>
      </c>
      <c r="AY70">
        <v>4.3</v>
      </c>
      <c r="AZ70">
        <v>6.7</v>
      </c>
      <c r="BA70">
        <v>5.2</v>
      </c>
      <c r="BC70" s="95" t="s">
        <v>802</v>
      </c>
      <c r="BD70" s="13">
        <f t="shared" si="10"/>
        <v>77.7</v>
      </c>
      <c r="BE70" s="7">
        <f t="shared" si="11"/>
        <v>67</v>
      </c>
      <c r="BF70" s="7">
        <f t="shared" si="12"/>
        <v>2</v>
      </c>
      <c r="BG70" s="7">
        <f t="shared" si="13"/>
        <v>5.7</v>
      </c>
      <c r="BH70" s="7">
        <f t="shared" si="14"/>
        <v>1.8</v>
      </c>
      <c r="BI70" s="7">
        <f t="shared" si="15"/>
        <v>5.5</v>
      </c>
      <c r="BJ70" s="99">
        <f t="shared" si="16"/>
        <v>159.69999999999999</v>
      </c>
      <c r="BK70" s="81">
        <f t="shared" si="17"/>
        <v>0.48653725735754544</v>
      </c>
      <c r="BL70" s="73">
        <f t="shared" si="18"/>
        <v>0.41953663118346901</v>
      </c>
      <c r="BM70" s="79">
        <f t="shared" si="19"/>
        <v>9.3926111458985606E-2</v>
      </c>
    </row>
    <row r="71" spans="1:65" x14ac:dyDescent="0.2">
      <c r="A71">
        <v>72</v>
      </c>
      <c r="B71" t="s">
        <v>820</v>
      </c>
      <c r="C71">
        <v>70.8</v>
      </c>
      <c r="D71">
        <v>74.3</v>
      </c>
      <c r="E71">
        <v>74</v>
      </c>
      <c r="F71">
        <v>74</v>
      </c>
      <c r="G71">
        <v>69.7</v>
      </c>
      <c r="H71">
        <v>74.3</v>
      </c>
      <c r="J71">
        <v>65</v>
      </c>
      <c r="K71" t="s">
        <v>820</v>
      </c>
      <c r="L71">
        <v>1.5</v>
      </c>
      <c r="M71">
        <v>1.7</v>
      </c>
      <c r="N71">
        <v>2</v>
      </c>
      <c r="O71">
        <v>2</v>
      </c>
      <c r="P71">
        <v>1.3</v>
      </c>
      <c r="Q71">
        <v>1.3</v>
      </c>
      <c r="S71">
        <v>11</v>
      </c>
      <c r="T71" t="s">
        <v>820</v>
      </c>
      <c r="U71">
        <v>6.8</v>
      </c>
      <c r="V71">
        <v>7</v>
      </c>
      <c r="W71">
        <v>7</v>
      </c>
      <c r="X71">
        <v>7</v>
      </c>
      <c r="Y71">
        <v>6.7</v>
      </c>
      <c r="Z71">
        <v>6.1</v>
      </c>
      <c r="AB71">
        <v>8</v>
      </c>
      <c r="AC71" t="s">
        <v>820</v>
      </c>
      <c r="AD71">
        <v>62.5</v>
      </c>
      <c r="AE71">
        <v>64.7</v>
      </c>
      <c r="AF71">
        <v>76</v>
      </c>
      <c r="AG71">
        <v>76</v>
      </c>
      <c r="AH71">
        <v>58</v>
      </c>
      <c r="AI71">
        <v>78.099999999999994</v>
      </c>
      <c r="AK71">
        <v>112</v>
      </c>
      <c r="AL71" t="s">
        <v>820</v>
      </c>
      <c r="AM71">
        <v>2.2000000000000002</v>
      </c>
      <c r="AN71">
        <v>3</v>
      </c>
      <c r="AO71">
        <v>5</v>
      </c>
      <c r="AP71">
        <v>5</v>
      </c>
      <c r="AQ71">
        <v>1.3</v>
      </c>
      <c r="AR71">
        <v>2.4</v>
      </c>
      <c r="AT71">
        <v>79</v>
      </c>
      <c r="AU71" t="s">
        <v>820</v>
      </c>
      <c r="AV71">
        <v>5</v>
      </c>
      <c r="AW71">
        <v>5.3</v>
      </c>
      <c r="AX71">
        <v>7</v>
      </c>
      <c r="AY71">
        <v>7</v>
      </c>
      <c r="AZ71">
        <v>4.3</v>
      </c>
      <c r="BA71">
        <v>5.5</v>
      </c>
      <c r="BC71" s="95" t="s">
        <v>820</v>
      </c>
      <c r="BD71" s="13">
        <f t="shared" si="10"/>
        <v>70.8</v>
      </c>
      <c r="BE71" s="7">
        <f t="shared" si="11"/>
        <v>62.5</v>
      </c>
      <c r="BF71" s="7">
        <f t="shared" si="12"/>
        <v>1.5</v>
      </c>
      <c r="BG71" s="7">
        <f t="shared" si="13"/>
        <v>6.8</v>
      </c>
      <c r="BH71" s="7">
        <f t="shared" si="14"/>
        <v>2.2000000000000002</v>
      </c>
      <c r="BI71" s="7">
        <f t="shared" si="15"/>
        <v>5</v>
      </c>
      <c r="BJ71" s="99">
        <f t="shared" si="16"/>
        <v>148.80000000000001</v>
      </c>
      <c r="BK71" s="81">
        <f t="shared" si="17"/>
        <v>0.47580645161290319</v>
      </c>
      <c r="BL71" s="73">
        <f t="shared" si="18"/>
        <v>0.42002688172043007</v>
      </c>
      <c r="BM71" s="79">
        <f t="shared" si="19"/>
        <v>0.10416666666666666</v>
      </c>
    </row>
    <row r="72" spans="1:65" x14ac:dyDescent="0.2">
      <c r="A72">
        <v>55</v>
      </c>
      <c r="B72" t="s">
        <v>813</v>
      </c>
      <c r="C72">
        <v>72.5</v>
      </c>
      <c r="D72">
        <v>74</v>
      </c>
      <c r="E72">
        <v>69</v>
      </c>
      <c r="F72">
        <v>70</v>
      </c>
      <c r="G72">
        <v>75</v>
      </c>
      <c r="H72">
        <v>77.7</v>
      </c>
      <c r="J72">
        <v>68</v>
      </c>
      <c r="K72" t="s">
        <v>813</v>
      </c>
      <c r="L72">
        <v>1.5</v>
      </c>
      <c r="M72">
        <v>2</v>
      </c>
      <c r="N72">
        <v>2</v>
      </c>
      <c r="O72">
        <v>1.7</v>
      </c>
      <c r="P72">
        <v>1.3</v>
      </c>
      <c r="Q72">
        <v>1.5</v>
      </c>
      <c r="S72">
        <v>53</v>
      </c>
      <c r="T72" t="s">
        <v>813</v>
      </c>
      <c r="U72">
        <v>5.2</v>
      </c>
      <c r="V72">
        <v>4.3</v>
      </c>
      <c r="W72">
        <v>4</v>
      </c>
      <c r="X72">
        <v>4.7</v>
      </c>
      <c r="Y72">
        <v>5.7</v>
      </c>
      <c r="Z72">
        <v>6.5</v>
      </c>
      <c r="AB72">
        <v>60</v>
      </c>
      <c r="AC72" t="s">
        <v>813</v>
      </c>
      <c r="AD72">
        <v>71.5</v>
      </c>
      <c r="AE72">
        <v>74</v>
      </c>
      <c r="AF72">
        <v>72</v>
      </c>
      <c r="AG72">
        <v>71.7</v>
      </c>
      <c r="AH72">
        <v>71.3</v>
      </c>
      <c r="AI72">
        <v>81.099999999999994</v>
      </c>
      <c r="AK72">
        <v>124</v>
      </c>
      <c r="AL72" t="s">
        <v>813</v>
      </c>
      <c r="AM72">
        <v>2.2999999999999998</v>
      </c>
      <c r="AN72">
        <v>2.7</v>
      </c>
      <c r="AO72">
        <v>3</v>
      </c>
      <c r="AP72">
        <v>2.2999999999999998</v>
      </c>
      <c r="AQ72">
        <v>2.2999999999999998</v>
      </c>
      <c r="AR72">
        <v>1.9</v>
      </c>
      <c r="AT72">
        <v>34</v>
      </c>
      <c r="AU72" t="s">
        <v>813</v>
      </c>
      <c r="AV72">
        <v>3.8</v>
      </c>
      <c r="AW72">
        <v>4.3</v>
      </c>
      <c r="AX72">
        <v>5</v>
      </c>
      <c r="AY72">
        <v>5.3</v>
      </c>
      <c r="AZ72">
        <v>2.2999999999999998</v>
      </c>
      <c r="BA72">
        <v>5.2</v>
      </c>
      <c r="BC72" s="95" t="s">
        <v>813</v>
      </c>
      <c r="BD72" s="13">
        <f t="shared" si="10"/>
        <v>72.5</v>
      </c>
      <c r="BE72" s="7">
        <f t="shared" si="11"/>
        <v>71.5</v>
      </c>
      <c r="BF72" s="7">
        <f t="shared" si="12"/>
        <v>1.5</v>
      </c>
      <c r="BG72" s="7">
        <f t="shared" si="13"/>
        <v>5.2</v>
      </c>
      <c r="BH72" s="7">
        <f t="shared" si="14"/>
        <v>2.2999999999999998</v>
      </c>
      <c r="BI72" s="7">
        <f t="shared" si="15"/>
        <v>3.8</v>
      </c>
      <c r="BJ72" s="99">
        <f t="shared" si="16"/>
        <v>156.80000000000001</v>
      </c>
      <c r="BK72" s="81">
        <f t="shared" si="17"/>
        <v>0.46237244897959179</v>
      </c>
      <c r="BL72" s="73">
        <f t="shared" si="18"/>
        <v>0.45599489795918363</v>
      </c>
      <c r="BM72" s="79">
        <f t="shared" si="19"/>
        <v>8.1632653061224483E-2</v>
      </c>
    </row>
    <row r="73" spans="1:65" x14ac:dyDescent="0.2">
      <c r="A73">
        <v>74</v>
      </c>
      <c r="B73" t="s">
        <v>262</v>
      </c>
      <c r="C73">
        <v>70.7</v>
      </c>
      <c r="D73">
        <v>70.7</v>
      </c>
      <c r="E73">
        <v>57</v>
      </c>
      <c r="F73">
        <v>65.5</v>
      </c>
      <c r="G73">
        <v>81</v>
      </c>
      <c r="H73">
        <v>66.8</v>
      </c>
      <c r="J73">
        <v>110</v>
      </c>
      <c r="K73" t="s">
        <v>262</v>
      </c>
      <c r="L73">
        <v>1</v>
      </c>
      <c r="M73">
        <v>1</v>
      </c>
      <c r="N73">
        <v>1</v>
      </c>
      <c r="O73">
        <v>0.5</v>
      </c>
      <c r="P73">
        <v>2</v>
      </c>
      <c r="Q73">
        <v>0.8</v>
      </c>
      <c r="S73">
        <v>105</v>
      </c>
      <c r="T73" t="s">
        <v>262</v>
      </c>
      <c r="U73">
        <v>4</v>
      </c>
      <c r="V73">
        <v>4</v>
      </c>
      <c r="W73">
        <v>5</v>
      </c>
      <c r="X73">
        <v>4</v>
      </c>
      <c r="Y73">
        <v>4</v>
      </c>
      <c r="Z73">
        <v>4.2</v>
      </c>
      <c r="AB73">
        <v>2</v>
      </c>
      <c r="AC73" t="s">
        <v>262</v>
      </c>
      <c r="AD73">
        <v>56.3</v>
      </c>
      <c r="AE73">
        <v>56.3</v>
      </c>
      <c r="AF73">
        <v>71</v>
      </c>
      <c r="AG73">
        <v>61.5</v>
      </c>
      <c r="AH73">
        <v>46</v>
      </c>
      <c r="AI73">
        <v>65.900000000000006</v>
      </c>
      <c r="AK73">
        <v>99</v>
      </c>
      <c r="AL73" t="s">
        <v>262</v>
      </c>
      <c r="AM73">
        <v>2</v>
      </c>
      <c r="AN73">
        <v>2</v>
      </c>
      <c r="AO73">
        <v>4</v>
      </c>
      <c r="AP73">
        <v>2.5</v>
      </c>
      <c r="AQ73">
        <v>1</v>
      </c>
      <c r="AR73">
        <v>0.8</v>
      </c>
      <c r="AT73">
        <v>59</v>
      </c>
      <c r="AU73" t="s">
        <v>262</v>
      </c>
      <c r="AV73">
        <v>4.7</v>
      </c>
      <c r="AW73">
        <v>4.7</v>
      </c>
      <c r="AX73">
        <v>3</v>
      </c>
      <c r="AY73">
        <v>5</v>
      </c>
      <c r="AZ73">
        <v>4</v>
      </c>
      <c r="BA73">
        <v>3</v>
      </c>
      <c r="BC73" s="95" t="s">
        <v>262</v>
      </c>
      <c r="BD73" s="13">
        <f t="shared" si="10"/>
        <v>70.7</v>
      </c>
      <c r="BE73" s="7">
        <f t="shared" si="11"/>
        <v>56.3</v>
      </c>
      <c r="BF73" s="7">
        <f t="shared" si="12"/>
        <v>1</v>
      </c>
      <c r="BG73" s="7">
        <f t="shared" si="13"/>
        <v>4</v>
      </c>
      <c r="BH73" s="7">
        <f t="shared" si="14"/>
        <v>2</v>
      </c>
      <c r="BI73" s="7">
        <f t="shared" si="15"/>
        <v>4.7</v>
      </c>
      <c r="BJ73" s="99">
        <f t="shared" si="16"/>
        <v>138.69999999999999</v>
      </c>
      <c r="BK73" s="81">
        <f t="shared" si="17"/>
        <v>0.50973323720259556</v>
      </c>
      <c r="BL73" s="73">
        <f t="shared" si="18"/>
        <v>0.40591204037490991</v>
      </c>
      <c r="BM73" s="79">
        <f t="shared" si="19"/>
        <v>8.4354722422494588E-2</v>
      </c>
    </row>
    <row r="74" spans="1:65" x14ac:dyDescent="0.2">
      <c r="A74">
        <v>17</v>
      </c>
      <c r="B74" t="s">
        <v>265</v>
      </c>
      <c r="C74">
        <v>79</v>
      </c>
      <c r="D74">
        <v>82</v>
      </c>
      <c r="E74">
        <v>82</v>
      </c>
      <c r="F74">
        <v>72.5</v>
      </c>
      <c r="G74">
        <v>85.5</v>
      </c>
      <c r="H74">
        <v>76.3</v>
      </c>
      <c r="J74">
        <v>5</v>
      </c>
      <c r="K74" t="s">
        <v>265</v>
      </c>
      <c r="L74">
        <v>2.8</v>
      </c>
      <c r="M74">
        <v>3</v>
      </c>
      <c r="N74">
        <v>3</v>
      </c>
      <c r="O74">
        <v>2.5</v>
      </c>
      <c r="P74">
        <v>3</v>
      </c>
      <c r="Q74">
        <v>2</v>
      </c>
      <c r="S74">
        <v>89</v>
      </c>
      <c r="T74" t="s">
        <v>265</v>
      </c>
      <c r="U74">
        <v>4.2</v>
      </c>
      <c r="V74">
        <v>4</v>
      </c>
      <c r="W74">
        <v>6</v>
      </c>
      <c r="X74">
        <v>4</v>
      </c>
      <c r="Y74">
        <v>4.5</v>
      </c>
      <c r="Z74">
        <v>3.9</v>
      </c>
      <c r="AB74">
        <v>120</v>
      </c>
      <c r="AC74" t="s">
        <v>265</v>
      </c>
      <c r="AD74">
        <v>78.8</v>
      </c>
      <c r="AE74">
        <v>79.3</v>
      </c>
      <c r="AF74">
        <v>80</v>
      </c>
      <c r="AG74">
        <v>83</v>
      </c>
      <c r="AH74">
        <v>74.5</v>
      </c>
      <c r="AI74">
        <v>68.7</v>
      </c>
      <c r="AK74">
        <v>123</v>
      </c>
      <c r="AL74" t="s">
        <v>265</v>
      </c>
      <c r="AM74">
        <v>2.2000000000000002</v>
      </c>
      <c r="AN74">
        <v>2</v>
      </c>
      <c r="AO74">
        <v>2</v>
      </c>
      <c r="AP74">
        <v>3</v>
      </c>
      <c r="AQ74">
        <v>1.5</v>
      </c>
      <c r="AR74">
        <v>1.8</v>
      </c>
      <c r="AT74">
        <v>106</v>
      </c>
      <c r="AU74" t="s">
        <v>265</v>
      </c>
      <c r="AV74">
        <v>6</v>
      </c>
      <c r="AW74">
        <v>5.7</v>
      </c>
      <c r="AX74">
        <v>7</v>
      </c>
      <c r="AY74">
        <v>6</v>
      </c>
      <c r="AZ74">
        <v>6</v>
      </c>
      <c r="BA74">
        <v>5</v>
      </c>
      <c r="BC74" s="95" t="s">
        <v>265</v>
      </c>
      <c r="BD74" s="13">
        <f t="shared" si="10"/>
        <v>79</v>
      </c>
      <c r="BE74" s="7">
        <f t="shared" si="11"/>
        <v>78.8</v>
      </c>
      <c r="BF74" s="7">
        <f t="shared" si="12"/>
        <v>2.8</v>
      </c>
      <c r="BG74" s="7">
        <f t="shared" si="13"/>
        <v>4.2</v>
      </c>
      <c r="BH74" s="7">
        <f t="shared" si="14"/>
        <v>2.2000000000000002</v>
      </c>
      <c r="BI74" s="7">
        <f t="shared" si="15"/>
        <v>6</v>
      </c>
      <c r="BJ74" s="99">
        <f t="shared" si="16"/>
        <v>173</v>
      </c>
      <c r="BK74" s="81">
        <f t="shared" si="17"/>
        <v>0.45664739884393063</v>
      </c>
      <c r="BL74" s="73">
        <f t="shared" si="18"/>
        <v>0.45549132947976878</v>
      </c>
      <c r="BM74" s="79">
        <f t="shared" si="19"/>
        <v>8.7861271676300576E-2</v>
      </c>
    </row>
    <row r="75" spans="1:65" x14ac:dyDescent="0.2">
      <c r="A75">
        <v>51</v>
      </c>
      <c r="B75" t="s">
        <v>269</v>
      </c>
      <c r="C75">
        <v>72.8</v>
      </c>
      <c r="D75">
        <v>75.3</v>
      </c>
      <c r="E75">
        <v>66</v>
      </c>
      <c r="F75">
        <v>64.8</v>
      </c>
      <c r="G75">
        <v>89</v>
      </c>
      <c r="H75">
        <v>75.3</v>
      </c>
      <c r="J75">
        <v>52</v>
      </c>
      <c r="K75" t="s">
        <v>269</v>
      </c>
      <c r="L75">
        <v>1.7</v>
      </c>
      <c r="M75">
        <v>1.3</v>
      </c>
      <c r="N75">
        <v>3</v>
      </c>
      <c r="O75">
        <v>1.8</v>
      </c>
      <c r="P75">
        <v>1.5</v>
      </c>
      <c r="Q75">
        <v>1.5</v>
      </c>
      <c r="S75">
        <v>42</v>
      </c>
      <c r="T75" t="s">
        <v>269</v>
      </c>
      <c r="U75">
        <v>5.5</v>
      </c>
      <c r="V75">
        <v>6.3</v>
      </c>
      <c r="W75">
        <v>10</v>
      </c>
      <c r="X75">
        <v>6</v>
      </c>
      <c r="Y75">
        <v>4.5</v>
      </c>
      <c r="Z75">
        <v>4.9000000000000004</v>
      </c>
      <c r="AB75">
        <v>104</v>
      </c>
      <c r="AC75" t="s">
        <v>269</v>
      </c>
      <c r="AD75">
        <v>76.7</v>
      </c>
      <c r="AE75">
        <v>71</v>
      </c>
      <c r="AF75">
        <v>74</v>
      </c>
      <c r="AG75">
        <v>79</v>
      </c>
      <c r="AH75">
        <v>72</v>
      </c>
      <c r="AI75">
        <v>76.7</v>
      </c>
      <c r="AK75">
        <v>73</v>
      </c>
      <c r="AL75" t="s">
        <v>269</v>
      </c>
      <c r="AM75">
        <v>1.5</v>
      </c>
      <c r="AN75">
        <v>1.7</v>
      </c>
      <c r="AO75">
        <v>2</v>
      </c>
      <c r="AP75">
        <v>1.5</v>
      </c>
      <c r="AQ75">
        <v>1.5</v>
      </c>
      <c r="AR75">
        <v>1.7</v>
      </c>
      <c r="AT75">
        <v>108</v>
      </c>
      <c r="AU75" t="s">
        <v>269</v>
      </c>
      <c r="AV75">
        <v>6.2</v>
      </c>
      <c r="AW75">
        <v>6</v>
      </c>
      <c r="AX75">
        <v>9</v>
      </c>
      <c r="AY75">
        <v>5.8</v>
      </c>
      <c r="AZ75">
        <v>7</v>
      </c>
      <c r="BA75">
        <v>4.5999999999999996</v>
      </c>
      <c r="BC75" s="95" t="s">
        <v>269</v>
      </c>
      <c r="BD75" s="13">
        <f t="shared" si="10"/>
        <v>72.8</v>
      </c>
      <c r="BE75" s="7">
        <f t="shared" si="11"/>
        <v>76.7</v>
      </c>
      <c r="BF75" s="7">
        <f t="shared" si="12"/>
        <v>1.7</v>
      </c>
      <c r="BG75" s="7">
        <f t="shared" si="13"/>
        <v>5.5</v>
      </c>
      <c r="BH75" s="7">
        <f t="shared" si="14"/>
        <v>1.5</v>
      </c>
      <c r="BI75" s="7">
        <f t="shared" si="15"/>
        <v>6.2</v>
      </c>
      <c r="BJ75" s="99">
        <f t="shared" si="16"/>
        <v>164.39999999999998</v>
      </c>
      <c r="BK75" s="81">
        <f t="shared" si="17"/>
        <v>0.44282238442822391</v>
      </c>
      <c r="BL75" s="73">
        <f t="shared" si="18"/>
        <v>0.46654501216545019</v>
      </c>
      <c r="BM75" s="79">
        <f t="shared" si="19"/>
        <v>9.0632603406326034E-2</v>
      </c>
    </row>
    <row r="76" spans="1:65" x14ac:dyDescent="0.2">
      <c r="A76">
        <v>80</v>
      </c>
      <c r="B76" t="s">
        <v>273</v>
      </c>
      <c r="C76">
        <v>70</v>
      </c>
      <c r="D76">
        <v>67.3</v>
      </c>
      <c r="E76">
        <v>70</v>
      </c>
      <c r="F76">
        <v>74</v>
      </c>
      <c r="G76">
        <v>66</v>
      </c>
      <c r="H76">
        <v>73.3</v>
      </c>
      <c r="J76">
        <v>71</v>
      </c>
      <c r="K76" t="s">
        <v>273</v>
      </c>
      <c r="L76">
        <v>1.5</v>
      </c>
      <c r="M76">
        <v>1.3</v>
      </c>
      <c r="N76">
        <v>1</v>
      </c>
      <c r="O76">
        <v>1.5</v>
      </c>
      <c r="P76">
        <v>1.5</v>
      </c>
      <c r="Q76">
        <v>1.6</v>
      </c>
      <c r="S76">
        <v>30</v>
      </c>
      <c r="T76" t="s">
        <v>273</v>
      </c>
      <c r="U76">
        <v>6</v>
      </c>
      <c r="V76">
        <v>4.7</v>
      </c>
      <c r="W76">
        <v>4</v>
      </c>
      <c r="X76">
        <v>7</v>
      </c>
      <c r="Y76">
        <v>5</v>
      </c>
      <c r="Z76">
        <v>5.5</v>
      </c>
      <c r="AB76">
        <v>65</v>
      </c>
      <c r="AC76" t="s">
        <v>273</v>
      </c>
      <c r="AD76">
        <v>72.2</v>
      </c>
      <c r="AE76">
        <v>69</v>
      </c>
      <c r="AF76">
        <v>65</v>
      </c>
      <c r="AG76">
        <v>73.5</v>
      </c>
      <c r="AH76">
        <v>71</v>
      </c>
      <c r="AI76">
        <v>76.099999999999994</v>
      </c>
      <c r="AK76">
        <v>5</v>
      </c>
      <c r="AL76" t="s">
        <v>273</v>
      </c>
      <c r="AM76">
        <v>0.5</v>
      </c>
      <c r="AN76">
        <v>0.3</v>
      </c>
      <c r="AO76">
        <v>1</v>
      </c>
      <c r="AP76">
        <v>1</v>
      </c>
      <c r="AQ76">
        <v>0</v>
      </c>
      <c r="AR76">
        <v>1.2</v>
      </c>
      <c r="AT76">
        <v>9</v>
      </c>
      <c r="AU76" t="s">
        <v>273</v>
      </c>
      <c r="AV76">
        <v>3</v>
      </c>
      <c r="AW76">
        <v>2.2999999999999998</v>
      </c>
      <c r="AX76">
        <v>2</v>
      </c>
      <c r="AY76">
        <v>3.5</v>
      </c>
      <c r="AZ76">
        <v>2.5</v>
      </c>
      <c r="BA76">
        <v>5.6</v>
      </c>
      <c r="BC76" s="95" t="s">
        <v>273</v>
      </c>
      <c r="BD76" s="13">
        <f t="shared" si="10"/>
        <v>70</v>
      </c>
      <c r="BE76" s="7">
        <f t="shared" si="11"/>
        <v>72.2</v>
      </c>
      <c r="BF76" s="7">
        <f t="shared" si="12"/>
        <v>1.5</v>
      </c>
      <c r="BG76" s="7">
        <f t="shared" si="13"/>
        <v>6</v>
      </c>
      <c r="BH76" s="7">
        <f t="shared" si="14"/>
        <v>0.5</v>
      </c>
      <c r="BI76" s="7">
        <f t="shared" si="15"/>
        <v>3</v>
      </c>
      <c r="BJ76" s="99">
        <f t="shared" si="16"/>
        <v>153.19999999999999</v>
      </c>
      <c r="BK76" s="81">
        <f t="shared" si="17"/>
        <v>0.45691906005221933</v>
      </c>
      <c r="BL76" s="73">
        <f t="shared" si="18"/>
        <v>0.47127937336814629</v>
      </c>
      <c r="BM76" s="79">
        <f t="shared" si="19"/>
        <v>7.1801566579634477E-2</v>
      </c>
    </row>
    <row r="77" spans="1:65" x14ac:dyDescent="0.2">
      <c r="A77">
        <v>57</v>
      </c>
      <c r="B77" t="s">
        <v>277</v>
      </c>
      <c r="C77">
        <v>72.2</v>
      </c>
      <c r="D77">
        <v>71.3</v>
      </c>
      <c r="E77">
        <v>67</v>
      </c>
      <c r="F77">
        <v>79</v>
      </c>
      <c r="G77">
        <v>70</v>
      </c>
      <c r="H77">
        <v>66.3</v>
      </c>
      <c r="J77">
        <v>115</v>
      </c>
      <c r="K77" t="s">
        <v>277</v>
      </c>
      <c r="L77">
        <v>1</v>
      </c>
      <c r="M77">
        <v>1.3</v>
      </c>
      <c r="N77">
        <v>1</v>
      </c>
      <c r="O77">
        <v>2</v>
      </c>
      <c r="P77">
        <v>0.7</v>
      </c>
      <c r="Q77">
        <v>0.7</v>
      </c>
      <c r="S77">
        <v>92</v>
      </c>
      <c r="T77" t="s">
        <v>277</v>
      </c>
      <c r="U77">
        <v>4.2</v>
      </c>
      <c r="V77">
        <v>3.7</v>
      </c>
      <c r="W77">
        <v>4</v>
      </c>
      <c r="X77">
        <v>2</v>
      </c>
      <c r="Y77">
        <v>5</v>
      </c>
      <c r="Z77">
        <v>6.5</v>
      </c>
      <c r="AB77">
        <v>72</v>
      </c>
      <c r="AC77" t="s">
        <v>277</v>
      </c>
      <c r="AD77">
        <v>73.2</v>
      </c>
      <c r="AE77">
        <v>75.7</v>
      </c>
      <c r="AF77">
        <v>76</v>
      </c>
      <c r="AG77">
        <v>83</v>
      </c>
      <c r="AH77">
        <v>70</v>
      </c>
      <c r="AI77">
        <v>77</v>
      </c>
      <c r="AK77">
        <v>126</v>
      </c>
      <c r="AL77" t="s">
        <v>277</v>
      </c>
      <c r="AM77">
        <v>2.5</v>
      </c>
      <c r="AN77">
        <v>3</v>
      </c>
      <c r="AO77">
        <v>5</v>
      </c>
      <c r="AP77">
        <v>2</v>
      </c>
      <c r="AQ77">
        <v>2.7</v>
      </c>
      <c r="AR77">
        <v>1.5</v>
      </c>
      <c r="AT77">
        <v>39</v>
      </c>
      <c r="AU77" t="s">
        <v>277</v>
      </c>
      <c r="AV77">
        <v>4</v>
      </c>
      <c r="AW77">
        <v>4</v>
      </c>
      <c r="AX77">
        <v>5</v>
      </c>
      <c r="AY77">
        <v>3</v>
      </c>
      <c r="AZ77">
        <v>4.3</v>
      </c>
      <c r="BA77">
        <v>4.7</v>
      </c>
      <c r="BC77" s="95" t="s">
        <v>277</v>
      </c>
      <c r="BD77" s="13">
        <f t="shared" si="10"/>
        <v>72.2</v>
      </c>
      <c r="BE77" s="7">
        <f t="shared" si="11"/>
        <v>73.2</v>
      </c>
      <c r="BF77" s="7">
        <f t="shared" si="12"/>
        <v>1</v>
      </c>
      <c r="BG77" s="7">
        <f t="shared" si="13"/>
        <v>4.2</v>
      </c>
      <c r="BH77" s="7">
        <f t="shared" si="14"/>
        <v>2.5</v>
      </c>
      <c r="BI77" s="7">
        <f t="shared" si="15"/>
        <v>4</v>
      </c>
      <c r="BJ77" s="99">
        <f t="shared" si="16"/>
        <v>157.1</v>
      </c>
      <c r="BK77" s="81">
        <f t="shared" si="17"/>
        <v>0.45957988542329731</v>
      </c>
      <c r="BL77" s="73">
        <f t="shared" si="18"/>
        <v>0.46594525779758117</v>
      </c>
      <c r="BM77" s="79">
        <f t="shared" si="19"/>
        <v>7.4474856779121579E-2</v>
      </c>
    </row>
    <row r="78" spans="1:65" x14ac:dyDescent="0.2">
      <c r="A78">
        <v>15</v>
      </c>
      <c r="B78" t="s">
        <v>286</v>
      </c>
      <c r="C78">
        <v>79.2</v>
      </c>
      <c r="D78">
        <v>77.3</v>
      </c>
      <c r="E78">
        <v>89</v>
      </c>
      <c r="F78">
        <v>79.5</v>
      </c>
      <c r="G78">
        <v>79</v>
      </c>
      <c r="H78">
        <v>75.099999999999994</v>
      </c>
      <c r="J78">
        <v>42</v>
      </c>
      <c r="K78" t="s">
        <v>286</v>
      </c>
      <c r="L78">
        <v>1.8</v>
      </c>
      <c r="M78">
        <v>1.7</v>
      </c>
      <c r="N78">
        <v>2</v>
      </c>
      <c r="O78">
        <v>2</v>
      </c>
      <c r="P78">
        <v>1.5</v>
      </c>
      <c r="Q78">
        <v>1.6</v>
      </c>
      <c r="S78">
        <v>93</v>
      </c>
      <c r="T78" t="s">
        <v>286</v>
      </c>
      <c r="U78">
        <v>4.2</v>
      </c>
      <c r="V78">
        <v>4.3</v>
      </c>
      <c r="W78">
        <v>5</v>
      </c>
      <c r="X78">
        <v>4</v>
      </c>
      <c r="Y78">
        <v>4.5</v>
      </c>
      <c r="Z78">
        <v>4.5</v>
      </c>
      <c r="AB78">
        <v>57</v>
      </c>
      <c r="AC78" t="s">
        <v>286</v>
      </c>
      <c r="AD78">
        <v>71</v>
      </c>
      <c r="AE78">
        <v>71</v>
      </c>
      <c r="AF78">
        <v>52</v>
      </c>
      <c r="AG78">
        <v>68.5</v>
      </c>
      <c r="AH78">
        <v>73.5</v>
      </c>
      <c r="AI78">
        <v>73.900000000000006</v>
      </c>
      <c r="AK78">
        <v>88</v>
      </c>
      <c r="AL78" t="s">
        <v>286</v>
      </c>
      <c r="AM78">
        <v>1.8</v>
      </c>
      <c r="AN78">
        <v>2</v>
      </c>
      <c r="AO78">
        <v>1</v>
      </c>
      <c r="AP78">
        <v>1.5</v>
      </c>
      <c r="AQ78">
        <v>2</v>
      </c>
      <c r="AR78">
        <v>1.7</v>
      </c>
      <c r="AT78">
        <v>37</v>
      </c>
      <c r="AU78" t="s">
        <v>286</v>
      </c>
      <c r="AV78">
        <v>4</v>
      </c>
      <c r="AW78">
        <v>4.3</v>
      </c>
      <c r="AX78">
        <v>5</v>
      </c>
      <c r="AY78">
        <v>4</v>
      </c>
      <c r="AZ78">
        <v>4</v>
      </c>
      <c r="BA78">
        <v>5.9</v>
      </c>
      <c r="BC78" s="95" t="s">
        <v>286</v>
      </c>
      <c r="BD78" s="13">
        <f t="shared" si="10"/>
        <v>79.2</v>
      </c>
      <c r="BE78" s="7">
        <f t="shared" si="11"/>
        <v>71</v>
      </c>
      <c r="BF78" s="7">
        <f t="shared" si="12"/>
        <v>1.8</v>
      </c>
      <c r="BG78" s="7">
        <f t="shared" si="13"/>
        <v>4.2</v>
      </c>
      <c r="BH78" s="7">
        <f t="shared" si="14"/>
        <v>1.8</v>
      </c>
      <c r="BI78" s="7">
        <f t="shared" si="15"/>
        <v>4</v>
      </c>
      <c r="BJ78" s="99">
        <f t="shared" si="16"/>
        <v>162</v>
      </c>
      <c r="BK78" s="81">
        <f t="shared" si="17"/>
        <v>0.48888888888888893</v>
      </c>
      <c r="BL78" s="73">
        <f t="shared" si="18"/>
        <v>0.43827160493827161</v>
      </c>
      <c r="BM78" s="79">
        <f t="shared" si="19"/>
        <v>7.2839506172839505E-2</v>
      </c>
    </row>
    <row r="79" spans="1:65" x14ac:dyDescent="0.2">
      <c r="A79">
        <v>29</v>
      </c>
      <c r="B79" t="s">
        <v>294</v>
      </c>
      <c r="C79">
        <v>76.400000000000006</v>
      </c>
      <c r="D79">
        <v>81</v>
      </c>
      <c r="E79">
        <v>74</v>
      </c>
      <c r="F79">
        <v>79</v>
      </c>
      <c r="G79">
        <v>74.7</v>
      </c>
      <c r="H79">
        <v>77.2</v>
      </c>
      <c r="J79">
        <v>59</v>
      </c>
      <c r="K79" t="s">
        <v>294</v>
      </c>
      <c r="L79">
        <v>1.6</v>
      </c>
      <c r="M79">
        <v>1.3</v>
      </c>
      <c r="N79">
        <v>2</v>
      </c>
      <c r="O79">
        <v>2</v>
      </c>
      <c r="P79">
        <v>1.3</v>
      </c>
      <c r="Q79">
        <v>1.1000000000000001</v>
      </c>
      <c r="S79">
        <v>12</v>
      </c>
      <c r="T79" t="s">
        <v>294</v>
      </c>
      <c r="U79">
        <v>6.6</v>
      </c>
      <c r="V79">
        <v>8.3000000000000007</v>
      </c>
      <c r="W79">
        <v>9</v>
      </c>
      <c r="X79">
        <v>5</v>
      </c>
      <c r="Y79">
        <v>7.7</v>
      </c>
      <c r="Z79">
        <v>5.6</v>
      </c>
      <c r="AB79">
        <v>31</v>
      </c>
      <c r="AC79" t="s">
        <v>294</v>
      </c>
      <c r="AD79">
        <v>67.400000000000006</v>
      </c>
      <c r="AE79">
        <v>65.3</v>
      </c>
      <c r="AF79">
        <v>66</v>
      </c>
      <c r="AG79">
        <v>69.5</v>
      </c>
      <c r="AH79">
        <v>66</v>
      </c>
      <c r="AI79">
        <v>71.900000000000006</v>
      </c>
      <c r="AK79">
        <v>92</v>
      </c>
      <c r="AL79" t="s">
        <v>294</v>
      </c>
      <c r="AM79">
        <v>1.8</v>
      </c>
      <c r="AN79">
        <v>2</v>
      </c>
      <c r="AO79">
        <v>3</v>
      </c>
      <c r="AP79">
        <v>1.5</v>
      </c>
      <c r="AQ79">
        <v>2</v>
      </c>
      <c r="AR79">
        <v>2.1</v>
      </c>
      <c r="AT79">
        <v>122</v>
      </c>
      <c r="AU79" t="s">
        <v>294</v>
      </c>
      <c r="AV79">
        <v>7</v>
      </c>
      <c r="AW79">
        <v>8.3000000000000007</v>
      </c>
      <c r="AX79">
        <v>10</v>
      </c>
      <c r="AY79">
        <v>5.5</v>
      </c>
      <c r="AZ79">
        <v>8</v>
      </c>
      <c r="BA79">
        <v>5.3</v>
      </c>
      <c r="BC79" s="95" t="s">
        <v>294</v>
      </c>
      <c r="BD79" s="13">
        <f t="shared" si="10"/>
        <v>76.400000000000006</v>
      </c>
      <c r="BE79" s="7">
        <f t="shared" si="11"/>
        <v>67.400000000000006</v>
      </c>
      <c r="BF79" s="7">
        <f t="shared" si="12"/>
        <v>1.6</v>
      </c>
      <c r="BG79" s="7">
        <f t="shared" si="13"/>
        <v>6.6</v>
      </c>
      <c r="BH79" s="7">
        <f t="shared" si="14"/>
        <v>1.8</v>
      </c>
      <c r="BI79" s="7">
        <f t="shared" si="15"/>
        <v>7</v>
      </c>
      <c r="BJ79" s="99">
        <f t="shared" si="16"/>
        <v>160.80000000000001</v>
      </c>
      <c r="BK79" s="81">
        <f t="shared" si="17"/>
        <v>0.47512437810945274</v>
      </c>
      <c r="BL79" s="73">
        <f t="shared" si="18"/>
        <v>0.4191542288557214</v>
      </c>
      <c r="BM79" s="79">
        <f t="shared" si="19"/>
        <v>0.10572139303482586</v>
      </c>
    </row>
    <row r="80" spans="1:65" x14ac:dyDescent="0.2">
      <c r="A80">
        <v>124</v>
      </c>
      <c r="B80" t="s">
        <v>296</v>
      </c>
      <c r="C80">
        <v>63.8</v>
      </c>
      <c r="D80">
        <v>62</v>
      </c>
      <c r="E80">
        <v>61</v>
      </c>
      <c r="F80">
        <v>63.7</v>
      </c>
      <c r="G80">
        <v>64</v>
      </c>
      <c r="H80">
        <v>75.099999999999994</v>
      </c>
      <c r="J80">
        <v>118</v>
      </c>
      <c r="K80" t="s">
        <v>296</v>
      </c>
      <c r="L80">
        <v>0.8</v>
      </c>
      <c r="M80">
        <v>1</v>
      </c>
      <c r="N80">
        <v>1</v>
      </c>
      <c r="O80">
        <v>1</v>
      </c>
      <c r="P80">
        <v>0.5</v>
      </c>
      <c r="Q80">
        <v>1.7</v>
      </c>
      <c r="S80">
        <v>80</v>
      </c>
      <c r="T80" t="s">
        <v>296</v>
      </c>
      <c r="U80">
        <v>4.4000000000000004</v>
      </c>
      <c r="V80">
        <v>4</v>
      </c>
      <c r="W80">
        <v>2</v>
      </c>
      <c r="X80">
        <v>4</v>
      </c>
      <c r="Y80">
        <v>5</v>
      </c>
      <c r="Z80">
        <v>4.0999999999999996</v>
      </c>
      <c r="AB80">
        <v>64</v>
      </c>
      <c r="AC80" t="s">
        <v>296</v>
      </c>
      <c r="AD80">
        <v>72.2</v>
      </c>
      <c r="AE80">
        <v>69.3</v>
      </c>
      <c r="AF80">
        <v>71</v>
      </c>
      <c r="AG80">
        <v>75.3</v>
      </c>
      <c r="AH80">
        <v>67.5</v>
      </c>
      <c r="AI80">
        <v>76.2</v>
      </c>
      <c r="AK80">
        <v>58</v>
      </c>
      <c r="AL80" t="s">
        <v>296</v>
      </c>
      <c r="AM80">
        <v>1.4</v>
      </c>
      <c r="AN80">
        <v>2</v>
      </c>
      <c r="AO80">
        <v>1</v>
      </c>
      <c r="AP80">
        <v>1</v>
      </c>
      <c r="AQ80">
        <v>2</v>
      </c>
      <c r="AR80">
        <v>1.9</v>
      </c>
      <c r="AT80">
        <v>89</v>
      </c>
      <c r="AU80" t="s">
        <v>296</v>
      </c>
      <c r="AV80">
        <v>5.4</v>
      </c>
      <c r="AW80">
        <v>5.3</v>
      </c>
      <c r="AX80">
        <v>8</v>
      </c>
      <c r="AY80">
        <v>6</v>
      </c>
      <c r="AZ80">
        <v>4.5</v>
      </c>
      <c r="BA80">
        <v>5.3</v>
      </c>
      <c r="BC80" s="95" t="s">
        <v>296</v>
      </c>
      <c r="BD80" s="13">
        <f t="shared" si="10"/>
        <v>63.8</v>
      </c>
      <c r="BE80" s="7">
        <f t="shared" si="11"/>
        <v>72.2</v>
      </c>
      <c r="BF80" s="7">
        <f t="shared" si="12"/>
        <v>0.8</v>
      </c>
      <c r="BG80" s="7">
        <f t="shared" si="13"/>
        <v>4.4000000000000004</v>
      </c>
      <c r="BH80" s="7">
        <f t="shared" si="14"/>
        <v>1.4</v>
      </c>
      <c r="BI80" s="7">
        <f t="shared" si="15"/>
        <v>5.4</v>
      </c>
      <c r="BJ80" s="99">
        <f t="shared" si="16"/>
        <v>148.00000000000003</v>
      </c>
      <c r="BK80" s="81">
        <f t="shared" si="17"/>
        <v>0.43108108108108095</v>
      </c>
      <c r="BL80" s="73">
        <f t="shared" si="18"/>
        <v>0.48783783783783774</v>
      </c>
      <c r="BM80" s="79">
        <f t="shared" si="19"/>
        <v>8.1081081081081072E-2</v>
      </c>
    </row>
    <row r="81" spans="1:65" x14ac:dyDescent="0.2">
      <c r="A81">
        <v>126</v>
      </c>
      <c r="B81" t="s">
        <v>27</v>
      </c>
      <c r="C81">
        <v>63</v>
      </c>
      <c r="D81">
        <v>63.3</v>
      </c>
      <c r="E81">
        <v>66</v>
      </c>
      <c r="F81">
        <v>67</v>
      </c>
      <c r="G81">
        <v>61.7</v>
      </c>
      <c r="H81">
        <v>67.599999999999994</v>
      </c>
      <c r="J81">
        <v>64</v>
      </c>
      <c r="K81" t="s">
        <v>27</v>
      </c>
      <c r="L81">
        <v>1.5</v>
      </c>
      <c r="M81">
        <v>1.7</v>
      </c>
      <c r="N81">
        <v>1</v>
      </c>
      <c r="O81">
        <v>2</v>
      </c>
      <c r="P81">
        <v>1.3</v>
      </c>
      <c r="Q81">
        <v>1.2</v>
      </c>
      <c r="S81">
        <v>27</v>
      </c>
      <c r="T81" t="s">
        <v>27</v>
      </c>
      <c r="U81">
        <v>6</v>
      </c>
      <c r="V81">
        <v>4.7</v>
      </c>
      <c r="W81">
        <v>3</v>
      </c>
      <c r="X81">
        <v>6</v>
      </c>
      <c r="Y81">
        <v>6</v>
      </c>
      <c r="Z81">
        <v>2.9</v>
      </c>
      <c r="AB81">
        <v>86</v>
      </c>
      <c r="AC81" t="s">
        <v>27</v>
      </c>
      <c r="AD81">
        <v>74.2</v>
      </c>
      <c r="AE81">
        <v>74</v>
      </c>
      <c r="AF81">
        <v>70</v>
      </c>
      <c r="AG81">
        <v>78</v>
      </c>
      <c r="AH81">
        <v>73</v>
      </c>
      <c r="AI81">
        <v>63.8</v>
      </c>
      <c r="AK81">
        <v>118</v>
      </c>
      <c r="AL81" t="s">
        <v>27</v>
      </c>
      <c r="AM81">
        <v>2.2000000000000002</v>
      </c>
      <c r="AN81">
        <v>2</v>
      </c>
      <c r="AO81">
        <v>2</v>
      </c>
      <c r="AP81">
        <v>2</v>
      </c>
      <c r="AQ81">
        <v>2.2999999999999998</v>
      </c>
      <c r="AR81">
        <v>0.9</v>
      </c>
      <c r="AT81">
        <v>67</v>
      </c>
      <c r="AU81" t="s">
        <v>27</v>
      </c>
      <c r="AV81">
        <v>4.8</v>
      </c>
      <c r="AW81">
        <v>4.7</v>
      </c>
      <c r="AX81">
        <v>3</v>
      </c>
      <c r="AY81">
        <v>6</v>
      </c>
      <c r="AZ81">
        <v>4.3</v>
      </c>
      <c r="BA81">
        <v>4.5999999999999996</v>
      </c>
      <c r="BC81" s="95" t="s">
        <v>27</v>
      </c>
      <c r="BD81" s="13">
        <f t="shared" si="10"/>
        <v>63</v>
      </c>
      <c r="BE81" s="7">
        <f t="shared" si="11"/>
        <v>74.2</v>
      </c>
      <c r="BF81" s="7">
        <f t="shared" si="12"/>
        <v>1.5</v>
      </c>
      <c r="BG81" s="7">
        <f t="shared" si="13"/>
        <v>6</v>
      </c>
      <c r="BH81" s="7">
        <f t="shared" si="14"/>
        <v>2.2000000000000002</v>
      </c>
      <c r="BI81" s="7">
        <f t="shared" si="15"/>
        <v>4.8</v>
      </c>
      <c r="BJ81" s="99">
        <f t="shared" si="16"/>
        <v>151.69999999999999</v>
      </c>
      <c r="BK81" s="81">
        <f t="shared" si="17"/>
        <v>0.41529334212261043</v>
      </c>
      <c r="BL81" s="73">
        <f t="shared" si="18"/>
        <v>0.48912326961107455</v>
      </c>
      <c r="BM81" s="79">
        <f t="shared" si="19"/>
        <v>9.55833882663151E-2</v>
      </c>
    </row>
    <row r="82" spans="1:65" x14ac:dyDescent="0.2">
      <c r="A82">
        <v>36</v>
      </c>
      <c r="B82" t="s">
        <v>300</v>
      </c>
      <c r="C82">
        <v>75</v>
      </c>
      <c r="D82">
        <v>75.7</v>
      </c>
      <c r="E82">
        <v>77</v>
      </c>
      <c r="F82">
        <v>75.2</v>
      </c>
      <c r="G82">
        <v>74.5</v>
      </c>
      <c r="H82">
        <v>82.4</v>
      </c>
      <c r="J82">
        <v>102</v>
      </c>
      <c r="K82" t="s">
        <v>300</v>
      </c>
      <c r="L82">
        <v>1.2</v>
      </c>
      <c r="M82">
        <v>1.7</v>
      </c>
      <c r="N82">
        <v>3</v>
      </c>
      <c r="O82">
        <v>1</v>
      </c>
      <c r="P82">
        <v>1.5</v>
      </c>
      <c r="Q82">
        <v>1.3</v>
      </c>
      <c r="S82">
        <v>122</v>
      </c>
      <c r="T82" t="s">
        <v>300</v>
      </c>
      <c r="U82">
        <v>2.8</v>
      </c>
      <c r="V82">
        <v>2.2999999999999998</v>
      </c>
      <c r="W82">
        <v>4</v>
      </c>
      <c r="X82">
        <v>3.2</v>
      </c>
      <c r="Y82">
        <v>2</v>
      </c>
      <c r="Z82">
        <v>4.4000000000000004</v>
      </c>
      <c r="AB82">
        <v>32</v>
      </c>
      <c r="AC82" t="s">
        <v>300</v>
      </c>
      <c r="AD82">
        <v>67.5</v>
      </c>
      <c r="AE82">
        <v>64.7</v>
      </c>
      <c r="AF82">
        <v>68</v>
      </c>
      <c r="AG82">
        <v>68.2</v>
      </c>
      <c r="AH82">
        <v>66</v>
      </c>
      <c r="AI82">
        <v>72.7</v>
      </c>
      <c r="AK82">
        <v>28</v>
      </c>
      <c r="AL82" t="s">
        <v>300</v>
      </c>
      <c r="AM82">
        <v>1.2</v>
      </c>
      <c r="AN82">
        <v>1</v>
      </c>
      <c r="AO82">
        <v>2</v>
      </c>
      <c r="AP82">
        <v>1.5</v>
      </c>
      <c r="AQ82">
        <v>0.5</v>
      </c>
      <c r="AR82">
        <v>1.6</v>
      </c>
      <c r="AT82">
        <v>128</v>
      </c>
      <c r="AU82" t="s">
        <v>300</v>
      </c>
      <c r="AV82">
        <v>7.7</v>
      </c>
      <c r="AW82">
        <v>7</v>
      </c>
      <c r="AX82">
        <v>7</v>
      </c>
      <c r="AY82">
        <v>8.1999999999999993</v>
      </c>
      <c r="AZ82">
        <v>6.5</v>
      </c>
      <c r="BA82">
        <v>6.1</v>
      </c>
      <c r="BC82" s="95" t="s">
        <v>300</v>
      </c>
      <c r="BD82" s="13">
        <f t="shared" si="10"/>
        <v>75</v>
      </c>
      <c r="BE82" s="7">
        <f t="shared" si="11"/>
        <v>67.5</v>
      </c>
      <c r="BF82" s="7">
        <f t="shared" si="12"/>
        <v>1.2</v>
      </c>
      <c r="BG82" s="7">
        <f t="shared" si="13"/>
        <v>2.8</v>
      </c>
      <c r="BH82" s="7">
        <f t="shared" si="14"/>
        <v>1.2</v>
      </c>
      <c r="BI82" s="7">
        <f t="shared" si="15"/>
        <v>7.7</v>
      </c>
      <c r="BJ82" s="99">
        <f t="shared" si="16"/>
        <v>155.39999999999998</v>
      </c>
      <c r="BK82" s="81">
        <f t="shared" si="17"/>
        <v>0.48262548262548272</v>
      </c>
      <c r="BL82" s="73">
        <f t="shared" si="18"/>
        <v>0.43436293436293444</v>
      </c>
      <c r="BM82" s="79">
        <f t="shared" si="19"/>
        <v>8.3011583011583026E-2</v>
      </c>
    </row>
    <row r="83" spans="1:65" x14ac:dyDescent="0.2">
      <c r="A83">
        <v>121</v>
      </c>
      <c r="B83" t="s">
        <v>303</v>
      </c>
      <c r="C83">
        <v>64.2</v>
      </c>
      <c r="D83">
        <v>65.3</v>
      </c>
      <c r="E83">
        <v>67</v>
      </c>
      <c r="F83">
        <v>62.5</v>
      </c>
      <c r="G83">
        <v>66</v>
      </c>
      <c r="H83">
        <v>67.599999999999994</v>
      </c>
      <c r="J83">
        <v>43</v>
      </c>
      <c r="K83" t="s">
        <v>303</v>
      </c>
      <c r="L83">
        <v>1.8</v>
      </c>
      <c r="M83">
        <v>1.7</v>
      </c>
      <c r="N83">
        <v>1</v>
      </c>
      <c r="O83">
        <v>2</v>
      </c>
      <c r="P83">
        <v>1.5</v>
      </c>
      <c r="Q83">
        <v>1.4</v>
      </c>
      <c r="S83">
        <v>130</v>
      </c>
      <c r="T83" t="s">
        <v>303</v>
      </c>
      <c r="U83">
        <v>2</v>
      </c>
      <c r="V83">
        <v>2.2999999999999998</v>
      </c>
      <c r="W83">
        <v>2</v>
      </c>
      <c r="X83">
        <v>2</v>
      </c>
      <c r="Y83">
        <v>2</v>
      </c>
      <c r="Z83">
        <v>2.2000000000000002</v>
      </c>
      <c r="AB83">
        <v>23</v>
      </c>
      <c r="AC83" t="s">
        <v>303</v>
      </c>
      <c r="AD83">
        <v>66.5</v>
      </c>
      <c r="AE83">
        <v>64.7</v>
      </c>
      <c r="AF83">
        <v>63</v>
      </c>
      <c r="AG83">
        <v>68</v>
      </c>
      <c r="AH83">
        <v>65</v>
      </c>
      <c r="AI83">
        <v>76.099999999999994</v>
      </c>
      <c r="AK83">
        <v>44</v>
      </c>
      <c r="AL83" t="s">
        <v>303</v>
      </c>
      <c r="AM83">
        <v>1.2</v>
      </c>
      <c r="AN83">
        <v>1.3</v>
      </c>
      <c r="AO83">
        <v>0</v>
      </c>
      <c r="AP83">
        <v>2</v>
      </c>
      <c r="AQ83">
        <v>0.5</v>
      </c>
      <c r="AR83">
        <v>1</v>
      </c>
      <c r="AT83">
        <v>88</v>
      </c>
      <c r="AU83" t="s">
        <v>303</v>
      </c>
      <c r="AV83">
        <v>5.2</v>
      </c>
      <c r="AW83">
        <v>5.3</v>
      </c>
      <c r="AX83">
        <v>5</v>
      </c>
      <c r="AY83">
        <v>5.5</v>
      </c>
      <c r="AZ83">
        <v>5</v>
      </c>
      <c r="BA83">
        <v>4.2</v>
      </c>
      <c r="BC83" s="95" t="s">
        <v>303</v>
      </c>
      <c r="BD83" s="13">
        <f t="shared" si="10"/>
        <v>64.2</v>
      </c>
      <c r="BE83" s="7">
        <f t="shared" si="11"/>
        <v>66.5</v>
      </c>
      <c r="BF83" s="7">
        <f t="shared" si="12"/>
        <v>1.8</v>
      </c>
      <c r="BG83" s="7">
        <f t="shared" si="13"/>
        <v>2</v>
      </c>
      <c r="BH83" s="7">
        <f t="shared" si="14"/>
        <v>1.2</v>
      </c>
      <c r="BI83" s="7">
        <f t="shared" si="15"/>
        <v>5.2</v>
      </c>
      <c r="BJ83" s="99">
        <f t="shared" si="16"/>
        <v>140.89999999999998</v>
      </c>
      <c r="BK83" s="81">
        <f t="shared" si="17"/>
        <v>0.45564229950319385</v>
      </c>
      <c r="BL83" s="73">
        <f t="shared" si="18"/>
        <v>0.47196593328601855</v>
      </c>
      <c r="BM83" s="79">
        <f t="shared" si="19"/>
        <v>7.23917672107878E-2</v>
      </c>
    </row>
    <row r="84" spans="1:65" x14ac:dyDescent="0.2">
      <c r="A84">
        <v>8</v>
      </c>
      <c r="B84" t="s">
        <v>798</v>
      </c>
      <c r="C84">
        <v>81.400000000000006</v>
      </c>
      <c r="D84">
        <v>87.3</v>
      </c>
      <c r="E84">
        <v>100</v>
      </c>
      <c r="F84">
        <v>71</v>
      </c>
      <c r="G84">
        <v>84</v>
      </c>
      <c r="H84">
        <v>79.2</v>
      </c>
      <c r="J84">
        <v>25</v>
      </c>
      <c r="K84" t="s">
        <v>798</v>
      </c>
      <c r="L84">
        <v>2</v>
      </c>
      <c r="M84">
        <v>2.2999999999999998</v>
      </c>
      <c r="N84">
        <v>0</v>
      </c>
      <c r="O84">
        <v>4</v>
      </c>
      <c r="P84">
        <v>1.5</v>
      </c>
      <c r="Q84">
        <v>1.8</v>
      </c>
      <c r="S84">
        <v>81</v>
      </c>
      <c r="T84" t="s">
        <v>798</v>
      </c>
      <c r="U84">
        <v>4.4000000000000004</v>
      </c>
      <c r="V84">
        <v>5</v>
      </c>
      <c r="W84">
        <v>7</v>
      </c>
      <c r="X84">
        <v>4</v>
      </c>
      <c r="Y84">
        <v>4.5</v>
      </c>
      <c r="Z84">
        <v>4.2</v>
      </c>
      <c r="AB84">
        <v>108</v>
      </c>
      <c r="AC84" t="s">
        <v>798</v>
      </c>
      <c r="AD84">
        <v>77</v>
      </c>
      <c r="AE84">
        <v>69</v>
      </c>
      <c r="AF84">
        <v>80</v>
      </c>
      <c r="AG84">
        <v>56</v>
      </c>
      <c r="AH84">
        <v>82.2</v>
      </c>
      <c r="AI84">
        <v>78.400000000000006</v>
      </c>
      <c r="AK84">
        <v>59</v>
      </c>
      <c r="AL84" t="s">
        <v>798</v>
      </c>
      <c r="AM84">
        <v>1.4</v>
      </c>
      <c r="AN84">
        <v>2</v>
      </c>
      <c r="AO84">
        <v>4</v>
      </c>
      <c r="AP84">
        <v>2</v>
      </c>
      <c r="AQ84">
        <v>1.2</v>
      </c>
      <c r="AR84">
        <v>1.6</v>
      </c>
      <c r="AT84">
        <v>96</v>
      </c>
      <c r="AU84" t="s">
        <v>798</v>
      </c>
      <c r="AV84">
        <v>5.6</v>
      </c>
      <c r="AW84">
        <v>5.3</v>
      </c>
      <c r="AX84">
        <v>5</v>
      </c>
      <c r="AY84">
        <v>7</v>
      </c>
      <c r="AZ84">
        <v>5.2</v>
      </c>
      <c r="BA84">
        <v>5.0999999999999996</v>
      </c>
      <c r="BC84" s="95" t="s">
        <v>798</v>
      </c>
      <c r="BD84" s="13">
        <f t="shared" si="10"/>
        <v>81.400000000000006</v>
      </c>
      <c r="BE84" s="7">
        <f t="shared" si="11"/>
        <v>77</v>
      </c>
      <c r="BF84" s="7">
        <f t="shared" si="12"/>
        <v>2</v>
      </c>
      <c r="BG84" s="7">
        <f t="shared" si="13"/>
        <v>4.4000000000000004</v>
      </c>
      <c r="BH84" s="7">
        <f t="shared" si="14"/>
        <v>1.4</v>
      </c>
      <c r="BI84" s="7">
        <f t="shared" si="15"/>
        <v>5.6</v>
      </c>
      <c r="BJ84" s="99">
        <f t="shared" si="16"/>
        <v>171.8</v>
      </c>
      <c r="BK84" s="81">
        <f t="shared" si="17"/>
        <v>0.47380675203725264</v>
      </c>
      <c r="BL84" s="73">
        <f t="shared" si="18"/>
        <v>0.44819557625145517</v>
      </c>
      <c r="BM84" s="79">
        <f t="shared" si="19"/>
        <v>7.7997671711292196E-2</v>
      </c>
    </row>
    <row r="85" spans="1:65" x14ac:dyDescent="0.2">
      <c r="A85">
        <v>53</v>
      </c>
      <c r="B85" t="s">
        <v>310</v>
      </c>
      <c r="C85">
        <v>72.5</v>
      </c>
      <c r="D85">
        <v>71</v>
      </c>
      <c r="E85">
        <v>61</v>
      </c>
      <c r="F85">
        <v>68.5</v>
      </c>
      <c r="G85">
        <v>76.5</v>
      </c>
      <c r="H85">
        <v>77.400000000000006</v>
      </c>
      <c r="J85">
        <v>74</v>
      </c>
      <c r="K85" t="s">
        <v>310</v>
      </c>
      <c r="L85">
        <v>1.5</v>
      </c>
      <c r="M85">
        <v>1.7</v>
      </c>
      <c r="N85">
        <v>2</v>
      </c>
      <c r="O85">
        <v>2</v>
      </c>
      <c r="P85">
        <v>1</v>
      </c>
      <c r="Q85">
        <v>1.6</v>
      </c>
      <c r="S85">
        <v>35</v>
      </c>
      <c r="T85" t="s">
        <v>310</v>
      </c>
      <c r="U85">
        <v>5.8</v>
      </c>
      <c r="V85">
        <v>6</v>
      </c>
      <c r="W85">
        <v>5</v>
      </c>
      <c r="X85">
        <v>6</v>
      </c>
      <c r="Y85">
        <v>5.5</v>
      </c>
      <c r="Z85">
        <v>4.8</v>
      </c>
      <c r="AB85">
        <v>7</v>
      </c>
      <c r="AC85" t="s">
        <v>310</v>
      </c>
      <c r="AD85">
        <v>62</v>
      </c>
      <c r="AE85">
        <v>60</v>
      </c>
      <c r="AF85">
        <v>67</v>
      </c>
      <c r="AG85">
        <v>62.5</v>
      </c>
      <c r="AH85">
        <v>61.5</v>
      </c>
      <c r="AI85">
        <v>77.8</v>
      </c>
      <c r="AK85">
        <v>115</v>
      </c>
      <c r="AL85" t="s">
        <v>310</v>
      </c>
      <c r="AM85">
        <v>2.2000000000000002</v>
      </c>
      <c r="AN85">
        <v>2.2999999999999998</v>
      </c>
      <c r="AO85">
        <v>4</v>
      </c>
      <c r="AP85">
        <v>3</v>
      </c>
      <c r="AQ85">
        <v>1.5</v>
      </c>
      <c r="AR85">
        <v>1</v>
      </c>
      <c r="AT85">
        <v>44</v>
      </c>
      <c r="AU85" t="s">
        <v>310</v>
      </c>
      <c r="AV85">
        <v>4.2</v>
      </c>
      <c r="AW85">
        <v>4.7</v>
      </c>
      <c r="AX85">
        <v>2</v>
      </c>
      <c r="AY85">
        <v>4</v>
      </c>
      <c r="AZ85">
        <v>4.5</v>
      </c>
      <c r="BA85">
        <v>4.5</v>
      </c>
      <c r="BC85" s="95" t="s">
        <v>310</v>
      </c>
      <c r="BD85" s="13">
        <f t="shared" si="10"/>
        <v>72.5</v>
      </c>
      <c r="BE85" s="7">
        <f t="shared" si="11"/>
        <v>62</v>
      </c>
      <c r="BF85" s="7">
        <f t="shared" si="12"/>
        <v>1.5</v>
      </c>
      <c r="BG85" s="7">
        <f t="shared" si="13"/>
        <v>5.8</v>
      </c>
      <c r="BH85" s="7">
        <f t="shared" si="14"/>
        <v>2.2000000000000002</v>
      </c>
      <c r="BI85" s="7">
        <f t="shared" si="15"/>
        <v>4.2</v>
      </c>
      <c r="BJ85" s="99">
        <f t="shared" si="16"/>
        <v>148.19999999999999</v>
      </c>
      <c r="BK85" s="81">
        <f t="shared" si="17"/>
        <v>0.48920377867746295</v>
      </c>
      <c r="BL85" s="73">
        <f t="shared" si="18"/>
        <v>0.4183535762483131</v>
      </c>
      <c r="BM85" s="79">
        <f t="shared" si="19"/>
        <v>9.244264507422402E-2</v>
      </c>
    </row>
    <row r="86" spans="1:65" x14ac:dyDescent="0.2">
      <c r="A86">
        <v>81</v>
      </c>
      <c r="B86" t="s">
        <v>315</v>
      </c>
      <c r="C86">
        <v>70</v>
      </c>
      <c r="D86">
        <v>69</v>
      </c>
      <c r="E86">
        <v>74</v>
      </c>
      <c r="F86">
        <v>74.5</v>
      </c>
      <c r="G86">
        <v>65.5</v>
      </c>
      <c r="H86">
        <v>74</v>
      </c>
      <c r="J86">
        <v>112</v>
      </c>
      <c r="K86" t="s">
        <v>315</v>
      </c>
      <c r="L86">
        <v>1</v>
      </c>
      <c r="M86">
        <v>1</v>
      </c>
      <c r="N86">
        <v>2</v>
      </c>
      <c r="O86">
        <v>1</v>
      </c>
      <c r="P86">
        <v>1</v>
      </c>
      <c r="Q86">
        <v>0.9</v>
      </c>
      <c r="S86">
        <v>63</v>
      </c>
      <c r="T86" t="s">
        <v>315</v>
      </c>
      <c r="U86">
        <v>4.8</v>
      </c>
      <c r="V86">
        <v>4</v>
      </c>
      <c r="W86">
        <v>4</v>
      </c>
      <c r="X86">
        <v>3</v>
      </c>
      <c r="Y86">
        <v>6.5</v>
      </c>
      <c r="Z86">
        <v>5.3</v>
      </c>
      <c r="AB86">
        <v>58</v>
      </c>
      <c r="AC86" t="s">
        <v>315</v>
      </c>
      <c r="AD86">
        <v>71.2</v>
      </c>
      <c r="AE86">
        <v>69.7</v>
      </c>
      <c r="AF86">
        <v>68</v>
      </c>
      <c r="AG86">
        <v>70.5</v>
      </c>
      <c r="AH86">
        <v>72</v>
      </c>
      <c r="AI86">
        <v>76.8</v>
      </c>
      <c r="AK86">
        <v>120</v>
      </c>
      <c r="AL86" t="s">
        <v>315</v>
      </c>
      <c r="AM86">
        <v>2.2000000000000002</v>
      </c>
      <c r="AN86">
        <v>2</v>
      </c>
      <c r="AO86">
        <v>2</v>
      </c>
      <c r="AP86">
        <v>2</v>
      </c>
      <c r="AQ86">
        <v>2.5</v>
      </c>
      <c r="AR86">
        <v>2.2000000000000002</v>
      </c>
      <c r="AT86">
        <v>120</v>
      </c>
      <c r="AU86" t="s">
        <v>315</v>
      </c>
      <c r="AV86">
        <v>6.8</v>
      </c>
      <c r="AW86">
        <v>7</v>
      </c>
      <c r="AX86">
        <v>7</v>
      </c>
      <c r="AY86">
        <v>7.5</v>
      </c>
      <c r="AZ86">
        <v>6</v>
      </c>
      <c r="BA86">
        <v>4.8</v>
      </c>
      <c r="BC86" s="95" t="s">
        <v>315</v>
      </c>
      <c r="BD86" s="13">
        <f t="shared" si="10"/>
        <v>70</v>
      </c>
      <c r="BE86" s="7">
        <f t="shared" si="11"/>
        <v>71.2</v>
      </c>
      <c r="BF86" s="7">
        <f t="shared" si="12"/>
        <v>1</v>
      </c>
      <c r="BG86" s="7">
        <f t="shared" si="13"/>
        <v>4.8</v>
      </c>
      <c r="BH86" s="7">
        <f t="shared" si="14"/>
        <v>2.2000000000000002</v>
      </c>
      <c r="BI86" s="7">
        <f t="shared" si="15"/>
        <v>6.8</v>
      </c>
      <c r="BJ86" s="99">
        <f t="shared" si="16"/>
        <v>156</v>
      </c>
      <c r="BK86" s="81">
        <f t="shared" si="17"/>
        <v>0.44871794871794873</v>
      </c>
      <c r="BL86" s="73">
        <f t="shared" si="18"/>
        <v>0.45641025641025645</v>
      </c>
      <c r="BM86" s="79">
        <f t="shared" si="19"/>
        <v>9.4871794871794882E-2</v>
      </c>
    </row>
    <row r="87" spans="1:65" x14ac:dyDescent="0.2">
      <c r="A87">
        <v>39</v>
      </c>
      <c r="B87" t="s">
        <v>807</v>
      </c>
      <c r="C87">
        <v>74.8</v>
      </c>
      <c r="D87">
        <v>70.7</v>
      </c>
      <c r="E87">
        <v>59</v>
      </c>
      <c r="F87">
        <v>81.5</v>
      </c>
      <c r="G87">
        <v>68</v>
      </c>
      <c r="H87">
        <v>80.5</v>
      </c>
      <c r="J87">
        <v>114</v>
      </c>
      <c r="K87" t="s">
        <v>807</v>
      </c>
      <c r="L87">
        <v>1</v>
      </c>
      <c r="M87">
        <v>1</v>
      </c>
      <c r="N87">
        <v>0</v>
      </c>
      <c r="O87">
        <v>1.5</v>
      </c>
      <c r="P87">
        <v>0.5</v>
      </c>
      <c r="Q87">
        <v>1.5</v>
      </c>
      <c r="S87">
        <v>113</v>
      </c>
      <c r="T87" t="s">
        <v>807</v>
      </c>
      <c r="U87">
        <v>3.5</v>
      </c>
      <c r="V87">
        <v>3.3</v>
      </c>
      <c r="W87">
        <v>3</v>
      </c>
      <c r="X87">
        <v>3</v>
      </c>
      <c r="Y87">
        <v>4</v>
      </c>
      <c r="Z87">
        <v>5.5</v>
      </c>
      <c r="AB87">
        <v>110</v>
      </c>
      <c r="AC87" t="s">
        <v>807</v>
      </c>
      <c r="AD87">
        <v>77.2</v>
      </c>
      <c r="AE87">
        <v>77.3</v>
      </c>
      <c r="AF87">
        <v>92</v>
      </c>
      <c r="AG87">
        <v>68.5</v>
      </c>
      <c r="AH87">
        <v>86</v>
      </c>
      <c r="AI87">
        <v>72.2</v>
      </c>
      <c r="AK87">
        <v>106</v>
      </c>
      <c r="AL87" t="s">
        <v>807</v>
      </c>
      <c r="AM87">
        <v>2</v>
      </c>
      <c r="AN87">
        <v>2.2999999999999998</v>
      </c>
      <c r="AO87">
        <v>1</v>
      </c>
      <c r="AP87">
        <v>1.5</v>
      </c>
      <c r="AQ87">
        <v>2.5</v>
      </c>
      <c r="AR87">
        <v>0.9</v>
      </c>
      <c r="AT87">
        <v>1</v>
      </c>
      <c r="AU87" t="s">
        <v>807</v>
      </c>
      <c r="AV87">
        <v>2.2000000000000002</v>
      </c>
      <c r="AW87">
        <v>2.2999999999999998</v>
      </c>
      <c r="AX87">
        <v>1</v>
      </c>
      <c r="AY87">
        <v>2.5</v>
      </c>
      <c r="AZ87">
        <v>2</v>
      </c>
      <c r="BA87">
        <v>3.4</v>
      </c>
      <c r="BC87" s="95" t="s">
        <v>807</v>
      </c>
      <c r="BD87" s="13">
        <f t="shared" si="10"/>
        <v>74.8</v>
      </c>
      <c r="BE87" s="7">
        <f t="shared" si="11"/>
        <v>77.2</v>
      </c>
      <c r="BF87" s="7">
        <f t="shared" si="12"/>
        <v>1</v>
      </c>
      <c r="BG87" s="7">
        <f t="shared" si="13"/>
        <v>3.5</v>
      </c>
      <c r="BH87" s="7">
        <f t="shared" si="14"/>
        <v>2</v>
      </c>
      <c r="BI87" s="7">
        <f t="shared" si="15"/>
        <v>2.2000000000000002</v>
      </c>
      <c r="BJ87" s="99">
        <f t="shared" si="16"/>
        <v>160.69999999999999</v>
      </c>
      <c r="BK87" s="81">
        <f t="shared" si="17"/>
        <v>0.46546359676415683</v>
      </c>
      <c r="BL87" s="73">
        <f t="shared" si="18"/>
        <v>0.48039825762289984</v>
      </c>
      <c r="BM87" s="79">
        <f t="shared" si="19"/>
        <v>5.4138145612943375E-2</v>
      </c>
    </row>
    <row r="88" spans="1:65" x14ac:dyDescent="0.2">
      <c r="A88">
        <v>101</v>
      </c>
      <c r="B88" t="s">
        <v>322</v>
      </c>
      <c r="C88">
        <v>67.5</v>
      </c>
      <c r="D88">
        <v>73.7</v>
      </c>
      <c r="E88">
        <v>76</v>
      </c>
      <c r="F88">
        <v>63.3</v>
      </c>
      <c r="G88">
        <v>80</v>
      </c>
      <c r="H88">
        <v>71.5</v>
      </c>
      <c r="J88">
        <v>86</v>
      </c>
      <c r="K88" t="s">
        <v>322</v>
      </c>
      <c r="L88">
        <v>1.2</v>
      </c>
      <c r="M88">
        <v>1.3</v>
      </c>
      <c r="N88">
        <v>1</v>
      </c>
      <c r="O88">
        <v>1</v>
      </c>
      <c r="P88">
        <v>2</v>
      </c>
      <c r="Q88">
        <v>1.8</v>
      </c>
      <c r="S88">
        <v>58</v>
      </c>
      <c r="T88" t="s">
        <v>322</v>
      </c>
      <c r="U88">
        <v>5</v>
      </c>
      <c r="V88">
        <v>5</v>
      </c>
      <c r="W88">
        <v>5</v>
      </c>
      <c r="X88">
        <v>5.7</v>
      </c>
      <c r="Y88">
        <v>3</v>
      </c>
      <c r="Z88">
        <v>5</v>
      </c>
      <c r="AB88">
        <v>89</v>
      </c>
      <c r="AC88" t="s">
        <v>322</v>
      </c>
      <c r="AD88">
        <v>74.5</v>
      </c>
      <c r="AE88">
        <v>69</v>
      </c>
      <c r="AF88">
        <v>66</v>
      </c>
      <c r="AG88">
        <v>78.7</v>
      </c>
      <c r="AH88">
        <v>62</v>
      </c>
      <c r="AI88">
        <v>77.8</v>
      </c>
      <c r="AK88">
        <v>37</v>
      </c>
      <c r="AL88" t="s">
        <v>322</v>
      </c>
      <c r="AM88">
        <v>1.2</v>
      </c>
      <c r="AN88">
        <v>0.7</v>
      </c>
      <c r="AO88">
        <v>0</v>
      </c>
      <c r="AP88">
        <v>1.7</v>
      </c>
      <c r="AQ88">
        <v>0</v>
      </c>
      <c r="AR88">
        <v>1.2</v>
      </c>
      <c r="AT88">
        <v>130</v>
      </c>
      <c r="AU88" t="s">
        <v>322</v>
      </c>
      <c r="AV88">
        <v>8.1999999999999993</v>
      </c>
      <c r="AW88">
        <v>9</v>
      </c>
      <c r="AX88">
        <v>12</v>
      </c>
      <c r="AY88">
        <v>8</v>
      </c>
      <c r="AZ88">
        <v>9</v>
      </c>
      <c r="BA88">
        <v>6.8</v>
      </c>
      <c r="BC88" s="95" t="s">
        <v>322</v>
      </c>
      <c r="BD88" s="13">
        <f t="shared" si="10"/>
        <v>67.5</v>
      </c>
      <c r="BE88" s="7">
        <f t="shared" si="11"/>
        <v>74.5</v>
      </c>
      <c r="BF88" s="7">
        <f t="shared" si="12"/>
        <v>1.2</v>
      </c>
      <c r="BG88" s="7">
        <f t="shared" si="13"/>
        <v>5</v>
      </c>
      <c r="BH88" s="7">
        <f t="shared" si="14"/>
        <v>1.2</v>
      </c>
      <c r="BI88" s="7">
        <f t="shared" si="15"/>
        <v>8.1999999999999993</v>
      </c>
      <c r="BJ88" s="99">
        <f t="shared" si="16"/>
        <v>157.59999999999997</v>
      </c>
      <c r="BK88" s="81">
        <f t="shared" si="17"/>
        <v>0.42829949238578691</v>
      </c>
      <c r="BL88" s="73">
        <f t="shared" si="18"/>
        <v>0.47271573604060924</v>
      </c>
      <c r="BM88" s="79">
        <f t="shared" si="19"/>
        <v>9.898477157360408E-2</v>
      </c>
    </row>
    <row r="89" spans="1:65" x14ac:dyDescent="0.2">
      <c r="A89">
        <v>10</v>
      </c>
      <c r="B89" t="s">
        <v>326</v>
      </c>
      <c r="C89">
        <v>80.8</v>
      </c>
      <c r="D89">
        <v>84.7</v>
      </c>
      <c r="E89">
        <v>86</v>
      </c>
      <c r="F89">
        <v>79.7</v>
      </c>
      <c r="G89">
        <v>82.5</v>
      </c>
      <c r="H89">
        <v>66.099999999999994</v>
      </c>
      <c r="J89">
        <v>28</v>
      </c>
      <c r="K89" t="s">
        <v>326</v>
      </c>
      <c r="L89">
        <v>2</v>
      </c>
      <c r="M89">
        <v>2</v>
      </c>
      <c r="N89">
        <v>2</v>
      </c>
      <c r="O89">
        <v>2</v>
      </c>
      <c r="P89">
        <v>2</v>
      </c>
      <c r="Q89">
        <v>1.3</v>
      </c>
      <c r="S89">
        <v>28</v>
      </c>
      <c r="T89" t="s">
        <v>326</v>
      </c>
      <c r="U89">
        <v>6</v>
      </c>
      <c r="V89">
        <v>7</v>
      </c>
      <c r="W89">
        <v>8</v>
      </c>
      <c r="X89">
        <v>5.3</v>
      </c>
      <c r="Y89">
        <v>7</v>
      </c>
      <c r="Z89">
        <v>5.5</v>
      </c>
      <c r="AB89">
        <v>84</v>
      </c>
      <c r="AC89" t="s">
        <v>326</v>
      </c>
      <c r="AD89">
        <v>74.2</v>
      </c>
      <c r="AE89">
        <v>79.7</v>
      </c>
      <c r="AF89">
        <v>92</v>
      </c>
      <c r="AG89">
        <v>71.3</v>
      </c>
      <c r="AH89">
        <v>78.5</v>
      </c>
      <c r="AI89">
        <v>69</v>
      </c>
      <c r="AK89">
        <v>91</v>
      </c>
      <c r="AL89" t="s">
        <v>326</v>
      </c>
      <c r="AM89">
        <v>1.8</v>
      </c>
      <c r="AN89">
        <v>1.3</v>
      </c>
      <c r="AO89">
        <v>1</v>
      </c>
      <c r="AP89">
        <v>2.2999999999999998</v>
      </c>
      <c r="AQ89">
        <v>1</v>
      </c>
      <c r="AR89">
        <v>1.3</v>
      </c>
      <c r="AT89">
        <v>119</v>
      </c>
      <c r="AU89" t="s">
        <v>326</v>
      </c>
      <c r="AV89">
        <v>6.6</v>
      </c>
      <c r="AW89">
        <v>6.3</v>
      </c>
      <c r="AX89">
        <v>7</v>
      </c>
      <c r="AY89">
        <v>6.3</v>
      </c>
      <c r="AZ89">
        <v>7</v>
      </c>
      <c r="BA89">
        <v>4.7</v>
      </c>
      <c r="BC89" s="95" t="s">
        <v>326</v>
      </c>
      <c r="BD89" s="13">
        <f t="shared" si="10"/>
        <v>80.8</v>
      </c>
      <c r="BE89" s="7">
        <f t="shared" si="11"/>
        <v>74.2</v>
      </c>
      <c r="BF89" s="7">
        <f t="shared" si="12"/>
        <v>2</v>
      </c>
      <c r="BG89" s="7">
        <f t="shared" si="13"/>
        <v>6</v>
      </c>
      <c r="BH89" s="7">
        <f t="shared" si="14"/>
        <v>1.8</v>
      </c>
      <c r="BI89" s="7">
        <f t="shared" si="15"/>
        <v>6.6</v>
      </c>
      <c r="BJ89" s="99">
        <f t="shared" si="16"/>
        <v>171.4</v>
      </c>
      <c r="BK89" s="81">
        <f t="shared" si="17"/>
        <v>0.47141190198366389</v>
      </c>
      <c r="BL89" s="73">
        <f t="shared" si="18"/>
        <v>0.43290548424737457</v>
      </c>
      <c r="BM89" s="79">
        <f t="shared" si="19"/>
        <v>9.5682613768961478E-2</v>
      </c>
    </row>
    <row r="90" spans="1:65" x14ac:dyDescent="0.2">
      <c r="A90">
        <v>66</v>
      </c>
      <c r="B90" t="s">
        <v>327</v>
      </c>
      <c r="C90">
        <v>71.599999999999994</v>
      </c>
      <c r="D90">
        <v>69</v>
      </c>
      <c r="E90">
        <v>66</v>
      </c>
      <c r="F90">
        <v>70</v>
      </c>
      <c r="G90">
        <v>74</v>
      </c>
      <c r="H90">
        <v>72</v>
      </c>
      <c r="J90">
        <v>111</v>
      </c>
      <c r="K90" t="s">
        <v>327</v>
      </c>
      <c r="L90">
        <v>1</v>
      </c>
      <c r="M90">
        <v>1</v>
      </c>
      <c r="N90">
        <v>0</v>
      </c>
      <c r="O90">
        <v>1.3</v>
      </c>
      <c r="P90">
        <v>0.5</v>
      </c>
      <c r="Q90">
        <v>1.9</v>
      </c>
      <c r="S90">
        <v>8</v>
      </c>
      <c r="T90" t="s">
        <v>327</v>
      </c>
      <c r="U90">
        <v>6.8</v>
      </c>
      <c r="V90">
        <v>8</v>
      </c>
      <c r="W90">
        <v>12</v>
      </c>
      <c r="X90">
        <v>5.7</v>
      </c>
      <c r="Y90">
        <v>8.5</v>
      </c>
      <c r="Z90">
        <v>4.8</v>
      </c>
      <c r="AB90">
        <v>94</v>
      </c>
      <c r="AC90" t="s">
        <v>327</v>
      </c>
      <c r="AD90">
        <v>75.400000000000006</v>
      </c>
      <c r="AE90">
        <v>73.7</v>
      </c>
      <c r="AF90">
        <v>76</v>
      </c>
      <c r="AG90">
        <v>74.3</v>
      </c>
      <c r="AH90">
        <v>77</v>
      </c>
      <c r="AI90">
        <v>77.5</v>
      </c>
      <c r="AK90">
        <v>79</v>
      </c>
      <c r="AL90" t="s">
        <v>327</v>
      </c>
      <c r="AM90">
        <v>1.6</v>
      </c>
      <c r="AN90">
        <v>1.7</v>
      </c>
      <c r="AO90">
        <v>1</v>
      </c>
      <c r="AP90">
        <v>1.7</v>
      </c>
      <c r="AQ90">
        <v>1.5</v>
      </c>
      <c r="AR90">
        <v>1.8</v>
      </c>
      <c r="AT90">
        <v>115</v>
      </c>
      <c r="AU90" t="s">
        <v>327</v>
      </c>
      <c r="AV90">
        <v>6.4</v>
      </c>
      <c r="AW90">
        <v>5.3</v>
      </c>
      <c r="AX90">
        <v>5</v>
      </c>
      <c r="AY90">
        <v>5.7</v>
      </c>
      <c r="AZ90">
        <v>7.5</v>
      </c>
      <c r="BA90">
        <v>5</v>
      </c>
      <c r="BC90" s="95" t="s">
        <v>327</v>
      </c>
      <c r="BD90" s="13">
        <f t="shared" si="10"/>
        <v>71.599999999999994</v>
      </c>
      <c r="BE90" s="7">
        <f t="shared" si="11"/>
        <v>75.400000000000006</v>
      </c>
      <c r="BF90" s="7">
        <f t="shared" si="12"/>
        <v>1</v>
      </c>
      <c r="BG90" s="7">
        <f t="shared" si="13"/>
        <v>6.8</v>
      </c>
      <c r="BH90" s="7">
        <f t="shared" si="14"/>
        <v>1.6</v>
      </c>
      <c r="BI90" s="7">
        <f t="shared" si="15"/>
        <v>6.4</v>
      </c>
      <c r="BJ90" s="99">
        <f t="shared" si="16"/>
        <v>162.80000000000001</v>
      </c>
      <c r="BK90" s="81">
        <f t="shared" si="17"/>
        <v>0.43980343980343972</v>
      </c>
      <c r="BL90" s="73">
        <f t="shared" si="18"/>
        <v>0.46314496314496317</v>
      </c>
      <c r="BM90" s="79">
        <f t="shared" si="19"/>
        <v>9.7051597051597049E-2</v>
      </c>
    </row>
    <row r="91" spans="1:65" x14ac:dyDescent="0.2">
      <c r="A91">
        <v>107</v>
      </c>
      <c r="B91" t="s">
        <v>330</v>
      </c>
      <c r="C91">
        <v>66.2</v>
      </c>
      <c r="D91">
        <v>73.3</v>
      </c>
      <c r="E91">
        <v>77</v>
      </c>
      <c r="F91">
        <v>73</v>
      </c>
      <c r="G91">
        <v>59.3</v>
      </c>
      <c r="H91">
        <v>67.3</v>
      </c>
      <c r="J91">
        <v>85</v>
      </c>
      <c r="K91" t="s">
        <v>330</v>
      </c>
      <c r="L91">
        <v>1.3</v>
      </c>
      <c r="M91">
        <v>2</v>
      </c>
      <c r="N91">
        <v>0</v>
      </c>
      <c r="O91">
        <v>2</v>
      </c>
      <c r="P91">
        <v>0.7</v>
      </c>
      <c r="Q91">
        <v>1.6</v>
      </c>
      <c r="S91">
        <v>32</v>
      </c>
      <c r="T91" t="s">
        <v>330</v>
      </c>
      <c r="U91">
        <v>5.8</v>
      </c>
      <c r="V91">
        <v>5</v>
      </c>
      <c r="W91">
        <v>5</v>
      </c>
      <c r="X91">
        <v>5.7</v>
      </c>
      <c r="Y91">
        <v>6</v>
      </c>
      <c r="Z91">
        <v>6.3</v>
      </c>
      <c r="AB91">
        <v>14</v>
      </c>
      <c r="AC91" t="s">
        <v>330</v>
      </c>
      <c r="AD91">
        <v>64.5</v>
      </c>
      <c r="AE91">
        <v>63.3</v>
      </c>
      <c r="AF91">
        <v>62</v>
      </c>
      <c r="AG91">
        <v>63.3</v>
      </c>
      <c r="AH91">
        <v>65.7</v>
      </c>
      <c r="AI91">
        <v>66.400000000000006</v>
      </c>
      <c r="AK91">
        <v>19</v>
      </c>
      <c r="AL91" t="s">
        <v>330</v>
      </c>
      <c r="AM91">
        <v>1</v>
      </c>
      <c r="AN91">
        <v>0.7</v>
      </c>
      <c r="AO91">
        <v>0</v>
      </c>
      <c r="AP91">
        <v>1.3</v>
      </c>
      <c r="AQ91">
        <v>0.7</v>
      </c>
      <c r="AR91">
        <v>1.2</v>
      </c>
      <c r="AT91">
        <v>49</v>
      </c>
      <c r="AU91" t="s">
        <v>330</v>
      </c>
      <c r="AV91">
        <v>4.3</v>
      </c>
      <c r="AW91">
        <v>5.3</v>
      </c>
      <c r="AX91">
        <v>5</v>
      </c>
      <c r="AY91">
        <v>5</v>
      </c>
      <c r="AZ91">
        <v>3.7</v>
      </c>
      <c r="BA91">
        <v>4</v>
      </c>
      <c r="BC91" s="95" t="s">
        <v>330</v>
      </c>
      <c r="BD91" s="13">
        <f t="shared" si="10"/>
        <v>66.2</v>
      </c>
      <c r="BE91" s="7">
        <f t="shared" si="11"/>
        <v>64.5</v>
      </c>
      <c r="BF91" s="7">
        <f t="shared" si="12"/>
        <v>1.3</v>
      </c>
      <c r="BG91" s="7">
        <f t="shared" si="13"/>
        <v>5.8</v>
      </c>
      <c r="BH91" s="7">
        <f t="shared" si="14"/>
        <v>1</v>
      </c>
      <c r="BI91" s="7">
        <f t="shared" si="15"/>
        <v>4.3</v>
      </c>
      <c r="BJ91" s="99">
        <f t="shared" si="16"/>
        <v>143.10000000000002</v>
      </c>
      <c r="BK91" s="81">
        <f t="shared" si="17"/>
        <v>0.46261355695317952</v>
      </c>
      <c r="BL91" s="73">
        <f t="shared" si="18"/>
        <v>0.45073375262054499</v>
      </c>
      <c r="BM91" s="79">
        <f t="shared" si="19"/>
        <v>8.6652690426275311E-2</v>
      </c>
    </row>
    <row r="92" spans="1:65" x14ac:dyDescent="0.2">
      <c r="A92">
        <v>127</v>
      </c>
      <c r="B92" t="s">
        <v>332</v>
      </c>
      <c r="C92">
        <v>63</v>
      </c>
      <c r="D92">
        <v>63</v>
      </c>
      <c r="E92">
        <v>75</v>
      </c>
      <c r="F92">
        <v>70.3</v>
      </c>
      <c r="G92">
        <v>52</v>
      </c>
      <c r="H92">
        <v>65.7</v>
      </c>
      <c r="J92">
        <v>79</v>
      </c>
      <c r="K92" t="s">
        <v>332</v>
      </c>
      <c r="L92">
        <v>1.4</v>
      </c>
      <c r="M92">
        <v>1.7</v>
      </c>
      <c r="N92">
        <v>2</v>
      </c>
      <c r="O92">
        <v>2.2999999999999998</v>
      </c>
      <c r="P92">
        <v>0</v>
      </c>
      <c r="Q92">
        <v>1</v>
      </c>
      <c r="S92">
        <v>21</v>
      </c>
      <c r="T92" t="s">
        <v>332</v>
      </c>
      <c r="U92">
        <v>6.2</v>
      </c>
      <c r="V92">
        <v>6.7</v>
      </c>
      <c r="W92">
        <v>8</v>
      </c>
      <c r="X92">
        <v>4.7</v>
      </c>
      <c r="Y92">
        <v>8.5</v>
      </c>
      <c r="Z92">
        <v>6.5</v>
      </c>
      <c r="AB92">
        <v>74</v>
      </c>
      <c r="AC92" t="s">
        <v>332</v>
      </c>
      <c r="AD92">
        <v>73.400000000000006</v>
      </c>
      <c r="AE92">
        <v>73.3</v>
      </c>
      <c r="AF92">
        <v>64</v>
      </c>
      <c r="AG92">
        <v>74.7</v>
      </c>
      <c r="AH92">
        <v>71.5</v>
      </c>
      <c r="AI92">
        <v>71.7</v>
      </c>
      <c r="AK92">
        <v>29</v>
      </c>
      <c r="AL92" t="s">
        <v>332</v>
      </c>
      <c r="AM92">
        <v>1.2</v>
      </c>
      <c r="AN92">
        <v>1</v>
      </c>
      <c r="AO92">
        <v>1</v>
      </c>
      <c r="AP92">
        <v>0.7</v>
      </c>
      <c r="AQ92">
        <v>2</v>
      </c>
      <c r="AR92">
        <v>1.2</v>
      </c>
      <c r="AT92">
        <v>90</v>
      </c>
      <c r="AU92" t="s">
        <v>332</v>
      </c>
      <c r="AV92">
        <v>5.4</v>
      </c>
      <c r="AW92">
        <v>5.3</v>
      </c>
      <c r="AX92">
        <v>8</v>
      </c>
      <c r="AY92">
        <v>6.3</v>
      </c>
      <c r="AZ92">
        <v>4</v>
      </c>
      <c r="BA92">
        <v>4.9000000000000004</v>
      </c>
      <c r="BC92" s="95" t="s">
        <v>332</v>
      </c>
      <c r="BD92" s="13">
        <f t="shared" si="10"/>
        <v>63</v>
      </c>
      <c r="BE92" s="7">
        <f t="shared" si="11"/>
        <v>73.400000000000006</v>
      </c>
      <c r="BF92" s="7">
        <f t="shared" si="12"/>
        <v>1.4</v>
      </c>
      <c r="BG92" s="7">
        <f t="shared" si="13"/>
        <v>6.2</v>
      </c>
      <c r="BH92" s="7">
        <f t="shared" si="14"/>
        <v>1.2</v>
      </c>
      <c r="BI92" s="7">
        <f t="shared" si="15"/>
        <v>5.4</v>
      </c>
      <c r="BJ92" s="99">
        <f t="shared" si="16"/>
        <v>150.6</v>
      </c>
      <c r="BK92" s="81">
        <f t="shared" si="17"/>
        <v>0.41832669322709165</v>
      </c>
      <c r="BL92" s="73">
        <f t="shared" si="18"/>
        <v>0.48738379814077032</v>
      </c>
      <c r="BM92" s="79">
        <f t="shared" si="19"/>
        <v>9.4289508632138114E-2</v>
      </c>
    </row>
    <row r="93" spans="1:65" x14ac:dyDescent="0.2">
      <c r="A93">
        <v>115</v>
      </c>
      <c r="B93" t="s">
        <v>834</v>
      </c>
      <c r="C93">
        <v>64.8</v>
      </c>
      <c r="D93">
        <v>58</v>
      </c>
      <c r="E93">
        <v>40</v>
      </c>
      <c r="F93">
        <v>53.5</v>
      </c>
      <c r="G93">
        <v>72.3</v>
      </c>
      <c r="H93">
        <v>70.099999999999994</v>
      </c>
      <c r="J93">
        <v>120</v>
      </c>
      <c r="K93" t="s">
        <v>834</v>
      </c>
      <c r="L93">
        <v>0.8</v>
      </c>
      <c r="M93">
        <v>1.3</v>
      </c>
      <c r="N93">
        <v>2</v>
      </c>
      <c r="O93">
        <v>1</v>
      </c>
      <c r="P93">
        <v>0.7</v>
      </c>
      <c r="Q93">
        <v>1.1000000000000001</v>
      </c>
      <c r="S93">
        <v>7</v>
      </c>
      <c r="T93" t="s">
        <v>834</v>
      </c>
      <c r="U93">
        <v>6.8</v>
      </c>
      <c r="V93">
        <v>6.7</v>
      </c>
      <c r="W93">
        <v>8</v>
      </c>
      <c r="X93">
        <v>7.5</v>
      </c>
      <c r="Y93">
        <v>6.3</v>
      </c>
      <c r="Z93">
        <v>5.8</v>
      </c>
      <c r="AB93">
        <v>50</v>
      </c>
      <c r="AC93" t="s">
        <v>834</v>
      </c>
      <c r="AD93">
        <v>70.400000000000006</v>
      </c>
      <c r="AE93">
        <v>72</v>
      </c>
      <c r="AF93">
        <v>85</v>
      </c>
      <c r="AG93">
        <v>76.5</v>
      </c>
      <c r="AH93">
        <v>66.3</v>
      </c>
      <c r="AI93">
        <v>70</v>
      </c>
      <c r="AK93">
        <v>90</v>
      </c>
      <c r="AL93" t="s">
        <v>834</v>
      </c>
      <c r="AM93">
        <v>1.8</v>
      </c>
      <c r="AN93">
        <v>2</v>
      </c>
      <c r="AO93">
        <v>4</v>
      </c>
      <c r="AP93">
        <v>3</v>
      </c>
      <c r="AQ93">
        <v>1</v>
      </c>
      <c r="AR93">
        <v>1.5</v>
      </c>
      <c r="AT93">
        <v>70</v>
      </c>
      <c r="AU93" t="s">
        <v>834</v>
      </c>
      <c r="AV93">
        <v>4.8</v>
      </c>
      <c r="AW93">
        <v>4.7</v>
      </c>
      <c r="AX93">
        <v>8</v>
      </c>
      <c r="AY93">
        <v>6</v>
      </c>
      <c r="AZ93">
        <v>4</v>
      </c>
      <c r="BA93">
        <v>3.3</v>
      </c>
      <c r="BC93" s="95" t="s">
        <v>834</v>
      </c>
      <c r="BD93" s="13">
        <f t="shared" si="10"/>
        <v>64.8</v>
      </c>
      <c r="BE93" s="7">
        <f t="shared" si="11"/>
        <v>70.400000000000006</v>
      </c>
      <c r="BF93" s="7">
        <f t="shared" si="12"/>
        <v>0.8</v>
      </c>
      <c r="BG93" s="7">
        <f t="shared" si="13"/>
        <v>6.8</v>
      </c>
      <c r="BH93" s="7">
        <f t="shared" si="14"/>
        <v>1.8</v>
      </c>
      <c r="BI93" s="7">
        <f t="shared" si="15"/>
        <v>4.8</v>
      </c>
      <c r="BJ93" s="99">
        <f t="shared" si="16"/>
        <v>149.40000000000003</v>
      </c>
      <c r="BK93" s="81">
        <f t="shared" si="17"/>
        <v>0.43373493975903604</v>
      </c>
      <c r="BL93" s="73">
        <f t="shared" si="18"/>
        <v>0.47121820615796511</v>
      </c>
      <c r="BM93" s="79">
        <f t="shared" si="19"/>
        <v>9.5046854082998636E-2</v>
      </c>
    </row>
    <row r="94" spans="1:65" x14ac:dyDescent="0.2">
      <c r="A94">
        <v>40</v>
      </c>
      <c r="B94" t="s">
        <v>808</v>
      </c>
      <c r="C94">
        <v>74.5</v>
      </c>
      <c r="D94">
        <v>78</v>
      </c>
      <c r="E94">
        <v>76</v>
      </c>
      <c r="F94">
        <v>82.5</v>
      </c>
      <c r="G94">
        <v>66.5</v>
      </c>
      <c r="H94">
        <v>68.7</v>
      </c>
      <c r="J94">
        <v>29</v>
      </c>
      <c r="K94" t="s">
        <v>808</v>
      </c>
      <c r="L94">
        <v>2</v>
      </c>
      <c r="M94">
        <v>1.7</v>
      </c>
      <c r="N94">
        <v>1</v>
      </c>
      <c r="O94">
        <v>2</v>
      </c>
      <c r="P94">
        <v>2</v>
      </c>
      <c r="Q94">
        <v>1.2</v>
      </c>
      <c r="S94">
        <v>22</v>
      </c>
      <c r="T94" t="s">
        <v>808</v>
      </c>
      <c r="U94">
        <v>6</v>
      </c>
      <c r="V94">
        <v>6.3</v>
      </c>
      <c r="W94">
        <v>9</v>
      </c>
      <c r="X94">
        <v>5.5</v>
      </c>
      <c r="Y94">
        <v>6.5</v>
      </c>
      <c r="Z94">
        <v>3.8</v>
      </c>
      <c r="AB94">
        <v>90</v>
      </c>
      <c r="AC94" t="s">
        <v>808</v>
      </c>
      <c r="AD94">
        <v>75</v>
      </c>
      <c r="AE94">
        <v>73.7</v>
      </c>
      <c r="AF94">
        <v>66</v>
      </c>
      <c r="AG94">
        <v>66</v>
      </c>
      <c r="AH94">
        <v>84</v>
      </c>
      <c r="AI94">
        <v>78.900000000000006</v>
      </c>
      <c r="AK94">
        <v>127</v>
      </c>
      <c r="AL94" t="s">
        <v>808</v>
      </c>
      <c r="AM94">
        <v>2.5</v>
      </c>
      <c r="AN94">
        <v>2</v>
      </c>
      <c r="AO94">
        <v>0</v>
      </c>
      <c r="AP94">
        <v>1.5</v>
      </c>
      <c r="AQ94">
        <v>3.5</v>
      </c>
      <c r="AR94">
        <v>2.2000000000000002</v>
      </c>
      <c r="AT94">
        <v>81</v>
      </c>
      <c r="AU94" t="s">
        <v>808</v>
      </c>
      <c r="AV94">
        <v>5</v>
      </c>
      <c r="AW94">
        <v>5</v>
      </c>
      <c r="AX94">
        <v>9</v>
      </c>
      <c r="AY94">
        <v>5</v>
      </c>
      <c r="AZ94">
        <v>5</v>
      </c>
      <c r="BA94">
        <v>3.8</v>
      </c>
      <c r="BC94" s="95" t="s">
        <v>808</v>
      </c>
      <c r="BD94" s="13">
        <f t="shared" si="10"/>
        <v>74.5</v>
      </c>
      <c r="BE94" s="7">
        <f t="shared" si="11"/>
        <v>75</v>
      </c>
      <c r="BF94" s="7">
        <f t="shared" si="12"/>
        <v>2</v>
      </c>
      <c r="BG94" s="7">
        <f t="shared" si="13"/>
        <v>6</v>
      </c>
      <c r="BH94" s="7">
        <f t="shared" si="14"/>
        <v>2.5</v>
      </c>
      <c r="BI94" s="7">
        <f t="shared" si="15"/>
        <v>5</v>
      </c>
      <c r="BJ94" s="99">
        <f t="shared" si="16"/>
        <v>165</v>
      </c>
      <c r="BK94" s="81">
        <f t="shared" si="17"/>
        <v>0.45151515151515154</v>
      </c>
      <c r="BL94" s="73">
        <f t="shared" si="18"/>
        <v>0.45454545454545453</v>
      </c>
      <c r="BM94" s="79">
        <f t="shared" si="19"/>
        <v>9.3939393939393934E-2</v>
      </c>
    </row>
    <row r="95" spans="1:65" x14ac:dyDescent="0.2">
      <c r="A95">
        <v>100</v>
      </c>
      <c r="B95" t="s">
        <v>829</v>
      </c>
      <c r="C95">
        <v>67.5</v>
      </c>
      <c r="D95">
        <v>70</v>
      </c>
      <c r="E95">
        <v>68</v>
      </c>
      <c r="F95">
        <v>71.5</v>
      </c>
      <c r="G95">
        <v>63.5</v>
      </c>
      <c r="H95">
        <v>75</v>
      </c>
      <c r="J95">
        <v>127</v>
      </c>
      <c r="K95" t="s">
        <v>829</v>
      </c>
      <c r="L95">
        <v>0.5</v>
      </c>
      <c r="M95">
        <v>0.3</v>
      </c>
      <c r="N95">
        <v>0</v>
      </c>
      <c r="O95">
        <v>0.5</v>
      </c>
      <c r="P95">
        <v>0.5</v>
      </c>
      <c r="Q95">
        <v>1.5</v>
      </c>
      <c r="S95">
        <v>15</v>
      </c>
      <c r="T95" t="s">
        <v>829</v>
      </c>
      <c r="U95">
        <v>6.5</v>
      </c>
      <c r="V95">
        <v>6</v>
      </c>
      <c r="W95">
        <v>3</v>
      </c>
      <c r="X95">
        <v>8</v>
      </c>
      <c r="Y95">
        <v>5</v>
      </c>
      <c r="Z95">
        <v>6.1</v>
      </c>
      <c r="AB95">
        <v>68</v>
      </c>
      <c r="AC95" t="s">
        <v>829</v>
      </c>
      <c r="AD95">
        <v>73</v>
      </c>
      <c r="AE95">
        <v>73.3</v>
      </c>
      <c r="AF95">
        <v>71</v>
      </c>
      <c r="AG95">
        <v>74.5</v>
      </c>
      <c r="AH95">
        <v>71.5</v>
      </c>
      <c r="AI95">
        <v>79.8</v>
      </c>
      <c r="AK95">
        <v>4</v>
      </c>
      <c r="AL95" t="s">
        <v>829</v>
      </c>
      <c r="AM95">
        <v>0.5</v>
      </c>
      <c r="AN95">
        <v>0.3</v>
      </c>
      <c r="AO95">
        <v>0</v>
      </c>
      <c r="AP95">
        <v>0.5</v>
      </c>
      <c r="AQ95">
        <v>0.5</v>
      </c>
      <c r="AR95">
        <v>1.5</v>
      </c>
      <c r="AT95">
        <v>94</v>
      </c>
      <c r="AU95" t="s">
        <v>829</v>
      </c>
      <c r="AV95">
        <v>5.5</v>
      </c>
      <c r="AW95">
        <v>5.7</v>
      </c>
      <c r="AX95">
        <v>6</v>
      </c>
      <c r="AY95">
        <v>5</v>
      </c>
      <c r="AZ95">
        <v>6</v>
      </c>
      <c r="BA95">
        <v>5.2</v>
      </c>
      <c r="BC95" s="95" t="s">
        <v>829</v>
      </c>
      <c r="BD95" s="13">
        <f t="shared" si="10"/>
        <v>67.5</v>
      </c>
      <c r="BE95" s="7">
        <f t="shared" si="11"/>
        <v>73</v>
      </c>
      <c r="BF95" s="7">
        <f t="shared" si="12"/>
        <v>0.5</v>
      </c>
      <c r="BG95" s="7">
        <f t="shared" si="13"/>
        <v>6.5</v>
      </c>
      <c r="BH95" s="7">
        <f t="shared" si="14"/>
        <v>0.5</v>
      </c>
      <c r="BI95" s="7">
        <f t="shared" si="15"/>
        <v>5.5</v>
      </c>
      <c r="BJ95" s="99">
        <f t="shared" si="16"/>
        <v>153.5</v>
      </c>
      <c r="BK95" s="81">
        <f t="shared" si="17"/>
        <v>0.43973941368078173</v>
      </c>
      <c r="BL95" s="73">
        <f t="shared" si="18"/>
        <v>0.47557003257328989</v>
      </c>
      <c r="BM95" s="79">
        <f t="shared" si="19"/>
        <v>8.4690553745928335E-2</v>
      </c>
    </row>
    <row r="96" spans="1:65" x14ac:dyDescent="0.2">
      <c r="A96">
        <v>4</v>
      </c>
      <c r="B96" t="s">
        <v>797</v>
      </c>
      <c r="C96">
        <v>82.3</v>
      </c>
      <c r="D96">
        <v>84.3</v>
      </c>
      <c r="E96">
        <v>93</v>
      </c>
      <c r="F96">
        <v>79.7</v>
      </c>
      <c r="G96">
        <v>85</v>
      </c>
      <c r="H96">
        <v>73.7</v>
      </c>
      <c r="J96">
        <v>84</v>
      </c>
      <c r="K96" t="s">
        <v>797</v>
      </c>
      <c r="L96">
        <v>1.3</v>
      </c>
      <c r="M96">
        <v>1</v>
      </c>
      <c r="N96">
        <v>1</v>
      </c>
      <c r="O96">
        <v>0.7</v>
      </c>
      <c r="P96">
        <v>2</v>
      </c>
      <c r="Q96">
        <v>1.3</v>
      </c>
      <c r="S96">
        <v>86</v>
      </c>
      <c r="T96" t="s">
        <v>797</v>
      </c>
      <c r="U96">
        <v>4.3</v>
      </c>
      <c r="V96">
        <v>5.7</v>
      </c>
      <c r="W96">
        <v>6</v>
      </c>
      <c r="X96">
        <v>4.3</v>
      </c>
      <c r="Y96">
        <v>4.3</v>
      </c>
      <c r="Z96">
        <v>6.2</v>
      </c>
      <c r="AB96">
        <v>121</v>
      </c>
      <c r="AC96" t="s">
        <v>797</v>
      </c>
      <c r="AD96">
        <v>79.3</v>
      </c>
      <c r="AE96">
        <v>80.3</v>
      </c>
      <c r="AF96">
        <v>77</v>
      </c>
      <c r="AG96">
        <v>78.7</v>
      </c>
      <c r="AH96">
        <v>80</v>
      </c>
      <c r="AI96">
        <v>79.400000000000006</v>
      </c>
      <c r="AK96">
        <v>55</v>
      </c>
      <c r="AL96" t="s">
        <v>797</v>
      </c>
      <c r="AM96">
        <v>1.3</v>
      </c>
      <c r="AN96">
        <v>1.7</v>
      </c>
      <c r="AO96">
        <v>4</v>
      </c>
      <c r="AP96">
        <v>2.2999999999999998</v>
      </c>
      <c r="AQ96">
        <v>0.3</v>
      </c>
      <c r="AR96">
        <v>1.8</v>
      </c>
      <c r="AT96">
        <v>107</v>
      </c>
      <c r="AU96" t="s">
        <v>797</v>
      </c>
      <c r="AV96">
        <v>6</v>
      </c>
      <c r="AW96">
        <v>5.3</v>
      </c>
      <c r="AX96">
        <v>4</v>
      </c>
      <c r="AY96">
        <v>6</v>
      </c>
      <c r="AZ96">
        <v>6</v>
      </c>
      <c r="BA96">
        <v>4.4000000000000004</v>
      </c>
      <c r="BC96" s="95" t="s">
        <v>797</v>
      </c>
      <c r="BD96" s="13">
        <f t="shared" si="10"/>
        <v>82.3</v>
      </c>
      <c r="BE96" s="7">
        <f t="shared" si="11"/>
        <v>79.3</v>
      </c>
      <c r="BF96" s="7">
        <f t="shared" si="12"/>
        <v>1.3</v>
      </c>
      <c r="BG96" s="7">
        <f t="shared" si="13"/>
        <v>4.3</v>
      </c>
      <c r="BH96" s="7">
        <f t="shared" si="14"/>
        <v>1.3</v>
      </c>
      <c r="BI96" s="7">
        <f t="shared" si="15"/>
        <v>6</v>
      </c>
      <c r="BJ96" s="99">
        <f t="shared" si="16"/>
        <v>174.50000000000003</v>
      </c>
      <c r="BK96" s="81">
        <f t="shared" si="17"/>
        <v>0.4716332378223495</v>
      </c>
      <c r="BL96" s="73">
        <f t="shared" si="18"/>
        <v>0.45444126074498559</v>
      </c>
      <c r="BM96" s="79">
        <f t="shared" si="19"/>
        <v>7.3925501432664742E-2</v>
      </c>
    </row>
    <row r="97" spans="1:65" x14ac:dyDescent="0.2">
      <c r="A97">
        <v>119</v>
      </c>
      <c r="B97" t="s">
        <v>836</v>
      </c>
      <c r="C97">
        <v>64.5</v>
      </c>
      <c r="D97">
        <v>67.7</v>
      </c>
      <c r="E97">
        <v>65</v>
      </c>
      <c r="F97">
        <v>65</v>
      </c>
      <c r="G97">
        <v>64.3</v>
      </c>
      <c r="H97">
        <v>74.099999999999994</v>
      </c>
      <c r="J97">
        <v>89</v>
      </c>
      <c r="K97" t="s">
        <v>836</v>
      </c>
      <c r="L97">
        <v>1.2</v>
      </c>
      <c r="M97">
        <v>1.3</v>
      </c>
      <c r="N97">
        <v>2</v>
      </c>
      <c r="O97">
        <v>2</v>
      </c>
      <c r="P97">
        <v>1</v>
      </c>
      <c r="Q97">
        <v>2</v>
      </c>
      <c r="S97">
        <v>78</v>
      </c>
      <c r="T97" t="s">
        <v>836</v>
      </c>
      <c r="U97">
        <v>4.5</v>
      </c>
      <c r="V97">
        <v>4.3</v>
      </c>
      <c r="W97">
        <v>3</v>
      </c>
      <c r="X97">
        <v>3</v>
      </c>
      <c r="Y97">
        <v>5</v>
      </c>
      <c r="Z97">
        <v>4.7</v>
      </c>
      <c r="AB97">
        <v>5</v>
      </c>
      <c r="AC97" t="s">
        <v>836</v>
      </c>
      <c r="AD97">
        <v>61.5</v>
      </c>
      <c r="AE97">
        <v>60.3</v>
      </c>
      <c r="AF97">
        <v>57</v>
      </c>
      <c r="AG97">
        <v>57</v>
      </c>
      <c r="AH97">
        <v>63</v>
      </c>
      <c r="AI97">
        <v>63.2</v>
      </c>
      <c r="AK97">
        <v>52</v>
      </c>
      <c r="AL97" t="s">
        <v>836</v>
      </c>
      <c r="AM97">
        <v>1.2</v>
      </c>
      <c r="AN97">
        <v>1</v>
      </c>
      <c r="AO97">
        <v>2</v>
      </c>
      <c r="AP97">
        <v>2</v>
      </c>
      <c r="AQ97">
        <v>1</v>
      </c>
      <c r="AR97">
        <v>1.6</v>
      </c>
      <c r="AT97">
        <v>42</v>
      </c>
      <c r="AU97" t="s">
        <v>836</v>
      </c>
      <c r="AV97">
        <v>4.2</v>
      </c>
      <c r="AW97">
        <v>4.3</v>
      </c>
      <c r="AX97">
        <v>6</v>
      </c>
      <c r="AY97">
        <v>6</v>
      </c>
      <c r="AZ97">
        <v>3.7</v>
      </c>
      <c r="BA97">
        <v>6.3</v>
      </c>
      <c r="BC97" s="95" t="s">
        <v>836</v>
      </c>
      <c r="BD97" s="13">
        <f t="shared" si="10"/>
        <v>64.5</v>
      </c>
      <c r="BE97" s="7">
        <f t="shared" si="11"/>
        <v>61.5</v>
      </c>
      <c r="BF97" s="7">
        <f t="shared" si="12"/>
        <v>1.2</v>
      </c>
      <c r="BG97" s="7">
        <f t="shared" si="13"/>
        <v>4.5</v>
      </c>
      <c r="BH97" s="7">
        <f t="shared" si="14"/>
        <v>1.2</v>
      </c>
      <c r="BI97" s="7">
        <f t="shared" si="15"/>
        <v>4.2</v>
      </c>
      <c r="BJ97" s="99">
        <f t="shared" si="16"/>
        <v>137.09999999999997</v>
      </c>
      <c r="BK97" s="81">
        <f t="shared" si="17"/>
        <v>0.47045951859956248</v>
      </c>
      <c r="BL97" s="73">
        <f t="shared" si="18"/>
        <v>0.44857768052516422</v>
      </c>
      <c r="BM97" s="79">
        <f t="shared" si="19"/>
        <v>8.096280087527355E-2</v>
      </c>
    </row>
    <row r="98" spans="1:65" x14ac:dyDescent="0.2">
      <c r="A98">
        <v>27</v>
      </c>
      <c r="B98" t="s">
        <v>805</v>
      </c>
      <c r="C98">
        <v>76.5</v>
      </c>
      <c r="D98">
        <v>75.3</v>
      </c>
      <c r="E98">
        <v>67</v>
      </c>
      <c r="F98">
        <v>87</v>
      </c>
      <c r="G98">
        <v>73</v>
      </c>
      <c r="H98">
        <v>65.7</v>
      </c>
      <c r="J98">
        <v>50</v>
      </c>
      <c r="K98" t="s">
        <v>805</v>
      </c>
      <c r="L98">
        <v>1.8</v>
      </c>
      <c r="M98">
        <v>1</v>
      </c>
      <c r="N98">
        <v>1</v>
      </c>
      <c r="O98">
        <v>1</v>
      </c>
      <c r="P98">
        <v>2</v>
      </c>
      <c r="Q98">
        <v>1.7</v>
      </c>
      <c r="S98">
        <v>44</v>
      </c>
      <c r="T98" t="s">
        <v>805</v>
      </c>
      <c r="U98">
        <v>5.5</v>
      </c>
      <c r="V98">
        <v>5.7</v>
      </c>
      <c r="W98">
        <v>8</v>
      </c>
      <c r="X98">
        <v>4</v>
      </c>
      <c r="Y98">
        <v>6</v>
      </c>
      <c r="Z98">
        <v>5.4</v>
      </c>
      <c r="AB98">
        <v>42</v>
      </c>
      <c r="AC98" t="s">
        <v>805</v>
      </c>
      <c r="AD98">
        <v>69</v>
      </c>
      <c r="AE98">
        <v>68.7</v>
      </c>
      <c r="AF98">
        <v>61</v>
      </c>
      <c r="AG98">
        <v>74</v>
      </c>
      <c r="AH98">
        <v>67.3</v>
      </c>
      <c r="AI98">
        <v>68.8</v>
      </c>
      <c r="AK98">
        <v>80</v>
      </c>
      <c r="AL98" t="s">
        <v>805</v>
      </c>
      <c r="AM98">
        <v>1.8</v>
      </c>
      <c r="AN98">
        <v>2</v>
      </c>
      <c r="AO98">
        <v>1</v>
      </c>
      <c r="AP98">
        <v>4</v>
      </c>
      <c r="AQ98">
        <v>1</v>
      </c>
      <c r="AR98">
        <v>1.3</v>
      </c>
      <c r="AT98">
        <v>56</v>
      </c>
      <c r="AU98" t="s">
        <v>805</v>
      </c>
      <c r="AV98">
        <v>4.5</v>
      </c>
      <c r="AW98">
        <v>4.3</v>
      </c>
      <c r="AX98">
        <v>5</v>
      </c>
      <c r="AY98">
        <v>4</v>
      </c>
      <c r="AZ98">
        <v>4.7</v>
      </c>
      <c r="BA98">
        <v>5.7</v>
      </c>
      <c r="BC98" s="95" t="s">
        <v>805</v>
      </c>
      <c r="BD98" s="13">
        <f t="shared" si="10"/>
        <v>76.5</v>
      </c>
      <c r="BE98" s="7">
        <f t="shared" si="11"/>
        <v>69</v>
      </c>
      <c r="BF98" s="7">
        <f t="shared" si="12"/>
        <v>1.8</v>
      </c>
      <c r="BG98" s="7">
        <f t="shared" si="13"/>
        <v>5.5</v>
      </c>
      <c r="BH98" s="7">
        <f t="shared" si="14"/>
        <v>1.8</v>
      </c>
      <c r="BI98" s="7">
        <f t="shared" si="15"/>
        <v>4.5</v>
      </c>
      <c r="BJ98" s="99">
        <f t="shared" si="16"/>
        <v>159.10000000000002</v>
      </c>
      <c r="BK98" s="81">
        <f t="shared" si="17"/>
        <v>0.48082966687617845</v>
      </c>
      <c r="BL98" s="73">
        <f t="shared" si="18"/>
        <v>0.43368950345694524</v>
      </c>
      <c r="BM98" s="79">
        <f t="shared" si="19"/>
        <v>8.548082966687616E-2</v>
      </c>
    </row>
    <row r="99" spans="1:65" x14ac:dyDescent="0.2">
      <c r="A99">
        <v>54</v>
      </c>
      <c r="B99" t="s">
        <v>812</v>
      </c>
      <c r="C99">
        <v>72.5</v>
      </c>
      <c r="D99">
        <v>73.7</v>
      </c>
      <c r="E99">
        <v>76</v>
      </c>
      <c r="F99">
        <v>72.5</v>
      </c>
      <c r="G99">
        <v>72.5</v>
      </c>
      <c r="H99">
        <v>68.3</v>
      </c>
      <c r="J99">
        <v>12</v>
      </c>
      <c r="K99" t="s">
        <v>812</v>
      </c>
      <c r="L99">
        <v>2.2000000000000002</v>
      </c>
      <c r="M99">
        <v>2.7</v>
      </c>
      <c r="N99">
        <v>5</v>
      </c>
      <c r="O99">
        <v>3</v>
      </c>
      <c r="P99">
        <v>1.5</v>
      </c>
      <c r="Q99">
        <v>1.5</v>
      </c>
      <c r="S99">
        <v>102</v>
      </c>
      <c r="T99" t="s">
        <v>812</v>
      </c>
      <c r="U99">
        <v>4</v>
      </c>
      <c r="V99">
        <v>3.7</v>
      </c>
      <c r="W99">
        <v>5</v>
      </c>
      <c r="X99">
        <v>5</v>
      </c>
      <c r="Y99">
        <v>3</v>
      </c>
      <c r="Z99">
        <v>6.7</v>
      </c>
      <c r="AB99">
        <v>115</v>
      </c>
      <c r="AC99" t="s">
        <v>812</v>
      </c>
      <c r="AD99">
        <v>77.5</v>
      </c>
      <c r="AE99">
        <v>76</v>
      </c>
      <c r="AF99">
        <v>67</v>
      </c>
      <c r="AG99">
        <v>74.5</v>
      </c>
      <c r="AH99">
        <v>80.5</v>
      </c>
      <c r="AI99">
        <v>79.3</v>
      </c>
      <c r="AK99">
        <v>21</v>
      </c>
      <c r="AL99" t="s">
        <v>812</v>
      </c>
      <c r="AM99">
        <v>1</v>
      </c>
      <c r="AN99">
        <v>0.7</v>
      </c>
      <c r="AO99">
        <v>1</v>
      </c>
      <c r="AP99">
        <v>1.5</v>
      </c>
      <c r="AQ99">
        <v>0.5</v>
      </c>
      <c r="AR99">
        <v>1.9</v>
      </c>
      <c r="AT99">
        <v>2</v>
      </c>
      <c r="AU99" t="s">
        <v>812</v>
      </c>
      <c r="AV99">
        <v>2.5</v>
      </c>
      <c r="AW99">
        <v>2.7</v>
      </c>
      <c r="AX99">
        <v>4</v>
      </c>
      <c r="AY99">
        <v>3</v>
      </c>
      <c r="AZ99">
        <v>2</v>
      </c>
      <c r="BA99">
        <v>4</v>
      </c>
      <c r="BC99" s="95" t="s">
        <v>812</v>
      </c>
      <c r="BD99" s="13">
        <f t="shared" si="10"/>
        <v>72.5</v>
      </c>
      <c r="BE99" s="7">
        <f t="shared" si="11"/>
        <v>77.5</v>
      </c>
      <c r="BF99" s="7">
        <f t="shared" si="12"/>
        <v>2.2000000000000002</v>
      </c>
      <c r="BG99" s="7">
        <f t="shared" si="13"/>
        <v>4</v>
      </c>
      <c r="BH99" s="7">
        <f t="shared" si="14"/>
        <v>1</v>
      </c>
      <c r="BI99" s="7">
        <f t="shared" si="15"/>
        <v>2.5</v>
      </c>
      <c r="BJ99" s="99">
        <f t="shared" si="16"/>
        <v>159.69999999999999</v>
      </c>
      <c r="BK99" s="81">
        <f t="shared" si="17"/>
        <v>0.45397620538509709</v>
      </c>
      <c r="BL99" s="73">
        <f t="shared" si="18"/>
        <v>0.48528490920475897</v>
      </c>
      <c r="BM99" s="79">
        <f t="shared" si="19"/>
        <v>6.0738885410144022E-2</v>
      </c>
    </row>
    <row r="100" spans="1:65" x14ac:dyDescent="0.2">
      <c r="A100">
        <v>84</v>
      </c>
      <c r="B100" t="s">
        <v>359</v>
      </c>
      <c r="C100">
        <v>69.7</v>
      </c>
      <c r="D100">
        <v>67.7</v>
      </c>
      <c r="E100">
        <v>75</v>
      </c>
      <c r="F100">
        <v>72.3</v>
      </c>
      <c r="G100">
        <v>67</v>
      </c>
      <c r="H100">
        <v>63.6</v>
      </c>
      <c r="J100">
        <v>7</v>
      </c>
      <c r="K100" t="s">
        <v>359</v>
      </c>
      <c r="L100">
        <v>2.5</v>
      </c>
      <c r="M100">
        <v>2.2999999999999998</v>
      </c>
      <c r="N100">
        <v>3</v>
      </c>
      <c r="O100">
        <v>2.2999999999999998</v>
      </c>
      <c r="P100">
        <v>2.7</v>
      </c>
      <c r="Q100">
        <v>1.1000000000000001</v>
      </c>
      <c r="S100">
        <v>85</v>
      </c>
      <c r="T100" t="s">
        <v>359</v>
      </c>
      <c r="U100">
        <v>4.3</v>
      </c>
      <c r="V100">
        <v>4.3</v>
      </c>
      <c r="W100">
        <v>4</v>
      </c>
      <c r="X100">
        <v>5</v>
      </c>
      <c r="Y100">
        <v>3.7</v>
      </c>
      <c r="Z100">
        <v>5.3</v>
      </c>
      <c r="AB100">
        <v>18</v>
      </c>
      <c r="AC100" t="s">
        <v>359</v>
      </c>
      <c r="AD100">
        <v>65.5</v>
      </c>
      <c r="AE100">
        <v>64.7</v>
      </c>
      <c r="AF100">
        <v>60</v>
      </c>
      <c r="AG100">
        <v>60.3</v>
      </c>
      <c r="AH100">
        <v>70.7</v>
      </c>
      <c r="AI100">
        <v>75</v>
      </c>
      <c r="AK100">
        <v>56</v>
      </c>
      <c r="AL100" t="s">
        <v>359</v>
      </c>
      <c r="AM100">
        <v>1.3</v>
      </c>
      <c r="AN100">
        <v>1.7</v>
      </c>
      <c r="AO100">
        <v>2</v>
      </c>
      <c r="AP100">
        <v>1.3</v>
      </c>
      <c r="AQ100">
        <v>1.3</v>
      </c>
      <c r="AR100">
        <v>2.2000000000000002</v>
      </c>
      <c r="AT100">
        <v>17</v>
      </c>
      <c r="AU100" t="s">
        <v>359</v>
      </c>
      <c r="AV100">
        <v>3.5</v>
      </c>
      <c r="AW100">
        <v>4</v>
      </c>
      <c r="AX100">
        <v>4</v>
      </c>
      <c r="AY100">
        <v>4.7</v>
      </c>
      <c r="AZ100">
        <v>2.2999999999999998</v>
      </c>
      <c r="BA100">
        <v>4.5</v>
      </c>
      <c r="BC100" s="95" t="s">
        <v>359</v>
      </c>
      <c r="BD100" s="13">
        <f t="shared" si="10"/>
        <v>69.7</v>
      </c>
      <c r="BE100" s="7">
        <f t="shared" si="11"/>
        <v>65.5</v>
      </c>
      <c r="BF100" s="7">
        <f t="shared" si="12"/>
        <v>2.5</v>
      </c>
      <c r="BG100" s="7">
        <f t="shared" si="13"/>
        <v>4.3</v>
      </c>
      <c r="BH100" s="7">
        <f t="shared" si="14"/>
        <v>1.3</v>
      </c>
      <c r="BI100" s="7">
        <f t="shared" si="15"/>
        <v>3.5</v>
      </c>
      <c r="BJ100" s="99">
        <f t="shared" si="16"/>
        <v>146.80000000000001</v>
      </c>
      <c r="BK100" s="81">
        <f t="shared" si="17"/>
        <v>0.47479564032697547</v>
      </c>
      <c r="BL100" s="73">
        <f t="shared" si="18"/>
        <v>0.44618528610354219</v>
      </c>
      <c r="BM100" s="79">
        <f t="shared" si="19"/>
        <v>7.9019073569482276E-2</v>
      </c>
    </row>
    <row r="101" spans="1:65" x14ac:dyDescent="0.2">
      <c r="A101">
        <v>14</v>
      </c>
      <c r="B101" t="s">
        <v>361</v>
      </c>
      <c r="C101">
        <v>79.5</v>
      </c>
      <c r="D101">
        <v>79</v>
      </c>
      <c r="E101">
        <v>84</v>
      </c>
      <c r="F101">
        <v>81.5</v>
      </c>
      <c r="G101">
        <v>77.5</v>
      </c>
      <c r="H101">
        <v>84.2</v>
      </c>
      <c r="J101">
        <v>107</v>
      </c>
      <c r="K101" t="s">
        <v>361</v>
      </c>
      <c r="L101">
        <v>1</v>
      </c>
      <c r="M101">
        <v>1</v>
      </c>
      <c r="N101">
        <v>1</v>
      </c>
      <c r="O101">
        <v>1.5</v>
      </c>
      <c r="P101">
        <v>0.5</v>
      </c>
      <c r="Q101">
        <v>2.7</v>
      </c>
      <c r="S101">
        <v>18</v>
      </c>
      <c r="T101" t="s">
        <v>361</v>
      </c>
      <c r="U101">
        <v>6.2</v>
      </c>
      <c r="V101">
        <v>6.3</v>
      </c>
      <c r="W101">
        <v>5</v>
      </c>
      <c r="X101">
        <v>7</v>
      </c>
      <c r="Y101">
        <v>5.5</v>
      </c>
      <c r="Z101">
        <v>5.5</v>
      </c>
      <c r="AB101">
        <v>124</v>
      </c>
      <c r="AC101" t="s">
        <v>361</v>
      </c>
      <c r="AD101">
        <v>80.5</v>
      </c>
      <c r="AE101">
        <v>79.3</v>
      </c>
      <c r="AF101">
        <v>83</v>
      </c>
      <c r="AG101">
        <v>77</v>
      </c>
      <c r="AH101">
        <v>84</v>
      </c>
      <c r="AI101">
        <v>76.5</v>
      </c>
      <c r="AK101">
        <v>18</v>
      </c>
      <c r="AL101" t="s">
        <v>361</v>
      </c>
      <c r="AM101">
        <v>1</v>
      </c>
      <c r="AN101">
        <v>1</v>
      </c>
      <c r="AO101">
        <v>0</v>
      </c>
      <c r="AP101">
        <v>1.5</v>
      </c>
      <c r="AQ101">
        <v>0.5</v>
      </c>
      <c r="AR101">
        <v>2.1</v>
      </c>
      <c r="AT101">
        <v>72</v>
      </c>
      <c r="AU101" t="s">
        <v>361</v>
      </c>
      <c r="AV101">
        <v>5</v>
      </c>
      <c r="AW101">
        <v>4</v>
      </c>
      <c r="AX101">
        <v>3</v>
      </c>
      <c r="AY101">
        <v>4.5</v>
      </c>
      <c r="AZ101">
        <v>5.5</v>
      </c>
      <c r="BA101">
        <v>6.1</v>
      </c>
      <c r="BC101" s="95" t="s">
        <v>361</v>
      </c>
      <c r="BD101" s="13">
        <f t="shared" si="10"/>
        <v>79.5</v>
      </c>
      <c r="BE101" s="7">
        <f t="shared" si="11"/>
        <v>80.5</v>
      </c>
      <c r="BF101" s="7">
        <f t="shared" si="12"/>
        <v>1</v>
      </c>
      <c r="BG101" s="7">
        <f t="shared" si="13"/>
        <v>6.2</v>
      </c>
      <c r="BH101" s="7">
        <f t="shared" si="14"/>
        <v>1</v>
      </c>
      <c r="BI101" s="7">
        <f t="shared" si="15"/>
        <v>5</v>
      </c>
      <c r="BJ101" s="99">
        <f t="shared" si="16"/>
        <v>173.2</v>
      </c>
      <c r="BK101" s="81">
        <f t="shared" si="17"/>
        <v>0.45900692840646656</v>
      </c>
      <c r="BL101" s="73">
        <f t="shared" si="18"/>
        <v>0.46478060046189379</v>
      </c>
      <c r="BM101" s="79">
        <f t="shared" si="19"/>
        <v>7.6212471131639717E-2</v>
      </c>
    </row>
    <row r="102" spans="1:65" x14ac:dyDescent="0.2">
      <c r="A102">
        <v>16</v>
      </c>
      <c r="B102" t="s">
        <v>367</v>
      </c>
      <c r="C102">
        <v>79</v>
      </c>
      <c r="D102">
        <v>79.7</v>
      </c>
      <c r="E102">
        <v>91</v>
      </c>
      <c r="F102">
        <v>74</v>
      </c>
      <c r="G102">
        <v>84</v>
      </c>
      <c r="H102">
        <v>74.599999999999994</v>
      </c>
      <c r="J102">
        <v>87</v>
      </c>
      <c r="K102" t="s">
        <v>367</v>
      </c>
      <c r="L102">
        <v>1.2</v>
      </c>
      <c r="M102">
        <v>1.3</v>
      </c>
      <c r="N102">
        <v>2</v>
      </c>
      <c r="O102">
        <v>1</v>
      </c>
      <c r="P102">
        <v>1.5</v>
      </c>
      <c r="Q102">
        <v>1.3</v>
      </c>
      <c r="S102">
        <v>72</v>
      </c>
      <c r="T102" t="s">
        <v>367</v>
      </c>
      <c r="U102">
        <v>4.5</v>
      </c>
      <c r="V102">
        <v>3.7</v>
      </c>
      <c r="W102">
        <v>4</v>
      </c>
      <c r="X102">
        <v>5.5</v>
      </c>
      <c r="Y102">
        <v>3.5</v>
      </c>
      <c r="Z102">
        <v>4.7</v>
      </c>
      <c r="AB102">
        <v>112</v>
      </c>
      <c r="AC102" t="s">
        <v>367</v>
      </c>
      <c r="AD102">
        <v>77.5</v>
      </c>
      <c r="AE102">
        <v>73.7</v>
      </c>
      <c r="AF102">
        <v>76</v>
      </c>
      <c r="AG102">
        <v>80</v>
      </c>
      <c r="AH102">
        <v>75</v>
      </c>
      <c r="AI102">
        <v>82.6</v>
      </c>
      <c r="AK102">
        <v>50</v>
      </c>
      <c r="AL102" t="s">
        <v>367</v>
      </c>
      <c r="AM102">
        <v>1.2</v>
      </c>
      <c r="AN102">
        <v>1.3</v>
      </c>
      <c r="AO102">
        <v>2</v>
      </c>
      <c r="AP102">
        <v>0.5</v>
      </c>
      <c r="AQ102">
        <v>2</v>
      </c>
      <c r="AR102">
        <v>1.2</v>
      </c>
      <c r="AT102">
        <v>116</v>
      </c>
      <c r="AU102" t="s">
        <v>367</v>
      </c>
      <c r="AV102">
        <v>6.5</v>
      </c>
      <c r="AW102">
        <v>5.7</v>
      </c>
      <c r="AX102">
        <v>6</v>
      </c>
      <c r="AY102">
        <v>7.5</v>
      </c>
      <c r="AZ102">
        <v>5.5</v>
      </c>
      <c r="BA102">
        <v>5.2</v>
      </c>
      <c r="BC102" s="95" t="s">
        <v>367</v>
      </c>
      <c r="BD102" s="13">
        <f t="shared" si="10"/>
        <v>79</v>
      </c>
      <c r="BE102" s="7">
        <f t="shared" si="11"/>
        <v>77.5</v>
      </c>
      <c r="BF102" s="7">
        <f t="shared" si="12"/>
        <v>1.2</v>
      </c>
      <c r="BG102" s="7">
        <f t="shared" si="13"/>
        <v>4.5</v>
      </c>
      <c r="BH102" s="7">
        <f t="shared" si="14"/>
        <v>1.2</v>
      </c>
      <c r="BI102" s="7">
        <f t="shared" si="15"/>
        <v>6.5</v>
      </c>
      <c r="BJ102" s="99">
        <f t="shared" si="16"/>
        <v>169.89999999999998</v>
      </c>
      <c r="BK102" s="81">
        <f t="shared" si="17"/>
        <v>0.46497939964685114</v>
      </c>
      <c r="BL102" s="73">
        <f t="shared" si="18"/>
        <v>0.45615067686874639</v>
      </c>
      <c r="BM102" s="79">
        <f t="shared" si="19"/>
        <v>7.8869923484402596E-2</v>
      </c>
    </row>
    <row r="103" spans="1:65" x14ac:dyDescent="0.2">
      <c r="A103">
        <v>88</v>
      </c>
      <c r="B103" t="s">
        <v>232</v>
      </c>
      <c r="C103">
        <v>69.2</v>
      </c>
      <c r="D103">
        <v>67.3</v>
      </c>
      <c r="E103">
        <v>65</v>
      </c>
      <c r="F103">
        <v>72.7</v>
      </c>
      <c r="G103">
        <v>59</v>
      </c>
      <c r="H103">
        <v>61.1</v>
      </c>
      <c r="J103">
        <v>11</v>
      </c>
      <c r="K103" t="s">
        <v>232</v>
      </c>
      <c r="L103">
        <v>2.2000000000000002</v>
      </c>
      <c r="M103">
        <v>2</v>
      </c>
      <c r="N103">
        <v>1</v>
      </c>
      <c r="O103">
        <v>2.7</v>
      </c>
      <c r="P103">
        <v>1</v>
      </c>
      <c r="Q103">
        <v>1.1000000000000001</v>
      </c>
      <c r="S103">
        <v>112</v>
      </c>
      <c r="T103" t="s">
        <v>232</v>
      </c>
      <c r="U103">
        <v>3.5</v>
      </c>
      <c r="V103">
        <v>4.3</v>
      </c>
      <c r="W103">
        <v>5</v>
      </c>
      <c r="X103">
        <v>3</v>
      </c>
      <c r="Y103">
        <v>5</v>
      </c>
      <c r="Z103">
        <v>5.6</v>
      </c>
      <c r="AB103">
        <v>61</v>
      </c>
      <c r="AC103" t="s">
        <v>232</v>
      </c>
      <c r="AD103">
        <v>71.5</v>
      </c>
      <c r="AE103">
        <v>69</v>
      </c>
      <c r="AF103">
        <v>70</v>
      </c>
      <c r="AG103">
        <v>71</v>
      </c>
      <c r="AH103">
        <v>73</v>
      </c>
      <c r="AI103">
        <v>69.400000000000006</v>
      </c>
      <c r="AK103">
        <v>122</v>
      </c>
      <c r="AL103" t="s">
        <v>232</v>
      </c>
      <c r="AM103">
        <v>2.2000000000000002</v>
      </c>
      <c r="AN103">
        <v>2.7</v>
      </c>
      <c r="AO103">
        <v>3</v>
      </c>
      <c r="AP103">
        <v>2.2999999999999998</v>
      </c>
      <c r="AQ103">
        <v>2</v>
      </c>
      <c r="AR103">
        <v>1.5</v>
      </c>
      <c r="AT103">
        <v>6</v>
      </c>
      <c r="AU103" t="s">
        <v>232</v>
      </c>
      <c r="AV103">
        <v>3</v>
      </c>
      <c r="AW103">
        <v>3</v>
      </c>
      <c r="AX103">
        <v>2</v>
      </c>
      <c r="AY103">
        <v>3.7</v>
      </c>
      <c r="AZ103">
        <v>1</v>
      </c>
      <c r="BA103">
        <v>4.5999999999999996</v>
      </c>
      <c r="BC103" s="95" t="s">
        <v>232</v>
      </c>
      <c r="BD103" s="13">
        <f t="shared" si="10"/>
        <v>69.2</v>
      </c>
      <c r="BE103" s="7">
        <f t="shared" si="11"/>
        <v>71.5</v>
      </c>
      <c r="BF103" s="7">
        <f t="shared" si="12"/>
        <v>2.2000000000000002</v>
      </c>
      <c r="BG103" s="7">
        <f t="shared" si="13"/>
        <v>3.5</v>
      </c>
      <c r="BH103" s="7">
        <f t="shared" si="14"/>
        <v>2.2000000000000002</v>
      </c>
      <c r="BI103" s="7">
        <f t="shared" si="15"/>
        <v>3</v>
      </c>
      <c r="BJ103" s="99">
        <f t="shared" si="16"/>
        <v>151.59999999999997</v>
      </c>
      <c r="BK103" s="81">
        <f t="shared" si="17"/>
        <v>0.45646437994722966</v>
      </c>
      <c r="BL103" s="73">
        <f t="shared" si="18"/>
        <v>0.47163588390501332</v>
      </c>
      <c r="BM103" s="79">
        <f t="shared" si="19"/>
        <v>7.1899736147757271E-2</v>
      </c>
    </row>
    <row r="104" spans="1:65" x14ac:dyDescent="0.2">
      <c r="A104">
        <v>19</v>
      </c>
      <c r="B104" t="s">
        <v>74</v>
      </c>
      <c r="C104">
        <v>77.8</v>
      </c>
      <c r="D104">
        <v>75</v>
      </c>
      <c r="E104">
        <v>83</v>
      </c>
      <c r="F104">
        <v>78.3</v>
      </c>
      <c r="G104">
        <v>77</v>
      </c>
      <c r="H104">
        <v>76.400000000000006</v>
      </c>
      <c r="J104">
        <v>98</v>
      </c>
      <c r="K104" t="s">
        <v>74</v>
      </c>
      <c r="L104">
        <v>1.2</v>
      </c>
      <c r="M104">
        <v>1</v>
      </c>
      <c r="N104">
        <v>1</v>
      </c>
      <c r="O104">
        <v>1</v>
      </c>
      <c r="P104">
        <v>1.5</v>
      </c>
      <c r="Q104">
        <v>1.8</v>
      </c>
      <c r="S104">
        <v>109</v>
      </c>
      <c r="T104" t="s">
        <v>74</v>
      </c>
      <c r="U104">
        <v>3.8</v>
      </c>
      <c r="V104">
        <v>4.3</v>
      </c>
      <c r="W104">
        <v>7</v>
      </c>
      <c r="X104">
        <v>3.3</v>
      </c>
      <c r="Y104">
        <v>4.5</v>
      </c>
      <c r="Z104">
        <v>4.5999999999999996</v>
      </c>
      <c r="AB104">
        <v>82</v>
      </c>
      <c r="AC104" t="s">
        <v>74</v>
      </c>
      <c r="AD104">
        <v>74</v>
      </c>
      <c r="AE104">
        <v>72.3</v>
      </c>
      <c r="AF104">
        <v>69</v>
      </c>
      <c r="AG104">
        <v>81.3</v>
      </c>
      <c r="AH104">
        <v>63</v>
      </c>
      <c r="AI104">
        <v>72.400000000000006</v>
      </c>
      <c r="AK104">
        <v>111</v>
      </c>
      <c r="AL104" t="s">
        <v>74</v>
      </c>
      <c r="AM104">
        <v>2.2000000000000002</v>
      </c>
      <c r="AN104">
        <v>2</v>
      </c>
      <c r="AO104">
        <v>3</v>
      </c>
      <c r="AP104">
        <v>2.7</v>
      </c>
      <c r="AQ104">
        <v>1.5</v>
      </c>
      <c r="AR104">
        <v>1.8</v>
      </c>
      <c r="AT104">
        <v>41</v>
      </c>
      <c r="AU104" t="s">
        <v>74</v>
      </c>
      <c r="AV104">
        <v>4.2</v>
      </c>
      <c r="AW104">
        <v>5.7</v>
      </c>
      <c r="AX104">
        <v>5</v>
      </c>
      <c r="AY104">
        <v>2.7</v>
      </c>
      <c r="AZ104">
        <v>6.5</v>
      </c>
      <c r="BA104">
        <v>4.4000000000000004</v>
      </c>
      <c r="BC104" s="95" t="s">
        <v>74</v>
      </c>
      <c r="BD104" s="13">
        <f t="shared" si="10"/>
        <v>77.8</v>
      </c>
      <c r="BE104" s="7">
        <f t="shared" si="11"/>
        <v>74</v>
      </c>
      <c r="BF104" s="7">
        <f t="shared" si="12"/>
        <v>1.2</v>
      </c>
      <c r="BG104" s="7">
        <f t="shared" si="13"/>
        <v>3.8</v>
      </c>
      <c r="BH104" s="7">
        <f t="shared" si="14"/>
        <v>2.2000000000000002</v>
      </c>
      <c r="BI104" s="7">
        <f t="shared" si="15"/>
        <v>4.2</v>
      </c>
      <c r="BJ104" s="99">
        <f t="shared" si="16"/>
        <v>163.19999999999999</v>
      </c>
      <c r="BK104" s="81">
        <f t="shared" si="17"/>
        <v>0.47671568627450983</v>
      </c>
      <c r="BL104" s="73">
        <f t="shared" si="18"/>
        <v>0.45343137254901966</v>
      </c>
      <c r="BM104" s="79">
        <f t="shared" si="19"/>
        <v>6.985294117647059E-2</v>
      </c>
    </row>
    <row r="105" spans="1:65" x14ac:dyDescent="0.2">
      <c r="A105">
        <v>63</v>
      </c>
      <c r="B105" t="s">
        <v>375</v>
      </c>
      <c r="C105">
        <v>71.8</v>
      </c>
      <c r="D105">
        <v>71.7</v>
      </c>
      <c r="E105">
        <v>71</v>
      </c>
      <c r="F105">
        <v>72.5</v>
      </c>
      <c r="G105">
        <v>71</v>
      </c>
      <c r="H105">
        <v>76.2</v>
      </c>
      <c r="J105">
        <v>23</v>
      </c>
      <c r="K105" t="s">
        <v>375</v>
      </c>
      <c r="L105">
        <v>2</v>
      </c>
      <c r="M105">
        <v>2</v>
      </c>
      <c r="N105">
        <v>1</v>
      </c>
      <c r="O105">
        <v>3</v>
      </c>
      <c r="P105">
        <v>1</v>
      </c>
      <c r="Q105">
        <v>2.7</v>
      </c>
      <c r="S105">
        <v>67</v>
      </c>
      <c r="T105" t="s">
        <v>375</v>
      </c>
      <c r="U105">
        <v>4.8</v>
      </c>
      <c r="V105">
        <v>5.3</v>
      </c>
      <c r="W105">
        <v>4</v>
      </c>
      <c r="X105">
        <v>4.5</v>
      </c>
      <c r="Y105">
        <v>5</v>
      </c>
      <c r="Z105">
        <v>4</v>
      </c>
      <c r="AB105">
        <v>28</v>
      </c>
      <c r="AC105" t="s">
        <v>375</v>
      </c>
      <c r="AD105">
        <v>67</v>
      </c>
      <c r="AE105">
        <v>68</v>
      </c>
      <c r="AF105">
        <v>71</v>
      </c>
      <c r="AG105">
        <v>63.5</v>
      </c>
      <c r="AH105">
        <v>70.5</v>
      </c>
      <c r="AI105">
        <v>64.599999999999994</v>
      </c>
      <c r="AK105">
        <v>42</v>
      </c>
      <c r="AL105" t="s">
        <v>375</v>
      </c>
      <c r="AM105">
        <v>1.2</v>
      </c>
      <c r="AN105">
        <v>1.7</v>
      </c>
      <c r="AO105">
        <v>3</v>
      </c>
      <c r="AP105">
        <v>0</v>
      </c>
      <c r="AQ105">
        <v>2.5</v>
      </c>
      <c r="AR105">
        <v>1.3</v>
      </c>
      <c r="AT105">
        <v>93</v>
      </c>
      <c r="AU105" t="s">
        <v>375</v>
      </c>
      <c r="AV105">
        <v>5.5</v>
      </c>
      <c r="AW105">
        <v>5</v>
      </c>
      <c r="AX105">
        <v>3</v>
      </c>
      <c r="AY105">
        <v>7.5</v>
      </c>
      <c r="AZ105">
        <v>3.5</v>
      </c>
      <c r="BA105">
        <v>6.2</v>
      </c>
      <c r="BC105" s="95" t="s">
        <v>375</v>
      </c>
      <c r="BD105" s="13">
        <f t="shared" si="10"/>
        <v>71.8</v>
      </c>
      <c r="BE105" s="7">
        <f t="shared" si="11"/>
        <v>67</v>
      </c>
      <c r="BF105" s="7">
        <f t="shared" si="12"/>
        <v>2</v>
      </c>
      <c r="BG105" s="7">
        <f t="shared" si="13"/>
        <v>4.8</v>
      </c>
      <c r="BH105" s="7">
        <f t="shared" si="14"/>
        <v>1.2</v>
      </c>
      <c r="BI105" s="7">
        <f t="shared" si="15"/>
        <v>5.5</v>
      </c>
      <c r="BJ105" s="99">
        <f t="shared" si="16"/>
        <v>152.30000000000001</v>
      </c>
      <c r="BK105" s="81">
        <f t="shared" si="17"/>
        <v>0.47143795141168743</v>
      </c>
      <c r="BL105" s="73">
        <f t="shared" si="18"/>
        <v>0.43992120814182534</v>
      </c>
      <c r="BM105" s="79">
        <f t="shared" si="19"/>
        <v>8.8640840446487193E-2</v>
      </c>
    </row>
    <row r="106" spans="1:65" x14ac:dyDescent="0.2">
      <c r="A106">
        <v>46</v>
      </c>
      <c r="B106" t="s">
        <v>378</v>
      </c>
      <c r="C106">
        <v>73.8</v>
      </c>
      <c r="D106">
        <v>77</v>
      </c>
      <c r="E106">
        <v>76</v>
      </c>
      <c r="F106">
        <v>78.5</v>
      </c>
      <c r="G106">
        <v>69</v>
      </c>
      <c r="H106">
        <v>65.7</v>
      </c>
      <c r="J106">
        <v>40</v>
      </c>
      <c r="K106" t="s">
        <v>378</v>
      </c>
      <c r="L106">
        <v>1.8</v>
      </c>
      <c r="M106">
        <v>2.2999999999999998</v>
      </c>
      <c r="N106">
        <v>4</v>
      </c>
      <c r="O106">
        <v>3</v>
      </c>
      <c r="P106">
        <v>0.5</v>
      </c>
      <c r="Q106">
        <v>0.7</v>
      </c>
      <c r="S106">
        <v>13</v>
      </c>
      <c r="T106" t="s">
        <v>378</v>
      </c>
      <c r="U106">
        <v>6.5</v>
      </c>
      <c r="V106">
        <v>6.3</v>
      </c>
      <c r="W106">
        <v>4</v>
      </c>
      <c r="X106">
        <v>4.5</v>
      </c>
      <c r="Y106">
        <v>8.5</v>
      </c>
      <c r="Z106">
        <v>6</v>
      </c>
      <c r="AB106">
        <v>114</v>
      </c>
      <c r="AC106" t="s">
        <v>378</v>
      </c>
      <c r="AD106">
        <v>77.5</v>
      </c>
      <c r="AE106">
        <v>79.3</v>
      </c>
      <c r="AF106">
        <v>95</v>
      </c>
      <c r="AG106">
        <v>81.5</v>
      </c>
      <c r="AH106">
        <v>73.5</v>
      </c>
      <c r="AI106">
        <v>74.7</v>
      </c>
      <c r="AK106">
        <v>128</v>
      </c>
      <c r="AL106" t="s">
        <v>378</v>
      </c>
      <c r="AM106">
        <v>2.5</v>
      </c>
      <c r="AN106">
        <v>2.7</v>
      </c>
      <c r="AO106">
        <v>4</v>
      </c>
      <c r="AP106">
        <v>4</v>
      </c>
      <c r="AQ106">
        <v>1</v>
      </c>
      <c r="AR106">
        <v>1.7</v>
      </c>
      <c r="AT106">
        <v>24</v>
      </c>
      <c r="AU106" t="s">
        <v>378</v>
      </c>
      <c r="AV106">
        <v>3.8</v>
      </c>
      <c r="AW106">
        <v>4</v>
      </c>
      <c r="AX106">
        <v>2</v>
      </c>
      <c r="AY106">
        <v>4</v>
      </c>
      <c r="AZ106">
        <v>3.5</v>
      </c>
      <c r="BA106">
        <v>5.2</v>
      </c>
      <c r="BC106" s="95" t="s">
        <v>378</v>
      </c>
      <c r="BD106" s="13">
        <f t="shared" si="10"/>
        <v>73.8</v>
      </c>
      <c r="BE106" s="7">
        <f t="shared" si="11"/>
        <v>77.5</v>
      </c>
      <c r="BF106" s="7">
        <f t="shared" si="12"/>
        <v>1.8</v>
      </c>
      <c r="BG106" s="7">
        <f t="shared" si="13"/>
        <v>6.5</v>
      </c>
      <c r="BH106" s="7">
        <f t="shared" si="14"/>
        <v>2.5</v>
      </c>
      <c r="BI106" s="7">
        <f t="shared" si="15"/>
        <v>3.8</v>
      </c>
      <c r="BJ106" s="99">
        <f t="shared" si="16"/>
        <v>165.90000000000003</v>
      </c>
      <c r="BK106" s="81">
        <f t="shared" si="17"/>
        <v>0.44484629294755867</v>
      </c>
      <c r="BL106" s="73">
        <f t="shared" si="18"/>
        <v>0.46714888487040374</v>
      </c>
      <c r="BM106" s="79">
        <f t="shared" si="19"/>
        <v>8.8004822182037368E-2</v>
      </c>
    </row>
    <row r="107" spans="1:65" x14ac:dyDescent="0.2">
      <c r="A107">
        <v>34</v>
      </c>
      <c r="B107" t="s">
        <v>381</v>
      </c>
      <c r="C107">
        <v>75.2</v>
      </c>
      <c r="D107">
        <v>74.7</v>
      </c>
      <c r="E107">
        <v>80</v>
      </c>
      <c r="F107">
        <v>78.5</v>
      </c>
      <c r="G107">
        <v>72</v>
      </c>
      <c r="H107">
        <v>82.6</v>
      </c>
      <c r="J107">
        <v>24</v>
      </c>
      <c r="K107" t="s">
        <v>381</v>
      </c>
      <c r="L107">
        <v>2</v>
      </c>
      <c r="M107">
        <v>2.2999999999999998</v>
      </c>
      <c r="N107">
        <v>4</v>
      </c>
      <c r="O107">
        <v>2.5</v>
      </c>
      <c r="P107">
        <v>1.5</v>
      </c>
      <c r="Q107">
        <v>1.7</v>
      </c>
      <c r="S107">
        <v>41</v>
      </c>
      <c r="T107" t="s">
        <v>381</v>
      </c>
      <c r="U107">
        <v>5.5</v>
      </c>
      <c r="V107">
        <v>6</v>
      </c>
      <c r="W107">
        <v>5</v>
      </c>
      <c r="X107">
        <v>4.5</v>
      </c>
      <c r="Y107">
        <v>6.5</v>
      </c>
      <c r="Z107">
        <v>4.4000000000000004</v>
      </c>
      <c r="AB107">
        <v>113</v>
      </c>
      <c r="AC107" t="s">
        <v>381</v>
      </c>
      <c r="AD107">
        <v>77.5</v>
      </c>
      <c r="AE107">
        <v>83.3</v>
      </c>
      <c r="AF107">
        <v>100</v>
      </c>
      <c r="AG107">
        <v>80</v>
      </c>
      <c r="AH107">
        <v>75</v>
      </c>
      <c r="AI107">
        <v>77.900000000000006</v>
      </c>
      <c r="AK107">
        <v>43</v>
      </c>
      <c r="AL107" t="s">
        <v>381</v>
      </c>
      <c r="AM107">
        <v>1.2</v>
      </c>
      <c r="AN107">
        <v>1</v>
      </c>
      <c r="AO107">
        <v>0</v>
      </c>
      <c r="AP107">
        <v>1</v>
      </c>
      <c r="AQ107">
        <v>1.5</v>
      </c>
      <c r="AR107">
        <v>1.5</v>
      </c>
      <c r="AT107">
        <v>111</v>
      </c>
      <c r="AU107" t="s">
        <v>381</v>
      </c>
      <c r="AV107">
        <v>6.2</v>
      </c>
      <c r="AW107">
        <v>5</v>
      </c>
      <c r="AX107">
        <v>7</v>
      </c>
      <c r="AY107">
        <v>8.5</v>
      </c>
      <c r="AZ107">
        <v>4</v>
      </c>
      <c r="BA107">
        <v>4.9000000000000004</v>
      </c>
      <c r="BC107" s="95" t="s">
        <v>381</v>
      </c>
      <c r="BD107" s="13">
        <f t="shared" si="10"/>
        <v>75.2</v>
      </c>
      <c r="BE107" s="7">
        <f t="shared" si="11"/>
        <v>77.5</v>
      </c>
      <c r="BF107" s="7">
        <f t="shared" si="12"/>
        <v>2</v>
      </c>
      <c r="BG107" s="7">
        <f t="shared" si="13"/>
        <v>5.5</v>
      </c>
      <c r="BH107" s="7">
        <f t="shared" si="14"/>
        <v>1.2</v>
      </c>
      <c r="BI107" s="7">
        <f t="shared" si="15"/>
        <v>6.2</v>
      </c>
      <c r="BJ107" s="99">
        <f t="shared" si="16"/>
        <v>167.59999999999997</v>
      </c>
      <c r="BK107" s="81">
        <f t="shared" si="17"/>
        <v>0.4486873508353223</v>
      </c>
      <c r="BL107" s="73">
        <f t="shared" si="18"/>
        <v>0.4624105011933175</v>
      </c>
      <c r="BM107" s="79">
        <f t="shared" si="19"/>
        <v>8.8902147971360396E-2</v>
      </c>
    </row>
    <row r="108" spans="1:65" x14ac:dyDescent="0.2">
      <c r="A108">
        <v>48</v>
      </c>
      <c r="B108" t="s">
        <v>385</v>
      </c>
      <c r="C108">
        <v>73.2</v>
      </c>
      <c r="D108">
        <v>75</v>
      </c>
      <c r="E108">
        <v>78</v>
      </c>
      <c r="F108">
        <v>82</v>
      </c>
      <c r="G108">
        <v>64.5</v>
      </c>
      <c r="H108">
        <v>72.900000000000006</v>
      </c>
      <c r="J108">
        <v>51</v>
      </c>
      <c r="K108" t="s">
        <v>385</v>
      </c>
      <c r="L108">
        <v>1.8</v>
      </c>
      <c r="M108">
        <v>2</v>
      </c>
      <c r="N108">
        <v>2</v>
      </c>
      <c r="O108">
        <v>2</v>
      </c>
      <c r="P108">
        <v>1.5</v>
      </c>
      <c r="Q108">
        <v>1.6</v>
      </c>
      <c r="S108">
        <v>25</v>
      </c>
      <c r="T108" t="s">
        <v>385</v>
      </c>
      <c r="U108">
        <v>6</v>
      </c>
      <c r="V108">
        <v>5.3</v>
      </c>
      <c r="W108">
        <v>5</v>
      </c>
      <c r="X108">
        <v>5</v>
      </c>
      <c r="Y108">
        <v>7</v>
      </c>
      <c r="Z108">
        <v>4.5999999999999996</v>
      </c>
      <c r="AB108">
        <v>119</v>
      </c>
      <c r="AC108" t="s">
        <v>385</v>
      </c>
      <c r="AD108">
        <v>78.5</v>
      </c>
      <c r="AE108">
        <v>82.7</v>
      </c>
      <c r="AF108">
        <v>85</v>
      </c>
      <c r="AG108">
        <v>78.5</v>
      </c>
      <c r="AH108">
        <v>78.5</v>
      </c>
      <c r="AI108">
        <v>76</v>
      </c>
      <c r="AK108">
        <v>97</v>
      </c>
      <c r="AL108" t="s">
        <v>385</v>
      </c>
      <c r="AM108">
        <v>2</v>
      </c>
      <c r="AN108">
        <v>2.2999999999999998</v>
      </c>
      <c r="AO108">
        <v>2</v>
      </c>
      <c r="AP108">
        <v>2</v>
      </c>
      <c r="AQ108">
        <v>2</v>
      </c>
      <c r="AR108">
        <v>1</v>
      </c>
      <c r="AT108">
        <v>75</v>
      </c>
      <c r="AU108" t="s">
        <v>385</v>
      </c>
      <c r="AV108">
        <v>5</v>
      </c>
      <c r="AW108">
        <v>4.7</v>
      </c>
      <c r="AX108">
        <v>5</v>
      </c>
      <c r="AY108">
        <v>5</v>
      </c>
      <c r="AZ108">
        <v>5</v>
      </c>
      <c r="BA108">
        <v>5.6</v>
      </c>
      <c r="BC108" s="95" t="s">
        <v>385</v>
      </c>
      <c r="BD108" s="13">
        <f t="shared" si="10"/>
        <v>73.2</v>
      </c>
      <c r="BE108" s="7">
        <f t="shared" si="11"/>
        <v>78.5</v>
      </c>
      <c r="BF108" s="7">
        <f t="shared" si="12"/>
        <v>1.8</v>
      </c>
      <c r="BG108" s="7">
        <f t="shared" si="13"/>
        <v>6</v>
      </c>
      <c r="BH108" s="7">
        <f t="shared" si="14"/>
        <v>2</v>
      </c>
      <c r="BI108" s="7">
        <f t="shared" si="15"/>
        <v>5</v>
      </c>
      <c r="BJ108" s="99">
        <f t="shared" si="16"/>
        <v>166.5</v>
      </c>
      <c r="BK108" s="81">
        <f t="shared" si="17"/>
        <v>0.43963963963963965</v>
      </c>
      <c r="BL108" s="73">
        <f t="shared" si="18"/>
        <v>0.47147147147147145</v>
      </c>
      <c r="BM108" s="79">
        <f t="shared" si="19"/>
        <v>8.8888888888888892E-2</v>
      </c>
    </row>
    <row r="109" spans="1:65" x14ac:dyDescent="0.2">
      <c r="A109">
        <v>13</v>
      </c>
      <c r="B109" t="s">
        <v>388</v>
      </c>
      <c r="C109">
        <v>80</v>
      </c>
      <c r="D109">
        <v>85.7</v>
      </c>
      <c r="E109">
        <v>68</v>
      </c>
      <c r="F109">
        <v>78.5</v>
      </c>
      <c r="G109">
        <v>81.5</v>
      </c>
      <c r="H109">
        <v>66.8</v>
      </c>
      <c r="J109">
        <v>93</v>
      </c>
      <c r="K109" t="s">
        <v>388</v>
      </c>
      <c r="L109">
        <v>1.2</v>
      </c>
      <c r="M109">
        <v>1.3</v>
      </c>
      <c r="N109">
        <v>1</v>
      </c>
      <c r="O109">
        <v>2</v>
      </c>
      <c r="P109">
        <v>0.5</v>
      </c>
      <c r="Q109">
        <v>1.9</v>
      </c>
      <c r="S109">
        <v>73</v>
      </c>
      <c r="T109" t="s">
        <v>388</v>
      </c>
      <c r="U109">
        <v>4.5</v>
      </c>
      <c r="V109">
        <v>4.3</v>
      </c>
      <c r="W109">
        <v>6</v>
      </c>
      <c r="X109">
        <v>4.5</v>
      </c>
      <c r="Y109">
        <v>4.5</v>
      </c>
      <c r="Z109">
        <v>4.2</v>
      </c>
      <c r="AB109">
        <v>24</v>
      </c>
      <c r="AC109" t="s">
        <v>388</v>
      </c>
      <c r="AD109">
        <v>66.8</v>
      </c>
      <c r="AE109">
        <v>63</v>
      </c>
      <c r="AF109">
        <v>65</v>
      </c>
      <c r="AG109">
        <v>75</v>
      </c>
      <c r="AH109">
        <v>58.5</v>
      </c>
      <c r="AI109">
        <v>72.400000000000006</v>
      </c>
      <c r="AK109">
        <v>65</v>
      </c>
      <c r="AL109" t="s">
        <v>388</v>
      </c>
      <c r="AM109">
        <v>1.5</v>
      </c>
      <c r="AN109">
        <v>1.3</v>
      </c>
      <c r="AO109">
        <v>2</v>
      </c>
      <c r="AP109">
        <v>2</v>
      </c>
      <c r="AQ109">
        <v>1</v>
      </c>
      <c r="AR109">
        <v>1.1000000000000001</v>
      </c>
      <c r="AT109">
        <v>61</v>
      </c>
      <c r="AU109" t="s">
        <v>388</v>
      </c>
      <c r="AV109">
        <v>4.8</v>
      </c>
      <c r="AW109">
        <v>5</v>
      </c>
      <c r="AX109">
        <v>4</v>
      </c>
      <c r="AY109">
        <v>4.5</v>
      </c>
      <c r="AZ109">
        <v>5</v>
      </c>
      <c r="BA109">
        <v>5.3</v>
      </c>
      <c r="BC109" s="95" t="s">
        <v>388</v>
      </c>
      <c r="BD109" s="13">
        <f t="shared" si="10"/>
        <v>80</v>
      </c>
      <c r="BE109" s="7">
        <f t="shared" si="11"/>
        <v>66.8</v>
      </c>
      <c r="BF109" s="7">
        <f t="shared" si="12"/>
        <v>1.2</v>
      </c>
      <c r="BG109" s="7">
        <f t="shared" si="13"/>
        <v>4.5</v>
      </c>
      <c r="BH109" s="7">
        <f t="shared" si="14"/>
        <v>1.5</v>
      </c>
      <c r="BI109" s="7">
        <f t="shared" si="15"/>
        <v>4.8</v>
      </c>
      <c r="BJ109" s="99">
        <f t="shared" si="16"/>
        <v>158.80000000000001</v>
      </c>
      <c r="BK109" s="81">
        <f t="shared" si="17"/>
        <v>0.50377833753148615</v>
      </c>
      <c r="BL109" s="73">
        <f t="shared" si="18"/>
        <v>0.42065491183879089</v>
      </c>
      <c r="BM109" s="79">
        <f t="shared" si="19"/>
        <v>7.5566750629722915E-2</v>
      </c>
    </row>
    <row r="110" spans="1:65" x14ac:dyDescent="0.2">
      <c r="A110">
        <v>77</v>
      </c>
      <c r="B110" t="s">
        <v>391</v>
      </c>
      <c r="C110">
        <v>70.5</v>
      </c>
      <c r="D110">
        <v>71</v>
      </c>
      <c r="E110">
        <v>75</v>
      </c>
      <c r="F110">
        <v>71.5</v>
      </c>
      <c r="G110">
        <v>69.5</v>
      </c>
      <c r="H110">
        <v>73.099999999999994</v>
      </c>
      <c r="J110">
        <v>122</v>
      </c>
      <c r="K110" t="s">
        <v>391</v>
      </c>
      <c r="L110">
        <v>0.8</v>
      </c>
      <c r="M110">
        <v>1</v>
      </c>
      <c r="N110">
        <v>0</v>
      </c>
      <c r="O110">
        <v>0.5</v>
      </c>
      <c r="P110">
        <v>1</v>
      </c>
      <c r="Q110">
        <v>1.1000000000000001</v>
      </c>
      <c r="S110">
        <v>50</v>
      </c>
      <c r="T110" t="s">
        <v>391</v>
      </c>
      <c r="U110">
        <v>5.2</v>
      </c>
      <c r="V110">
        <v>5.7</v>
      </c>
      <c r="W110">
        <v>4</v>
      </c>
      <c r="X110">
        <v>4.5</v>
      </c>
      <c r="Y110">
        <v>6</v>
      </c>
      <c r="Z110">
        <v>5.8</v>
      </c>
      <c r="AB110">
        <v>79</v>
      </c>
      <c r="AC110" t="s">
        <v>391</v>
      </c>
      <c r="AD110">
        <v>73.8</v>
      </c>
      <c r="AE110">
        <v>77.7</v>
      </c>
      <c r="AF110">
        <v>69</v>
      </c>
      <c r="AG110">
        <v>72</v>
      </c>
      <c r="AH110">
        <v>75.5</v>
      </c>
      <c r="AI110">
        <v>76.599999999999994</v>
      </c>
      <c r="AK110">
        <v>12</v>
      </c>
      <c r="AL110" t="s">
        <v>391</v>
      </c>
      <c r="AM110">
        <v>1</v>
      </c>
      <c r="AN110">
        <v>1.3</v>
      </c>
      <c r="AO110">
        <v>0</v>
      </c>
      <c r="AP110">
        <v>1.5</v>
      </c>
      <c r="AQ110">
        <v>0.5</v>
      </c>
      <c r="AR110">
        <v>1.2</v>
      </c>
      <c r="AT110">
        <v>77</v>
      </c>
      <c r="AU110" t="s">
        <v>391</v>
      </c>
      <c r="AV110">
        <v>5</v>
      </c>
      <c r="AW110">
        <v>4.7</v>
      </c>
      <c r="AX110">
        <v>4</v>
      </c>
      <c r="AY110">
        <v>5</v>
      </c>
      <c r="AZ110">
        <v>5</v>
      </c>
      <c r="BA110">
        <v>5.9</v>
      </c>
      <c r="BC110" s="95" t="s">
        <v>391</v>
      </c>
      <c r="BD110" s="13">
        <f t="shared" si="10"/>
        <v>70.5</v>
      </c>
      <c r="BE110" s="7">
        <f t="shared" si="11"/>
        <v>73.8</v>
      </c>
      <c r="BF110" s="7">
        <f t="shared" si="12"/>
        <v>0.8</v>
      </c>
      <c r="BG110" s="7">
        <f t="shared" si="13"/>
        <v>5.2</v>
      </c>
      <c r="BH110" s="7">
        <f t="shared" si="14"/>
        <v>1</v>
      </c>
      <c r="BI110" s="7">
        <f t="shared" si="15"/>
        <v>5</v>
      </c>
      <c r="BJ110" s="99">
        <f t="shared" si="16"/>
        <v>156.30000000000001</v>
      </c>
      <c r="BK110" s="81">
        <f t="shared" si="17"/>
        <v>0.45105566218809978</v>
      </c>
      <c r="BL110" s="73">
        <f t="shared" si="18"/>
        <v>0.47216890595009592</v>
      </c>
      <c r="BM110" s="79">
        <f t="shared" si="19"/>
        <v>7.6775431861804216E-2</v>
      </c>
    </row>
    <row r="111" spans="1:65" x14ac:dyDescent="0.2">
      <c r="A111">
        <v>6</v>
      </c>
      <c r="B111" t="s">
        <v>395</v>
      </c>
      <c r="C111">
        <v>81.599999999999994</v>
      </c>
      <c r="D111">
        <v>89.3</v>
      </c>
      <c r="E111">
        <v>77</v>
      </c>
      <c r="F111">
        <v>95.5</v>
      </c>
      <c r="G111">
        <v>72.3</v>
      </c>
      <c r="H111">
        <v>76.900000000000006</v>
      </c>
      <c r="J111">
        <v>53</v>
      </c>
      <c r="K111" t="s">
        <v>395</v>
      </c>
      <c r="L111">
        <v>1.6</v>
      </c>
      <c r="M111">
        <v>2</v>
      </c>
      <c r="N111">
        <v>4</v>
      </c>
      <c r="O111">
        <v>1</v>
      </c>
      <c r="P111">
        <v>2</v>
      </c>
      <c r="Q111">
        <v>1.8</v>
      </c>
      <c r="S111">
        <v>37</v>
      </c>
      <c r="T111" t="s">
        <v>395</v>
      </c>
      <c r="U111">
        <v>5.6</v>
      </c>
      <c r="V111">
        <v>6</v>
      </c>
      <c r="W111">
        <v>4</v>
      </c>
      <c r="X111">
        <v>7</v>
      </c>
      <c r="Y111">
        <v>4.7</v>
      </c>
      <c r="Z111">
        <v>4.5</v>
      </c>
      <c r="AB111">
        <v>93</v>
      </c>
      <c r="AC111" t="s">
        <v>395</v>
      </c>
      <c r="AD111">
        <v>75.2</v>
      </c>
      <c r="AE111">
        <v>76</v>
      </c>
      <c r="AF111">
        <v>93</v>
      </c>
      <c r="AG111">
        <v>67.5</v>
      </c>
      <c r="AH111">
        <v>80.3</v>
      </c>
      <c r="AI111">
        <v>74.5</v>
      </c>
      <c r="AK111">
        <v>89</v>
      </c>
      <c r="AL111" t="s">
        <v>395</v>
      </c>
      <c r="AM111">
        <v>1.8</v>
      </c>
      <c r="AN111">
        <v>1.3</v>
      </c>
      <c r="AO111">
        <v>1</v>
      </c>
      <c r="AP111">
        <v>1.5</v>
      </c>
      <c r="AQ111">
        <v>2</v>
      </c>
      <c r="AR111">
        <v>1.7</v>
      </c>
      <c r="AT111">
        <v>104</v>
      </c>
      <c r="AU111" t="s">
        <v>395</v>
      </c>
      <c r="AV111">
        <v>5.8</v>
      </c>
      <c r="AW111">
        <v>6.3</v>
      </c>
      <c r="AX111">
        <v>6</v>
      </c>
      <c r="AY111">
        <v>6.5</v>
      </c>
      <c r="AZ111">
        <v>5.3</v>
      </c>
      <c r="BA111">
        <v>4.3</v>
      </c>
      <c r="BC111" s="95" t="s">
        <v>395</v>
      </c>
      <c r="BD111" s="13">
        <f t="shared" si="10"/>
        <v>81.599999999999994</v>
      </c>
      <c r="BE111" s="7">
        <f t="shared" si="11"/>
        <v>75.2</v>
      </c>
      <c r="BF111" s="7">
        <f t="shared" si="12"/>
        <v>1.6</v>
      </c>
      <c r="BG111" s="7">
        <f t="shared" si="13"/>
        <v>5.6</v>
      </c>
      <c r="BH111" s="7">
        <f t="shared" si="14"/>
        <v>1.8</v>
      </c>
      <c r="BI111" s="7">
        <f t="shared" si="15"/>
        <v>5.8</v>
      </c>
      <c r="BJ111" s="99">
        <f t="shared" si="16"/>
        <v>171.60000000000002</v>
      </c>
      <c r="BK111" s="81">
        <f t="shared" si="17"/>
        <v>0.47552447552447541</v>
      </c>
      <c r="BL111" s="73">
        <f t="shared" si="18"/>
        <v>0.43822843822843821</v>
      </c>
      <c r="BM111" s="79">
        <f t="shared" si="19"/>
        <v>8.6247086247086241E-2</v>
      </c>
    </row>
    <row r="112" spans="1:65" x14ac:dyDescent="0.2">
      <c r="A112">
        <v>12</v>
      </c>
      <c r="B112" t="s">
        <v>800</v>
      </c>
      <c r="C112">
        <v>80</v>
      </c>
      <c r="D112">
        <v>78.3</v>
      </c>
      <c r="E112">
        <v>65</v>
      </c>
      <c r="F112">
        <v>85</v>
      </c>
      <c r="G112">
        <v>75</v>
      </c>
      <c r="H112">
        <v>70.2</v>
      </c>
      <c r="J112">
        <v>45</v>
      </c>
      <c r="K112" t="s">
        <v>800</v>
      </c>
      <c r="L112">
        <v>1.8</v>
      </c>
      <c r="M112">
        <v>1.7</v>
      </c>
      <c r="N112">
        <v>2</v>
      </c>
      <c r="O112">
        <v>1.5</v>
      </c>
      <c r="P112">
        <v>2</v>
      </c>
      <c r="Q112">
        <v>1.6</v>
      </c>
      <c r="S112">
        <v>49</v>
      </c>
      <c r="T112" t="s">
        <v>800</v>
      </c>
      <c r="U112">
        <v>5.2</v>
      </c>
      <c r="V112">
        <v>4.7</v>
      </c>
      <c r="W112">
        <v>6</v>
      </c>
      <c r="X112">
        <v>4</v>
      </c>
      <c r="Y112">
        <v>6.5</v>
      </c>
      <c r="Z112">
        <v>5.8</v>
      </c>
      <c r="AB112">
        <v>9</v>
      </c>
      <c r="AC112" t="s">
        <v>800</v>
      </c>
      <c r="AD112">
        <v>62.8</v>
      </c>
      <c r="AE112">
        <v>64.7</v>
      </c>
      <c r="AF112">
        <v>62</v>
      </c>
      <c r="AG112">
        <v>66</v>
      </c>
      <c r="AH112">
        <v>59.5</v>
      </c>
      <c r="AI112">
        <v>73.8</v>
      </c>
      <c r="AK112">
        <v>38</v>
      </c>
      <c r="AL112" t="s">
        <v>800</v>
      </c>
      <c r="AM112">
        <v>1.2</v>
      </c>
      <c r="AN112">
        <v>1</v>
      </c>
      <c r="AO112">
        <v>0</v>
      </c>
      <c r="AP112">
        <v>1.5</v>
      </c>
      <c r="AQ112">
        <v>1</v>
      </c>
      <c r="AR112">
        <v>1.2</v>
      </c>
      <c r="AT112">
        <v>114</v>
      </c>
      <c r="AU112" t="s">
        <v>800</v>
      </c>
      <c r="AV112">
        <v>6.2</v>
      </c>
      <c r="AW112">
        <v>6</v>
      </c>
      <c r="AX112">
        <v>3</v>
      </c>
      <c r="AY112">
        <v>7.5</v>
      </c>
      <c r="AZ112">
        <v>5</v>
      </c>
      <c r="BA112">
        <v>6.2</v>
      </c>
      <c r="BC112" s="95" t="s">
        <v>800</v>
      </c>
      <c r="BD112" s="13">
        <f t="shared" si="10"/>
        <v>80</v>
      </c>
      <c r="BE112" s="7">
        <f t="shared" si="11"/>
        <v>62.8</v>
      </c>
      <c r="BF112" s="7">
        <f t="shared" si="12"/>
        <v>1.8</v>
      </c>
      <c r="BG112" s="7">
        <f t="shared" si="13"/>
        <v>5.2</v>
      </c>
      <c r="BH112" s="7">
        <f t="shared" si="14"/>
        <v>1.2</v>
      </c>
      <c r="BI112" s="7">
        <f t="shared" si="15"/>
        <v>6.2</v>
      </c>
      <c r="BJ112" s="99">
        <f t="shared" si="16"/>
        <v>157.19999999999999</v>
      </c>
      <c r="BK112" s="81">
        <f t="shared" si="17"/>
        <v>0.5089058524173028</v>
      </c>
      <c r="BL112" s="73">
        <f t="shared" si="18"/>
        <v>0.39949109414758271</v>
      </c>
      <c r="BM112" s="79">
        <f t="shared" si="19"/>
        <v>9.1603053435114504E-2</v>
      </c>
    </row>
    <row r="113" spans="1:65" x14ac:dyDescent="0.2">
      <c r="A113">
        <v>129</v>
      </c>
      <c r="B113" t="s">
        <v>839</v>
      </c>
      <c r="C113">
        <v>62.2</v>
      </c>
      <c r="D113">
        <v>63</v>
      </c>
      <c r="E113">
        <v>65</v>
      </c>
      <c r="F113">
        <v>66</v>
      </c>
      <c r="G113">
        <v>58.5</v>
      </c>
      <c r="H113">
        <v>65.400000000000006</v>
      </c>
      <c r="J113">
        <v>95</v>
      </c>
      <c r="K113" t="s">
        <v>839</v>
      </c>
      <c r="L113">
        <v>1.2</v>
      </c>
      <c r="M113">
        <v>1</v>
      </c>
      <c r="N113">
        <v>1</v>
      </c>
      <c r="O113">
        <v>0.5</v>
      </c>
      <c r="P113">
        <v>2</v>
      </c>
      <c r="Q113">
        <v>1.1000000000000001</v>
      </c>
      <c r="S113">
        <v>10</v>
      </c>
      <c r="T113" t="s">
        <v>839</v>
      </c>
      <c r="U113">
        <v>6.8</v>
      </c>
      <c r="V113">
        <v>5.7</v>
      </c>
      <c r="W113">
        <v>8</v>
      </c>
      <c r="X113">
        <v>5.5</v>
      </c>
      <c r="Y113">
        <v>8</v>
      </c>
      <c r="Z113">
        <v>6</v>
      </c>
      <c r="AB113">
        <v>21</v>
      </c>
      <c r="AC113" t="s">
        <v>839</v>
      </c>
      <c r="AD113">
        <v>66</v>
      </c>
      <c r="AE113">
        <v>62.3</v>
      </c>
      <c r="AF113">
        <v>63</v>
      </c>
      <c r="AG113">
        <v>61</v>
      </c>
      <c r="AH113">
        <v>71</v>
      </c>
      <c r="AI113">
        <v>68.5</v>
      </c>
      <c r="AK113">
        <v>76</v>
      </c>
      <c r="AL113" t="s">
        <v>839</v>
      </c>
      <c r="AM113">
        <v>1.5</v>
      </c>
      <c r="AN113">
        <v>1.7</v>
      </c>
      <c r="AO113">
        <v>2</v>
      </c>
      <c r="AP113">
        <v>1.5</v>
      </c>
      <c r="AQ113">
        <v>1.5</v>
      </c>
      <c r="AR113">
        <v>1.7</v>
      </c>
      <c r="AT113">
        <v>13</v>
      </c>
      <c r="AU113" t="s">
        <v>839</v>
      </c>
      <c r="AV113">
        <v>3.2</v>
      </c>
      <c r="AW113">
        <v>3</v>
      </c>
      <c r="AX113">
        <v>4</v>
      </c>
      <c r="AY113">
        <v>3</v>
      </c>
      <c r="AZ113">
        <v>3.5</v>
      </c>
      <c r="BA113">
        <v>5.0999999999999996</v>
      </c>
      <c r="BC113" s="95" t="s">
        <v>839</v>
      </c>
      <c r="BD113" s="13">
        <f t="shared" si="10"/>
        <v>62.2</v>
      </c>
      <c r="BE113" s="7">
        <f t="shared" si="11"/>
        <v>66</v>
      </c>
      <c r="BF113" s="7">
        <f t="shared" si="12"/>
        <v>1.2</v>
      </c>
      <c r="BG113" s="7">
        <f t="shared" si="13"/>
        <v>6.8</v>
      </c>
      <c r="BH113" s="7">
        <f t="shared" si="14"/>
        <v>1.5</v>
      </c>
      <c r="BI113" s="7">
        <f t="shared" si="15"/>
        <v>3.2</v>
      </c>
      <c r="BJ113" s="99">
        <f t="shared" si="16"/>
        <v>140.89999999999998</v>
      </c>
      <c r="BK113" s="81">
        <f t="shared" si="17"/>
        <v>0.44144783534421583</v>
      </c>
      <c r="BL113" s="73">
        <f t="shared" si="18"/>
        <v>0.46841731724627406</v>
      </c>
      <c r="BM113" s="79">
        <f t="shared" si="19"/>
        <v>9.0134847409510305E-2</v>
      </c>
    </row>
    <row r="114" spans="1:65" x14ac:dyDescent="0.2">
      <c r="A114">
        <v>76</v>
      </c>
      <c r="B114" t="s">
        <v>823</v>
      </c>
      <c r="C114">
        <v>70.5</v>
      </c>
      <c r="D114">
        <v>71</v>
      </c>
      <c r="E114">
        <v>63</v>
      </c>
      <c r="F114">
        <v>65</v>
      </c>
      <c r="G114">
        <v>72.3</v>
      </c>
      <c r="H114">
        <v>66.2</v>
      </c>
      <c r="J114">
        <v>92</v>
      </c>
      <c r="K114" t="s">
        <v>823</v>
      </c>
      <c r="L114">
        <v>1.2</v>
      </c>
      <c r="M114">
        <v>1.7</v>
      </c>
      <c r="N114">
        <v>2</v>
      </c>
      <c r="O114">
        <v>1</v>
      </c>
      <c r="P114">
        <v>1.3</v>
      </c>
      <c r="Q114">
        <v>1.6</v>
      </c>
      <c r="S114">
        <v>56</v>
      </c>
      <c r="T114" t="s">
        <v>823</v>
      </c>
      <c r="U114">
        <v>5</v>
      </c>
      <c r="V114">
        <v>4</v>
      </c>
      <c r="W114">
        <v>4</v>
      </c>
      <c r="X114">
        <v>5</v>
      </c>
      <c r="Y114">
        <v>5</v>
      </c>
      <c r="Z114">
        <v>6.2</v>
      </c>
      <c r="AB114">
        <v>12</v>
      </c>
      <c r="AC114" t="s">
        <v>823</v>
      </c>
      <c r="AD114">
        <v>64</v>
      </c>
      <c r="AE114">
        <v>64.3</v>
      </c>
      <c r="AF114">
        <v>65</v>
      </c>
      <c r="AG114">
        <v>58</v>
      </c>
      <c r="AH114">
        <v>66</v>
      </c>
      <c r="AI114">
        <v>69.7</v>
      </c>
      <c r="AK114">
        <v>22</v>
      </c>
      <c r="AL114" t="s">
        <v>823</v>
      </c>
      <c r="AM114">
        <v>1</v>
      </c>
      <c r="AN114">
        <v>1.3</v>
      </c>
      <c r="AO114">
        <v>1</v>
      </c>
      <c r="AP114">
        <v>1</v>
      </c>
      <c r="AQ114">
        <v>1</v>
      </c>
      <c r="AR114">
        <v>1.8</v>
      </c>
      <c r="AT114">
        <v>45</v>
      </c>
      <c r="AU114" t="s">
        <v>823</v>
      </c>
      <c r="AV114">
        <v>4.2</v>
      </c>
      <c r="AW114">
        <v>4.7</v>
      </c>
      <c r="AX114">
        <v>8</v>
      </c>
      <c r="AY114">
        <v>3</v>
      </c>
      <c r="AZ114">
        <v>4.7</v>
      </c>
      <c r="BA114">
        <v>4</v>
      </c>
      <c r="BC114" s="95" t="s">
        <v>823</v>
      </c>
      <c r="BD114" s="13">
        <f t="shared" si="10"/>
        <v>70.5</v>
      </c>
      <c r="BE114" s="7">
        <f t="shared" si="11"/>
        <v>64</v>
      </c>
      <c r="BF114" s="7">
        <f t="shared" si="12"/>
        <v>1.2</v>
      </c>
      <c r="BG114" s="7">
        <f t="shared" si="13"/>
        <v>5</v>
      </c>
      <c r="BH114" s="7">
        <f t="shared" si="14"/>
        <v>1</v>
      </c>
      <c r="BI114" s="7">
        <f t="shared" si="15"/>
        <v>4.2</v>
      </c>
      <c r="BJ114" s="99">
        <f t="shared" si="16"/>
        <v>145.89999999999998</v>
      </c>
      <c r="BK114" s="81">
        <f t="shared" si="17"/>
        <v>0.48320767649074714</v>
      </c>
      <c r="BL114" s="73">
        <f t="shared" si="18"/>
        <v>0.43865661411925982</v>
      </c>
      <c r="BM114" s="79">
        <f t="shared" si="19"/>
        <v>7.813570938999316E-2</v>
      </c>
    </row>
    <row r="115" spans="1:65" x14ac:dyDescent="0.2">
      <c r="A115">
        <v>91</v>
      </c>
      <c r="B115" t="s">
        <v>826</v>
      </c>
      <c r="C115">
        <v>68.599999999999994</v>
      </c>
      <c r="D115">
        <v>67.3</v>
      </c>
      <c r="E115">
        <v>50</v>
      </c>
      <c r="F115">
        <v>76</v>
      </c>
      <c r="G115">
        <v>63.7</v>
      </c>
      <c r="H115">
        <v>71.900000000000006</v>
      </c>
      <c r="J115">
        <v>108</v>
      </c>
      <c r="K115" t="s">
        <v>826</v>
      </c>
      <c r="L115">
        <v>1</v>
      </c>
      <c r="M115">
        <v>1.3</v>
      </c>
      <c r="N115">
        <v>0</v>
      </c>
      <c r="O115">
        <v>2</v>
      </c>
      <c r="P115">
        <v>0.3</v>
      </c>
      <c r="Q115">
        <v>1.3</v>
      </c>
      <c r="S115">
        <v>34</v>
      </c>
      <c r="T115" t="s">
        <v>826</v>
      </c>
      <c r="U115">
        <v>5.8</v>
      </c>
      <c r="V115">
        <v>5.7</v>
      </c>
      <c r="W115">
        <v>9</v>
      </c>
      <c r="X115">
        <v>4</v>
      </c>
      <c r="Y115">
        <v>7</v>
      </c>
      <c r="Z115">
        <v>4.5999999999999996</v>
      </c>
      <c r="AB115">
        <v>69</v>
      </c>
      <c r="AC115" t="s">
        <v>826</v>
      </c>
      <c r="AD115">
        <v>73</v>
      </c>
      <c r="AE115">
        <v>77.3</v>
      </c>
      <c r="AF115">
        <v>89</v>
      </c>
      <c r="AG115">
        <v>71.5</v>
      </c>
      <c r="AH115">
        <v>74</v>
      </c>
      <c r="AI115">
        <v>71</v>
      </c>
      <c r="AK115">
        <v>30</v>
      </c>
      <c r="AL115" t="s">
        <v>826</v>
      </c>
      <c r="AM115">
        <v>1.2</v>
      </c>
      <c r="AN115">
        <v>1</v>
      </c>
      <c r="AO115">
        <v>3</v>
      </c>
      <c r="AP115">
        <v>0</v>
      </c>
      <c r="AQ115">
        <v>2</v>
      </c>
      <c r="AR115">
        <v>1.4</v>
      </c>
      <c r="AT115">
        <v>5</v>
      </c>
      <c r="AU115" t="s">
        <v>826</v>
      </c>
      <c r="AV115">
        <v>2.8</v>
      </c>
      <c r="AW115">
        <v>3</v>
      </c>
      <c r="AX115">
        <v>3</v>
      </c>
      <c r="AY115">
        <v>3</v>
      </c>
      <c r="AZ115">
        <v>2.7</v>
      </c>
      <c r="BA115">
        <v>3.2</v>
      </c>
      <c r="BC115" s="95" t="s">
        <v>826</v>
      </c>
      <c r="BD115" s="13">
        <f t="shared" si="10"/>
        <v>68.599999999999994</v>
      </c>
      <c r="BE115" s="7">
        <f t="shared" si="11"/>
        <v>73</v>
      </c>
      <c r="BF115" s="7">
        <f t="shared" si="12"/>
        <v>1</v>
      </c>
      <c r="BG115" s="7">
        <f t="shared" si="13"/>
        <v>5.8</v>
      </c>
      <c r="BH115" s="7">
        <f t="shared" si="14"/>
        <v>1.2</v>
      </c>
      <c r="BI115" s="7">
        <f t="shared" si="15"/>
        <v>2.8</v>
      </c>
      <c r="BJ115" s="99">
        <f t="shared" si="16"/>
        <v>152.4</v>
      </c>
      <c r="BK115" s="81">
        <f t="shared" si="17"/>
        <v>0.45013123359580048</v>
      </c>
      <c r="BL115" s="73">
        <f t="shared" si="18"/>
        <v>0.47900262467191601</v>
      </c>
      <c r="BM115" s="79">
        <f t="shared" si="19"/>
        <v>7.0866141732283464E-2</v>
      </c>
    </row>
    <row r="116" spans="1:65" x14ac:dyDescent="0.2">
      <c r="A116">
        <v>104</v>
      </c>
      <c r="B116" t="s">
        <v>398</v>
      </c>
      <c r="C116">
        <v>66.8</v>
      </c>
      <c r="D116">
        <v>69.7</v>
      </c>
      <c r="E116">
        <v>62</v>
      </c>
      <c r="F116">
        <v>68</v>
      </c>
      <c r="G116">
        <v>65.5</v>
      </c>
      <c r="H116">
        <v>69.2</v>
      </c>
      <c r="J116">
        <v>75</v>
      </c>
      <c r="K116" t="s">
        <v>398</v>
      </c>
      <c r="L116">
        <v>1.5</v>
      </c>
      <c r="M116">
        <v>1</v>
      </c>
      <c r="N116">
        <v>0</v>
      </c>
      <c r="O116">
        <v>0.5</v>
      </c>
      <c r="P116">
        <v>2.5</v>
      </c>
      <c r="Q116">
        <v>1.8</v>
      </c>
      <c r="S116">
        <v>115</v>
      </c>
      <c r="T116" t="s">
        <v>398</v>
      </c>
      <c r="U116">
        <v>3.5</v>
      </c>
      <c r="V116">
        <v>2.7</v>
      </c>
      <c r="W116">
        <v>5</v>
      </c>
      <c r="X116">
        <v>3</v>
      </c>
      <c r="Y116">
        <v>4</v>
      </c>
      <c r="Z116">
        <v>4.3</v>
      </c>
      <c r="AB116">
        <v>17</v>
      </c>
      <c r="AC116" t="s">
        <v>398</v>
      </c>
      <c r="AD116">
        <v>65.5</v>
      </c>
      <c r="AE116">
        <v>61.3</v>
      </c>
      <c r="AF116">
        <v>77</v>
      </c>
      <c r="AG116">
        <v>64.5</v>
      </c>
      <c r="AH116">
        <v>66.5</v>
      </c>
      <c r="AI116">
        <v>66.5</v>
      </c>
      <c r="AK116">
        <v>23</v>
      </c>
      <c r="AL116" t="s">
        <v>398</v>
      </c>
      <c r="AM116">
        <v>1</v>
      </c>
      <c r="AN116">
        <v>1</v>
      </c>
      <c r="AO116">
        <v>0</v>
      </c>
      <c r="AP116">
        <v>0.5</v>
      </c>
      <c r="AQ116">
        <v>1.5</v>
      </c>
      <c r="AR116">
        <v>1.5</v>
      </c>
      <c r="AT116">
        <v>105</v>
      </c>
      <c r="AU116" t="s">
        <v>398</v>
      </c>
      <c r="AV116">
        <v>6</v>
      </c>
      <c r="AW116">
        <v>5</v>
      </c>
      <c r="AX116">
        <v>5</v>
      </c>
      <c r="AY116">
        <v>5.5</v>
      </c>
      <c r="AZ116">
        <v>6.5</v>
      </c>
      <c r="BA116">
        <v>5.5</v>
      </c>
      <c r="BC116" s="95" t="s">
        <v>398</v>
      </c>
      <c r="BD116" s="13">
        <f t="shared" si="10"/>
        <v>66.8</v>
      </c>
      <c r="BE116" s="7">
        <f t="shared" si="11"/>
        <v>65.5</v>
      </c>
      <c r="BF116" s="7">
        <f t="shared" si="12"/>
        <v>1.5</v>
      </c>
      <c r="BG116" s="7">
        <f t="shared" si="13"/>
        <v>3.5</v>
      </c>
      <c r="BH116" s="7">
        <f t="shared" si="14"/>
        <v>1</v>
      </c>
      <c r="BI116" s="7">
        <f t="shared" si="15"/>
        <v>6</v>
      </c>
      <c r="BJ116" s="99">
        <f t="shared" si="16"/>
        <v>144.30000000000001</v>
      </c>
      <c r="BK116" s="81">
        <f t="shared" si="17"/>
        <v>0.46292446292446288</v>
      </c>
      <c r="BL116" s="73">
        <f t="shared" si="18"/>
        <v>0.4539154539154539</v>
      </c>
      <c r="BM116" s="79">
        <f t="shared" si="19"/>
        <v>8.3160083160083151E-2</v>
      </c>
    </row>
    <row r="117" spans="1:65" x14ac:dyDescent="0.2">
      <c r="A117">
        <v>31</v>
      </c>
      <c r="B117" t="s">
        <v>405</v>
      </c>
      <c r="C117">
        <v>75.8</v>
      </c>
      <c r="D117">
        <v>85</v>
      </c>
      <c r="E117">
        <v>92</v>
      </c>
      <c r="F117">
        <v>76.3</v>
      </c>
      <c r="G117">
        <v>75.3</v>
      </c>
      <c r="H117">
        <v>73.8</v>
      </c>
      <c r="J117">
        <v>104</v>
      </c>
      <c r="K117" t="s">
        <v>405</v>
      </c>
      <c r="L117">
        <v>1</v>
      </c>
      <c r="M117">
        <v>1.3</v>
      </c>
      <c r="N117">
        <v>1</v>
      </c>
      <c r="O117">
        <v>1</v>
      </c>
      <c r="P117">
        <v>1</v>
      </c>
      <c r="Q117">
        <v>1.6</v>
      </c>
      <c r="S117">
        <v>100</v>
      </c>
      <c r="T117" t="s">
        <v>405</v>
      </c>
      <c r="U117">
        <v>4.2</v>
      </c>
      <c r="V117">
        <v>3.3</v>
      </c>
      <c r="W117">
        <v>1</v>
      </c>
      <c r="X117">
        <v>3.7</v>
      </c>
      <c r="Y117">
        <v>4.7</v>
      </c>
      <c r="Z117">
        <v>4.9000000000000004</v>
      </c>
      <c r="AB117">
        <v>73</v>
      </c>
      <c r="AC117" t="s">
        <v>405</v>
      </c>
      <c r="AD117">
        <v>73.3</v>
      </c>
      <c r="AE117">
        <v>73</v>
      </c>
      <c r="AF117">
        <v>59</v>
      </c>
      <c r="AG117">
        <v>68</v>
      </c>
      <c r="AH117">
        <v>78.7</v>
      </c>
      <c r="AI117">
        <v>75</v>
      </c>
      <c r="AK117">
        <v>96</v>
      </c>
      <c r="AL117" t="s">
        <v>405</v>
      </c>
      <c r="AM117">
        <v>1.8</v>
      </c>
      <c r="AN117">
        <v>1</v>
      </c>
      <c r="AO117">
        <v>0</v>
      </c>
      <c r="AP117">
        <v>2</v>
      </c>
      <c r="AQ117">
        <v>1.7</v>
      </c>
      <c r="AR117">
        <v>1.5</v>
      </c>
      <c r="AT117">
        <v>15</v>
      </c>
      <c r="AU117" t="s">
        <v>405</v>
      </c>
      <c r="AV117">
        <v>3.3</v>
      </c>
      <c r="AW117">
        <v>3</v>
      </c>
      <c r="AX117">
        <v>3</v>
      </c>
      <c r="AY117">
        <v>3.3</v>
      </c>
      <c r="AZ117">
        <v>3.3</v>
      </c>
      <c r="BA117">
        <v>4.0999999999999996</v>
      </c>
      <c r="BC117" s="95" t="s">
        <v>405</v>
      </c>
      <c r="BD117" s="13">
        <f t="shared" si="10"/>
        <v>75.8</v>
      </c>
      <c r="BE117" s="7">
        <f t="shared" si="11"/>
        <v>73.3</v>
      </c>
      <c r="BF117" s="7">
        <f t="shared" si="12"/>
        <v>1</v>
      </c>
      <c r="BG117" s="7">
        <f t="shared" si="13"/>
        <v>4.2</v>
      </c>
      <c r="BH117" s="7">
        <f t="shared" si="14"/>
        <v>1.8</v>
      </c>
      <c r="BI117" s="7">
        <f t="shared" si="15"/>
        <v>3.3</v>
      </c>
      <c r="BJ117" s="99">
        <f t="shared" si="16"/>
        <v>159.4</v>
      </c>
      <c r="BK117" s="81">
        <f t="shared" si="17"/>
        <v>0.47553324968632366</v>
      </c>
      <c r="BL117" s="73">
        <f t="shared" si="18"/>
        <v>0.45984943538268502</v>
      </c>
      <c r="BM117" s="79">
        <f t="shared" si="19"/>
        <v>6.4617314930991224E-2</v>
      </c>
    </row>
    <row r="118" spans="1:65" x14ac:dyDescent="0.2">
      <c r="A118">
        <v>21</v>
      </c>
      <c r="B118" t="s">
        <v>417</v>
      </c>
      <c r="C118">
        <v>77.8</v>
      </c>
      <c r="D118">
        <v>79</v>
      </c>
      <c r="E118">
        <v>91</v>
      </c>
      <c r="F118">
        <v>82.5</v>
      </c>
      <c r="G118">
        <v>73</v>
      </c>
      <c r="H118">
        <v>76.099999999999994</v>
      </c>
      <c r="J118">
        <v>124</v>
      </c>
      <c r="K118" t="s">
        <v>417</v>
      </c>
      <c r="L118">
        <v>0.8</v>
      </c>
      <c r="M118">
        <v>0.7</v>
      </c>
      <c r="N118">
        <v>0</v>
      </c>
      <c r="O118">
        <v>0.5</v>
      </c>
      <c r="P118">
        <v>1</v>
      </c>
      <c r="Q118">
        <v>0.7</v>
      </c>
      <c r="S118">
        <v>2</v>
      </c>
      <c r="T118" t="s">
        <v>417</v>
      </c>
      <c r="U118">
        <v>7.5</v>
      </c>
      <c r="V118">
        <v>7.7</v>
      </c>
      <c r="W118">
        <v>10</v>
      </c>
      <c r="X118">
        <v>8.5</v>
      </c>
      <c r="Y118">
        <v>6.5</v>
      </c>
      <c r="Z118">
        <v>5.6</v>
      </c>
      <c r="AB118">
        <v>52</v>
      </c>
      <c r="AC118" t="s">
        <v>417</v>
      </c>
      <c r="AD118">
        <v>70.5</v>
      </c>
      <c r="AE118">
        <v>67.3</v>
      </c>
      <c r="AF118">
        <v>65</v>
      </c>
      <c r="AG118">
        <v>72.5</v>
      </c>
      <c r="AH118">
        <v>68.5</v>
      </c>
      <c r="AI118">
        <v>71.5</v>
      </c>
      <c r="AK118">
        <v>113</v>
      </c>
      <c r="AL118" t="s">
        <v>417</v>
      </c>
      <c r="AM118">
        <v>2.2000000000000002</v>
      </c>
      <c r="AN118">
        <v>2</v>
      </c>
      <c r="AO118">
        <v>1</v>
      </c>
      <c r="AP118">
        <v>2</v>
      </c>
      <c r="AQ118">
        <v>2.5</v>
      </c>
      <c r="AR118">
        <v>2.2999999999999998</v>
      </c>
      <c r="AT118">
        <v>85</v>
      </c>
      <c r="AU118" t="s">
        <v>417</v>
      </c>
      <c r="AV118">
        <v>5.2</v>
      </c>
      <c r="AW118">
        <v>5.7</v>
      </c>
      <c r="AX118">
        <v>8</v>
      </c>
      <c r="AY118">
        <v>6</v>
      </c>
      <c r="AZ118">
        <v>4.5</v>
      </c>
      <c r="BA118">
        <v>4</v>
      </c>
      <c r="BC118" s="95" t="s">
        <v>417</v>
      </c>
      <c r="BD118" s="13">
        <f t="shared" si="10"/>
        <v>77.8</v>
      </c>
      <c r="BE118" s="7">
        <f t="shared" si="11"/>
        <v>70.5</v>
      </c>
      <c r="BF118" s="7">
        <f t="shared" si="12"/>
        <v>0.8</v>
      </c>
      <c r="BG118" s="7">
        <f t="shared" si="13"/>
        <v>7.5</v>
      </c>
      <c r="BH118" s="7">
        <f t="shared" si="14"/>
        <v>2.2000000000000002</v>
      </c>
      <c r="BI118" s="7">
        <f t="shared" si="15"/>
        <v>5.2</v>
      </c>
      <c r="BJ118" s="99">
        <f t="shared" si="16"/>
        <v>164</v>
      </c>
      <c r="BK118" s="81">
        <f t="shared" si="17"/>
        <v>0.474390243902439</v>
      </c>
      <c r="BL118" s="73">
        <f t="shared" si="18"/>
        <v>0.4298780487804878</v>
      </c>
      <c r="BM118" s="79">
        <f t="shared" si="19"/>
        <v>9.5731707317073172E-2</v>
      </c>
    </row>
    <row r="119" spans="1:65" x14ac:dyDescent="0.2">
      <c r="A119">
        <v>92</v>
      </c>
      <c r="B119" t="s">
        <v>420</v>
      </c>
      <c r="C119">
        <v>68.599999999999994</v>
      </c>
      <c r="D119">
        <v>67.3</v>
      </c>
      <c r="E119">
        <v>66</v>
      </c>
      <c r="F119">
        <v>65.3</v>
      </c>
      <c r="G119">
        <v>73.5</v>
      </c>
      <c r="H119">
        <v>68.2</v>
      </c>
      <c r="J119">
        <v>121</v>
      </c>
      <c r="K119" t="s">
        <v>420</v>
      </c>
      <c r="L119">
        <v>0.8</v>
      </c>
      <c r="M119">
        <v>0.7</v>
      </c>
      <c r="N119">
        <v>0</v>
      </c>
      <c r="O119">
        <v>0.7</v>
      </c>
      <c r="P119">
        <v>1</v>
      </c>
      <c r="Q119">
        <v>1.4</v>
      </c>
      <c r="S119">
        <v>110</v>
      </c>
      <c r="T119" t="s">
        <v>420</v>
      </c>
      <c r="U119">
        <v>3.8</v>
      </c>
      <c r="V119">
        <v>4.7</v>
      </c>
      <c r="W119">
        <v>6</v>
      </c>
      <c r="X119">
        <v>3</v>
      </c>
      <c r="Y119">
        <v>5</v>
      </c>
      <c r="Z119">
        <v>5.5</v>
      </c>
      <c r="AB119">
        <v>81</v>
      </c>
      <c r="AC119" t="s">
        <v>420</v>
      </c>
      <c r="AD119">
        <v>74</v>
      </c>
      <c r="AE119">
        <v>73</v>
      </c>
      <c r="AF119">
        <v>61</v>
      </c>
      <c r="AG119">
        <v>77.3</v>
      </c>
      <c r="AH119">
        <v>69</v>
      </c>
      <c r="AI119">
        <v>74.3</v>
      </c>
      <c r="AK119">
        <v>130</v>
      </c>
      <c r="AL119" t="s">
        <v>420</v>
      </c>
      <c r="AM119">
        <v>3.4</v>
      </c>
      <c r="AN119">
        <v>3.3</v>
      </c>
      <c r="AO119">
        <v>2</v>
      </c>
      <c r="AP119">
        <v>3.7</v>
      </c>
      <c r="AQ119">
        <v>3</v>
      </c>
      <c r="AR119">
        <v>1.3</v>
      </c>
      <c r="AT119">
        <v>21</v>
      </c>
      <c r="AU119" t="s">
        <v>420</v>
      </c>
      <c r="AV119">
        <v>3.6</v>
      </c>
      <c r="AW119">
        <v>4</v>
      </c>
      <c r="AX119">
        <v>6</v>
      </c>
      <c r="AY119">
        <v>2.7</v>
      </c>
      <c r="AZ119">
        <v>5</v>
      </c>
      <c r="BA119">
        <v>5.8</v>
      </c>
      <c r="BC119" s="95" t="s">
        <v>420</v>
      </c>
      <c r="BD119" s="13">
        <f t="shared" si="10"/>
        <v>68.599999999999994</v>
      </c>
      <c r="BE119" s="7">
        <f t="shared" si="11"/>
        <v>74</v>
      </c>
      <c r="BF119" s="7">
        <f t="shared" si="12"/>
        <v>0.8</v>
      </c>
      <c r="BG119" s="7">
        <f t="shared" si="13"/>
        <v>3.8</v>
      </c>
      <c r="BH119" s="7">
        <f t="shared" si="14"/>
        <v>3.4</v>
      </c>
      <c r="BI119" s="7">
        <f t="shared" si="15"/>
        <v>3.6</v>
      </c>
      <c r="BJ119" s="99">
        <f t="shared" si="16"/>
        <v>154.20000000000002</v>
      </c>
      <c r="BK119" s="81">
        <f t="shared" si="17"/>
        <v>0.44487678339818409</v>
      </c>
      <c r="BL119" s="73">
        <f t="shared" si="18"/>
        <v>0.47989623865110242</v>
      </c>
      <c r="BM119" s="79">
        <f t="shared" si="19"/>
        <v>7.5226977950713342E-2</v>
      </c>
    </row>
    <row r="120" spans="1:65" x14ac:dyDescent="0.2">
      <c r="A120">
        <v>93</v>
      </c>
      <c r="B120" t="s">
        <v>97</v>
      </c>
      <c r="C120">
        <v>68.5</v>
      </c>
      <c r="D120">
        <v>70</v>
      </c>
      <c r="E120">
        <v>73</v>
      </c>
      <c r="F120">
        <v>64.5</v>
      </c>
      <c r="G120">
        <v>72.5</v>
      </c>
      <c r="H120">
        <v>70.8</v>
      </c>
      <c r="J120">
        <v>46</v>
      </c>
      <c r="K120" t="s">
        <v>97</v>
      </c>
      <c r="L120">
        <v>1.8</v>
      </c>
      <c r="M120">
        <v>1.7</v>
      </c>
      <c r="N120">
        <v>1</v>
      </c>
      <c r="O120">
        <v>0.5</v>
      </c>
      <c r="P120">
        <v>3</v>
      </c>
      <c r="Q120">
        <v>2.2000000000000002</v>
      </c>
      <c r="S120">
        <v>128</v>
      </c>
      <c r="T120" t="s">
        <v>97</v>
      </c>
      <c r="U120">
        <v>2.2000000000000002</v>
      </c>
      <c r="V120">
        <v>2.2999999999999998</v>
      </c>
      <c r="W120">
        <v>1</v>
      </c>
      <c r="X120">
        <v>2.5</v>
      </c>
      <c r="Y120">
        <v>2</v>
      </c>
      <c r="Z120">
        <v>4.5</v>
      </c>
      <c r="AB120">
        <v>3</v>
      </c>
      <c r="AC120" t="s">
        <v>97</v>
      </c>
      <c r="AD120">
        <v>58.8</v>
      </c>
      <c r="AE120">
        <v>59.7</v>
      </c>
      <c r="AF120">
        <v>64</v>
      </c>
      <c r="AG120">
        <v>62</v>
      </c>
      <c r="AH120">
        <v>55.5</v>
      </c>
      <c r="AI120">
        <v>71.7</v>
      </c>
      <c r="AK120">
        <v>39</v>
      </c>
      <c r="AL120" t="s">
        <v>97</v>
      </c>
      <c r="AM120">
        <v>1.2</v>
      </c>
      <c r="AN120">
        <v>1</v>
      </c>
      <c r="AO120">
        <v>2</v>
      </c>
      <c r="AP120">
        <v>1.5</v>
      </c>
      <c r="AQ120">
        <v>1</v>
      </c>
      <c r="AR120">
        <v>1.2</v>
      </c>
      <c r="AT120">
        <v>26</v>
      </c>
      <c r="AU120" t="s">
        <v>97</v>
      </c>
      <c r="AV120">
        <v>3.8</v>
      </c>
      <c r="AW120">
        <v>4</v>
      </c>
      <c r="AX120">
        <v>2</v>
      </c>
      <c r="AY120">
        <v>4</v>
      </c>
      <c r="AZ120">
        <v>3.5</v>
      </c>
      <c r="BA120">
        <v>5.5</v>
      </c>
      <c r="BC120" s="95" t="s">
        <v>97</v>
      </c>
      <c r="BD120" s="13">
        <f t="shared" si="10"/>
        <v>68.5</v>
      </c>
      <c r="BE120" s="7">
        <f t="shared" si="11"/>
        <v>58.8</v>
      </c>
      <c r="BF120" s="7">
        <f t="shared" si="12"/>
        <v>1.8</v>
      </c>
      <c r="BG120" s="7">
        <f t="shared" si="13"/>
        <v>2.2000000000000002</v>
      </c>
      <c r="BH120" s="7">
        <f t="shared" si="14"/>
        <v>1.2</v>
      </c>
      <c r="BI120" s="7">
        <f t="shared" si="15"/>
        <v>3.8</v>
      </c>
      <c r="BJ120" s="99">
        <f t="shared" si="16"/>
        <v>136.29999999999998</v>
      </c>
      <c r="BK120" s="81">
        <f t="shared" si="17"/>
        <v>0.50256786500366846</v>
      </c>
      <c r="BL120" s="73">
        <f t="shared" si="18"/>
        <v>0.43140132061628761</v>
      </c>
      <c r="BM120" s="79">
        <f t="shared" si="19"/>
        <v>6.6030814380044031E-2</v>
      </c>
    </row>
    <row r="121" spans="1:65" x14ac:dyDescent="0.2">
      <c r="A121">
        <v>43</v>
      </c>
      <c r="B121" t="s">
        <v>430</v>
      </c>
      <c r="C121">
        <v>74</v>
      </c>
      <c r="D121">
        <v>72</v>
      </c>
      <c r="E121">
        <v>54</v>
      </c>
      <c r="F121">
        <v>88</v>
      </c>
      <c r="G121">
        <v>69.3</v>
      </c>
      <c r="H121">
        <v>73</v>
      </c>
      <c r="J121">
        <v>27</v>
      </c>
      <c r="K121" t="s">
        <v>430</v>
      </c>
      <c r="L121">
        <v>2</v>
      </c>
      <c r="M121">
        <v>2.7</v>
      </c>
      <c r="N121">
        <v>2</v>
      </c>
      <c r="O121">
        <v>2</v>
      </c>
      <c r="P121">
        <v>2</v>
      </c>
      <c r="Q121">
        <v>2.2000000000000002</v>
      </c>
      <c r="S121">
        <v>29</v>
      </c>
      <c r="T121" t="s">
        <v>430</v>
      </c>
      <c r="U121">
        <v>6</v>
      </c>
      <c r="V121">
        <v>5.7</v>
      </c>
      <c r="W121">
        <v>7</v>
      </c>
      <c r="X121">
        <v>6</v>
      </c>
      <c r="Y121">
        <v>6</v>
      </c>
      <c r="Z121">
        <v>4.5</v>
      </c>
      <c r="AB121">
        <v>130</v>
      </c>
      <c r="AC121" t="s">
        <v>430</v>
      </c>
      <c r="AD121">
        <v>88.2</v>
      </c>
      <c r="AE121">
        <v>81.7</v>
      </c>
      <c r="AF121">
        <v>92</v>
      </c>
      <c r="AG121">
        <v>66</v>
      </c>
      <c r="AH121">
        <v>95.7</v>
      </c>
      <c r="AI121">
        <v>79.099999999999994</v>
      </c>
      <c r="AK121">
        <v>41</v>
      </c>
      <c r="AL121" t="s">
        <v>430</v>
      </c>
      <c r="AM121">
        <v>1.2</v>
      </c>
      <c r="AN121">
        <v>1.3</v>
      </c>
      <c r="AO121">
        <v>1</v>
      </c>
      <c r="AP121">
        <v>2</v>
      </c>
      <c r="AQ121">
        <v>1</v>
      </c>
      <c r="AR121">
        <v>1.7</v>
      </c>
      <c r="AT121">
        <v>63</v>
      </c>
      <c r="AU121" t="s">
        <v>430</v>
      </c>
      <c r="AV121">
        <v>4.8</v>
      </c>
      <c r="AW121">
        <v>4.7</v>
      </c>
      <c r="AX121">
        <v>2</v>
      </c>
      <c r="AY121">
        <v>8</v>
      </c>
      <c r="AZ121">
        <v>3.7</v>
      </c>
      <c r="BA121">
        <v>5.8</v>
      </c>
      <c r="BC121" s="95" t="s">
        <v>430</v>
      </c>
      <c r="BD121" s="13">
        <f t="shared" si="10"/>
        <v>74</v>
      </c>
      <c r="BE121" s="7">
        <f t="shared" si="11"/>
        <v>88.2</v>
      </c>
      <c r="BF121" s="7">
        <f t="shared" si="12"/>
        <v>2</v>
      </c>
      <c r="BG121" s="7">
        <f t="shared" si="13"/>
        <v>6</v>
      </c>
      <c r="BH121" s="7">
        <f t="shared" si="14"/>
        <v>1.2</v>
      </c>
      <c r="BI121" s="7">
        <f t="shared" si="15"/>
        <v>4.8</v>
      </c>
      <c r="BJ121" s="99">
        <f t="shared" si="16"/>
        <v>176.2</v>
      </c>
      <c r="BK121" s="81">
        <f t="shared" si="17"/>
        <v>0.41997729852440413</v>
      </c>
      <c r="BL121" s="73">
        <f t="shared" si="18"/>
        <v>0.50056753688989786</v>
      </c>
      <c r="BM121" s="79">
        <f t="shared" si="19"/>
        <v>7.9455164585698082E-2</v>
      </c>
    </row>
    <row r="122" spans="1:65" x14ac:dyDescent="0.2">
      <c r="A122">
        <v>59</v>
      </c>
      <c r="B122" t="s">
        <v>815</v>
      </c>
      <c r="C122">
        <v>72</v>
      </c>
      <c r="D122">
        <v>65.7</v>
      </c>
      <c r="E122">
        <v>65</v>
      </c>
      <c r="F122">
        <v>66</v>
      </c>
      <c r="G122">
        <v>78</v>
      </c>
      <c r="H122">
        <v>75.3</v>
      </c>
      <c r="J122">
        <v>123</v>
      </c>
      <c r="K122" t="s">
        <v>815</v>
      </c>
      <c r="L122">
        <v>0.8</v>
      </c>
      <c r="M122">
        <v>1</v>
      </c>
      <c r="N122">
        <v>0</v>
      </c>
      <c r="O122">
        <v>1.5</v>
      </c>
      <c r="P122">
        <v>0</v>
      </c>
      <c r="Q122">
        <v>1.4</v>
      </c>
      <c r="S122">
        <v>48</v>
      </c>
      <c r="T122" t="s">
        <v>815</v>
      </c>
      <c r="U122">
        <v>5.2</v>
      </c>
      <c r="V122">
        <v>5</v>
      </c>
      <c r="W122">
        <v>7</v>
      </c>
      <c r="X122">
        <v>4</v>
      </c>
      <c r="Y122">
        <v>6.5</v>
      </c>
      <c r="Z122">
        <v>5.8</v>
      </c>
      <c r="AB122">
        <v>98</v>
      </c>
      <c r="AC122" t="s">
        <v>815</v>
      </c>
      <c r="AD122">
        <v>76</v>
      </c>
      <c r="AE122">
        <v>76</v>
      </c>
      <c r="AF122">
        <v>82</v>
      </c>
      <c r="AG122">
        <v>73</v>
      </c>
      <c r="AH122">
        <v>79</v>
      </c>
      <c r="AI122">
        <v>71.3</v>
      </c>
      <c r="AK122">
        <v>9</v>
      </c>
      <c r="AL122" t="s">
        <v>815</v>
      </c>
      <c r="AM122">
        <v>0.8</v>
      </c>
      <c r="AN122">
        <v>0.7</v>
      </c>
      <c r="AO122">
        <v>0</v>
      </c>
      <c r="AP122">
        <v>1</v>
      </c>
      <c r="AQ122">
        <v>0.5</v>
      </c>
      <c r="AR122">
        <v>1.2</v>
      </c>
      <c r="AT122">
        <v>54</v>
      </c>
      <c r="AU122" t="s">
        <v>815</v>
      </c>
      <c r="AV122">
        <v>4.5</v>
      </c>
      <c r="AW122">
        <v>4</v>
      </c>
      <c r="AX122">
        <v>3</v>
      </c>
      <c r="AY122">
        <v>4.5</v>
      </c>
      <c r="AZ122">
        <v>4.5</v>
      </c>
      <c r="BA122">
        <v>4.7</v>
      </c>
      <c r="BC122" s="95" t="s">
        <v>815</v>
      </c>
      <c r="BD122" s="13">
        <f t="shared" si="10"/>
        <v>72</v>
      </c>
      <c r="BE122" s="7">
        <f t="shared" si="11"/>
        <v>76</v>
      </c>
      <c r="BF122" s="7">
        <f t="shared" si="12"/>
        <v>0.8</v>
      </c>
      <c r="BG122" s="7">
        <f t="shared" si="13"/>
        <v>5.2</v>
      </c>
      <c r="BH122" s="7">
        <f t="shared" si="14"/>
        <v>0.8</v>
      </c>
      <c r="BI122" s="7">
        <f t="shared" si="15"/>
        <v>4.5</v>
      </c>
      <c r="BJ122" s="99">
        <f t="shared" si="16"/>
        <v>159.30000000000001</v>
      </c>
      <c r="BK122" s="81">
        <f t="shared" si="17"/>
        <v>0.45197740112994345</v>
      </c>
      <c r="BL122" s="73">
        <f t="shared" si="18"/>
        <v>0.47708725674827368</v>
      </c>
      <c r="BM122" s="79">
        <f t="shared" si="19"/>
        <v>7.0935342121782805E-2</v>
      </c>
    </row>
    <row r="123" spans="1:65" x14ac:dyDescent="0.2">
      <c r="A123">
        <v>87</v>
      </c>
      <c r="B123" t="s">
        <v>433</v>
      </c>
      <c r="C123">
        <v>69.400000000000006</v>
      </c>
      <c r="D123">
        <v>68.3</v>
      </c>
      <c r="E123">
        <v>76</v>
      </c>
      <c r="F123">
        <v>64.3</v>
      </c>
      <c r="G123">
        <v>77</v>
      </c>
      <c r="H123">
        <v>67.2</v>
      </c>
      <c r="J123">
        <v>80</v>
      </c>
      <c r="K123" t="s">
        <v>433</v>
      </c>
      <c r="L123">
        <v>1.4</v>
      </c>
      <c r="M123">
        <v>1.3</v>
      </c>
      <c r="N123">
        <v>2</v>
      </c>
      <c r="O123">
        <v>1.3</v>
      </c>
      <c r="P123">
        <v>1.5</v>
      </c>
      <c r="Q123">
        <v>1.6</v>
      </c>
      <c r="S123">
        <v>4</v>
      </c>
      <c r="T123" t="s">
        <v>433</v>
      </c>
      <c r="U123">
        <v>7.4</v>
      </c>
      <c r="V123">
        <v>8</v>
      </c>
      <c r="W123">
        <v>11</v>
      </c>
      <c r="X123">
        <v>6.7</v>
      </c>
      <c r="Y123">
        <v>8.5</v>
      </c>
      <c r="Z123">
        <v>4.2</v>
      </c>
      <c r="AB123">
        <v>34</v>
      </c>
      <c r="AC123" t="s">
        <v>433</v>
      </c>
      <c r="AD123">
        <v>67.8</v>
      </c>
      <c r="AE123">
        <v>69</v>
      </c>
      <c r="AF123">
        <v>65</v>
      </c>
      <c r="AG123">
        <v>68.3</v>
      </c>
      <c r="AH123">
        <v>67</v>
      </c>
      <c r="AI123">
        <v>73.7</v>
      </c>
      <c r="AK123">
        <v>57</v>
      </c>
      <c r="AL123" t="s">
        <v>433</v>
      </c>
      <c r="AM123">
        <v>1.4</v>
      </c>
      <c r="AN123">
        <v>1</v>
      </c>
      <c r="AO123">
        <v>1</v>
      </c>
      <c r="AP123">
        <v>1.7</v>
      </c>
      <c r="AQ123">
        <v>1</v>
      </c>
      <c r="AR123">
        <v>2.2000000000000002</v>
      </c>
      <c r="AT123">
        <v>83</v>
      </c>
      <c r="AU123" t="s">
        <v>433</v>
      </c>
      <c r="AV123">
        <v>5.2</v>
      </c>
      <c r="AW123">
        <v>6.3</v>
      </c>
      <c r="AX123">
        <v>6</v>
      </c>
      <c r="AY123">
        <v>5</v>
      </c>
      <c r="AZ123">
        <v>5.5</v>
      </c>
      <c r="BA123">
        <v>3.7</v>
      </c>
      <c r="BC123" s="95" t="s">
        <v>433</v>
      </c>
      <c r="BD123" s="13">
        <f t="shared" si="10"/>
        <v>69.400000000000006</v>
      </c>
      <c r="BE123" s="7">
        <f t="shared" si="11"/>
        <v>67.8</v>
      </c>
      <c r="BF123" s="7">
        <f t="shared" si="12"/>
        <v>1.4</v>
      </c>
      <c r="BG123" s="7">
        <f t="shared" si="13"/>
        <v>7.4</v>
      </c>
      <c r="BH123" s="7">
        <f t="shared" si="14"/>
        <v>1.4</v>
      </c>
      <c r="BI123" s="7">
        <f t="shared" si="15"/>
        <v>5.2</v>
      </c>
      <c r="BJ123" s="99">
        <f t="shared" si="16"/>
        <v>152.6</v>
      </c>
      <c r="BK123" s="81">
        <f t="shared" si="17"/>
        <v>0.45478374836173008</v>
      </c>
      <c r="BL123" s="73">
        <f t="shared" si="18"/>
        <v>0.44429882044560942</v>
      </c>
      <c r="BM123" s="79">
        <f t="shared" si="19"/>
        <v>0.10091743119266057</v>
      </c>
    </row>
    <row r="124" spans="1:65" x14ac:dyDescent="0.2">
      <c r="A124">
        <v>82</v>
      </c>
      <c r="B124" t="s">
        <v>204</v>
      </c>
      <c r="C124">
        <v>69.8</v>
      </c>
      <c r="D124">
        <v>69.7</v>
      </c>
      <c r="E124">
        <v>80</v>
      </c>
      <c r="F124">
        <v>64.5</v>
      </c>
      <c r="G124">
        <v>75</v>
      </c>
      <c r="H124">
        <v>67.599999999999994</v>
      </c>
      <c r="J124">
        <v>20</v>
      </c>
      <c r="K124" t="s">
        <v>204</v>
      </c>
      <c r="L124">
        <v>2</v>
      </c>
      <c r="M124">
        <v>1.3</v>
      </c>
      <c r="N124">
        <v>2</v>
      </c>
      <c r="O124">
        <v>1</v>
      </c>
      <c r="P124">
        <v>3</v>
      </c>
      <c r="Q124">
        <v>1.8</v>
      </c>
      <c r="S124">
        <v>75</v>
      </c>
      <c r="T124" t="s">
        <v>204</v>
      </c>
      <c r="U124">
        <v>4.5</v>
      </c>
      <c r="V124">
        <v>4.7</v>
      </c>
      <c r="W124">
        <v>4</v>
      </c>
      <c r="X124">
        <v>5</v>
      </c>
      <c r="Y124">
        <v>4</v>
      </c>
      <c r="Z124">
        <v>3.9</v>
      </c>
      <c r="AB124">
        <v>56</v>
      </c>
      <c r="AC124" t="s">
        <v>204</v>
      </c>
      <c r="AD124">
        <v>71</v>
      </c>
      <c r="AE124">
        <v>69.7</v>
      </c>
      <c r="AF124">
        <v>64</v>
      </c>
      <c r="AG124">
        <v>72.5</v>
      </c>
      <c r="AH124">
        <v>69.5</v>
      </c>
      <c r="AI124">
        <v>65.7</v>
      </c>
      <c r="AK124">
        <v>15</v>
      </c>
      <c r="AL124" t="s">
        <v>204</v>
      </c>
      <c r="AM124">
        <v>1</v>
      </c>
      <c r="AN124">
        <v>1</v>
      </c>
      <c r="AO124">
        <v>1</v>
      </c>
      <c r="AP124">
        <v>1</v>
      </c>
      <c r="AQ124">
        <v>1</v>
      </c>
      <c r="AR124">
        <v>1.5</v>
      </c>
      <c r="AT124">
        <v>92</v>
      </c>
      <c r="AU124" t="s">
        <v>204</v>
      </c>
      <c r="AV124">
        <v>5.5</v>
      </c>
      <c r="AW124">
        <v>6</v>
      </c>
      <c r="AX124">
        <v>6</v>
      </c>
      <c r="AY124">
        <v>6</v>
      </c>
      <c r="AZ124">
        <v>5</v>
      </c>
      <c r="BA124">
        <v>4.7</v>
      </c>
      <c r="BC124" s="95" t="s">
        <v>204</v>
      </c>
      <c r="BD124" s="13">
        <f t="shared" si="10"/>
        <v>69.8</v>
      </c>
      <c r="BE124" s="7">
        <f t="shared" si="11"/>
        <v>71</v>
      </c>
      <c r="BF124" s="7">
        <f t="shared" si="12"/>
        <v>2</v>
      </c>
      <c r="BG124" s="7">
        <f t="shared" si="13"/>
        <v>4.5</v>
      </c>
      <c r="BH124" s="7">
        <f t="shared" si="14"/>
        <v>1</v>
      </c>
      <c r="BI124" s="7">
        <f t="shared" si="15"/>
        <v>5.5</v>
      </c>
      <c r="BJ124" s="99">
        <f t="shared" si="16"/>
        <v>153.80000000000001</v>
      </c>
      <c r="BK124" s="81">
        <f t="shared" si="17"/>
        <v>0.45383615084525353</v>
      </c>
      <c r="BL124" s="73">
        <f t="shared" si="18"/>
        <v>0.46163849154746422</v>
      </c>
      <c r="BM124" s="79">
        <f t="shared" si="19"/>
        <v>8.4525357607282178E-2</v>
      </c>
    </row>
    <row r="125" spans="1:65" x14ac:dyDescent="0.2">
      <c r="A125">
        <v>110</v>
      </c>
      <c r="B125" t="s">
        <v>833</v>
      </c>
      <c r="C125">
        <v>65.2</v>
      </c>
      <c r="D125">
        <v>64.3</v>
      </c>
      <c r="E125">
        <v>67</v>
      </c>
      <c r="F125">
        <v>55</v>
      </c>
      <c r="G125">
        <v>68.7</v>
      </c>
      <c r="H125">
        <v>75</v>
      </c>
      <c r="J125">
        <v>19</v>
      </c>
      <c r="K125" t="s">
        <v>833</v>
      </c>
      <c r="L125">
        <v>2</v>
      </c>
      <c r="M125">
        <v>2</v>
      </c>
      <c r="N125">
        <v>4</v>
      </c>
      <c r="O125">
        <v>2</v>
      </c>
      <c r="P125">
        <v>2</v>
      </c>
      <c r="Q125">
        <v>1.5</v>
      </c>
      <c r="S125">
        <v>107</v>
      </c>
      <c r="T125" t="s">
        <v>833</v>
      </c>
      <c r="U125">
        <v>4</v>
      </c>
      <c r="V125">
        <v>3.7</v>
      </c>
      <c r="W125">
        <v>2</v>
      </c>
      <c r="X125">
        <v>4</v>
      </c>
      <c r="Y125">
        <v>4</v>
      </c>
      <c r="Z125">
        <v>5.3</v>
      </c>
      <c r="AB125">
        <v>30</v>
      </c>
      <c r="AC125" t="s">
        <v>833</v>
      </c>
      <c r="AD125">
        <v>67.2</v>
      </c>
      <c r="AE125">
        <v>68</v>
      </c>
      <c r="AF125">
        <v>61</v>
      </c>
      <c r="AG125">
        <v>73</v>
      </c>
      <c r="AH125">
        <v>65.3</v>
      </c>
      <c r="AI125">
        <v>74.099999999999994</v>
      </c>
      <c r="AK125">
        <v>67</v>
      </c>
      <c r="AL125" t="s">
        <v>833</v>
      </c>
      <c r="AM125">
        <v>1.5</v>
      </c>
      <c r="AN125">
        <v>1.7</v>
      </c>
      <c r="AO125">
        <v>2</v>
      </c>
      <c r="AP125">
        <v>2</v>
      </c>
      <c r="AQ125">
        <v>1.3</v>
      </c>
      <c r="AR125">
        <v>2.5</v>
      </c>
      <c r="AT125">
        <v>55</v>
      </c>
      <c r="AU125" t="s">
        <v>833</v>
      </c>
      <c r="AV125">
        <v>4.5</v>
      </c>
      <c r="AW125">
        <v>3.7</v>
      </c>
      <c r="AX125">
        <v>5</v>
      </c>
      <c r="AY125">
        <v>2</v>
      </c>
      <c r="AZ125">
        <v>5.3</v>
      </c>
      <c r="BA125">
        <v>3.9</v>
      </c>
      <c r="BC125" s="95" t="s">
        <v>833</v>
      </c>
      <c r="BD125" s="13">
        <f t="shared" si="10"/>
        <v>65.2</v>
      </c>
      <c r="BE125" s="7">
        <f t="shared" si="11"/>
        <v>67.2</v>
      </c>
      <c r="BF125" s="7">
        <f t="shared" si="12"/>
        <v>2</v>
      </c>
      <c r="BG125" s="7">
        <f t="shared" si="13"/>
        <v>4</v>
      </c>
      <c r="BH125" s="7">
        <f t="shared" si="14"/>
        <v>1.5</v>
      </c>
      <c r="BI125" s="7">
        <f t="shared" si="15"/>
        <v>4.5</v>
      </c>
      <c r="BJ125" s="99">
        <f t="shared" si="16"/>
        <v>144.4</v>
      </c>
      <c r="BK125" s="81">
        <f t="shared" si="17"/>
        <v>0.45152354570637121</v>
      </c>
      <c r="BL125" s="73">
        <f t="shared" si="18"/>
        <v>0.46537396121883656</v>
      </c>
      <c r="BM125" s="79">
        <f t="shared" si="19"/>
        <v>8.3102493074792241E-2</v>
      </c>
    </row>
    <row r="126" spans="1:65" x14ac:dyDescent="0.2">
      <c r="A126">
        <v>44</v>
      </c>
      <c r="B126" t="s">
        <v>810</v>
      </c>
      <c r="C126">
        <v>74</v>
      </c>
      <c r="D126">
        <v>78</v>
      </c>
      <c r="E126">
        <v>85</v>
      </c>
      <c r="F126">
        <v>65.5</v>
      </c>
      <c r="G126">
        <v>79.7</v>
      </c>
      <c r="H126">
        <v>75.599999999999994</v>
      </c>
      <c r="J126">
        <v>81</v>
      </c>
      <c r="K126" t="s">
        <v>810</v>
      </c>
      <c r="L126">
        <v>1.4</v>
      </c>
      <c r="M126">
        <v>1</v>
      </c>
      <c r="N126">
        <v>2</v>
      </c>
      <c r="O126">
        <v>1</v>
      </c>
      <c r="P126">
        <v>1.7</v>
      </c>
      <c r="Q126">
        <v>1.1000000000000001</v>
      </c>
      <c r="S126">
        <v>104</v>
      </c>
      <c r="T126" t="s">
        <v>810</v>
      </c>
      <c r="U126">
        <v>4</v>
      </c>
      <c r="V126">
        <v>3.7</v>
      </c>
      <c r="W126">
        <v>5</v>
      </c>
      <c r="X126">
        <v>4</v>
      </c>
      <c r="Y126">
        <v>4</v>
      </c>
      <c r="Z126">
        <v>4.7</v>
      </c>
      <c r="AB126">
        <v>102</v>
      </c>
      <c r="AC126" t="s">
        <v>810</v>
      </c>
      <c r="AD126">
        <v>76.400000000000006</v>
      </c>
      <c r="AE126">
        <v>81.7</v>
      </c>
      <c r="AF126">
        <v>78</v>
      </c>
      <c r="AG126">
        <v>76.5</v>
      </c>
      <c r="AH126">
        <v>76.3</v>
      </c>
      <c r="AI126">
        <v>65.900000000000006</v>
      </c>
      <c r="AK126">
        <v>77</v>
      </c>
      <c r="AL126" t="s">
        <v>810</v>
      </c>
      <c r="AM126">
        <v>1.6</v>
      </c>
      <c r="AN126">
        <v>1.3</v>
      </c>
      <c r="AO126">
        <v>2</v>
      </c>
      <c r="AP126">
        <v>1</v>
      </c>
      <c r="AQ126">
        <v>2</v>
      </c>
      <c r="AR126">
        <v>1.2</v>
      </c>
      <c r="AT126">
        <v>40</v>
      </c>
      <c r="AU126" t="s">
        <v>810</v>
      </c>
      <c r="AV126">
        <v>4.2</v>
      </c>
      <c r="AW126">
        <v>4</v>
      </c>
      <c r="AX126">
        <v>5</v>
      </c>
      <c r="AY126">
        <v>5</v>
      </c>
      <c r="AZ126">
        <v>3.7</v>
      </c>
      <c r="BA126">
        <v>4.2</v>
      </c>
      <c r="BC126" s="95" t="s">
        <v>810</v>
      </c>
      <c r="BD126" s="13">
        <f t="shared" si="10"/>
        <v>74</v>
      </c>
      <c r="BE126" s="7">
        <f t="shared" si="11"/>
        <v>76.400000000000006</v>
      </c>
      <c r="BF126" s="7">
        <f t="shared" si="12"/>
        <v>1.4</v>
      </c>
      <c r="BG126" s="7">
        <f t="shared" si="13"/>
        <v>4</v>
      </c>
      <c r="BH126" s="7">
        <f t="shared" si="14"/>
        <v>1.6</v>
      </c>
      <c r="BI126" s="7">
        <f t="shared" si="15"/>
        <v>4.2</v>
      </c>
      <c r="BJ126" s="99">
        <f t="shared" si="16"/>
        <v>161.6</v>
      </c>
      <c r="BK126" s="81">
        <f t="shared" si="17"/>
        <v>0.45792079207920794</v>
      </c>
      <c r="BL126" s="73">
        <f t="shared" si="18"/>
        <v>0.4727722772277228</v>
      </c>
      <c r="BM126" s="79">
        <f t="shared" si="19"/>
        <v>6.9306930693069299E-2</v>
      </c>
    </row>
    <row r="127" spans="1:65" x14ac:dyDescent="0.2">
      <c r="A127">
        <v>61</v>
      </c>
      <c r="B127" t="s">
        <v>816</v>
      </c>
      <c r="C127">
        <v>72</v>
      </c>
      <c r="D127">
        <v>75.3</v>
      </c>
      <c r="E127">
        <v>69</v>
      </c>
      <c r="F127">
        <v>69</v>
      </c>
      <c r="G127">
        <v>75</v>
      </c>
      <c r="H127">
        <v>74.8</v>
      </c>
      <c r="J127">
        <v>13</v>
      </c>
      <c r="K127" t="s">
        <v>816</v>
      </c>
      <c r="L127">
        <v>2.2000000000000002</v>
      </c>
      <c r="M127">
        <v>2.7</v>
      </c>
      <c r="N127">
        <v>3</v>
      </c>
      <c r="O127">
        <v>2</v>
      </c>
      <c r="P127">
        <v>2.5</v>
      </c>
      <c r="Q127">
        <v>1.7</v>
      </c>
      <c r="S127">
        <v>65</v>
      </c>
      <c r="T127" t="s">
        <v>816</v>
      </c>
      <c r="U127">
        <v>4.8</v>
      </c>
      <c r="V127">
        <v>4.7</v>
      </c>
      <c r="W127">
        <v>5</v>
      </c>
      <c r="X127">
        <v>5</v>
      </c>
      <c r="Y127">
        <v>4.5</v>
      </c>
      <c r="Z127">
        <v>3.8</v>
      </c>
      <c r="AB127">
        <v>111</v>
      </c>
      <c r="AC127" t="s">
        <v>816</v>
      </c>
      <c r="AD127">
        <v>77.2</v>
      </c>
      <c r="AE127">
        <v>76.3</v>
      </c>
      <c r="AF127">
        <v>83</v>
      </c>
      <c r="AG127">
        <v>86</v>
      </c>
      <c r="AH127">
        <v>68.5</v>
      </c>
      <c r="AI127">
        <v>73</v>
      </c>
      <c r="AK127">
        <v>86</v>
      </c>
      <c r="AL127" t="s">
        <v>816</v>
      </c>
      <c r="AM127">
        <v>1.8</v>
      </c>
      <c r="AN127">
        <v>1.7</v>
      </c>
      <c r="AO127">
        <v>1</v>
      </c>
      <c r="AP127">
        <v>2</v>
      </c>
      <c r="AQ127">
        <v>1.5</v>
      </c>
      <c r="AR127">
        <v>1.3</v>
      </c>
      <c r="AT127">
        <v>82</v>
      </c>
      <c r="AU127" t="s">
        <v>816</v>
      </c>
      <c r="AV127">
        <v>5</v>
      </c>
      <c r="AW127">
        <v>5</v>
      </c>
      <c r="AX127">
        <v>7</v>
      </c>
      <c r="AY127">
        <v>5</v>
      </c>
      <c r="AZ127">
        <v>5</v>
      </c>
      <c r="BA127">
        <v>5</v>
      </c>
      <c r="BC127" s="95" t="s">
        <v>816</v>
      </c>
      <c r="BD127" s="13">
        <f t="shared" si="10"/>
        <v>72</v>
      </c>
      <c r="BE127" s="7">
        <f t="shared" si="11"/>
        <v>77.2</v>
      </c>
      <c r="BF127" s="7">
        <f t="shared" si="12"/>
        <v>2.2000000000000002</v>
      </c>
      <c r="BG127" s="7">
        <f t="shared" si="13"/>
        <v>4.8</v>
      </c>
      <c r="BH127" s="7">
        <f t="shared" si="14"/>
        <v>1.8</v>
      </c>
      <c r="BI127" s="7">
        <f t="shared" si="15"/>
        <v>5</v>
      </c>
      <c r="BJ127" s="99">
        <f t="shared" si="16"/>
        <v>163</v>
      </c>
      <c r="BK127" s="81">
        <f t="shared" si="17"/>
        <v>0.44171779141104295</v>
      </c>
      <c r="BL127" s="73">
        <f t="shared" si="18"/>
        <v>0.47361963190184053</v>
      </c>
      <c r="BM127" s="79">
        <f t="shared" si="19"/>
        <v>8.4662576687116575E-2</v>
      </c>
    </row>
    <row r="128" spans="1:65" x14ac:dyDescent="0.2">
      <c r="A128">
        <v>3</v>
      </c>
      <c r="B128" t="s">
        <v>443</v>
      </c>
      <c r="C128">
        <v>83.5</v>
      </c>
      <c r="D128">
        <v>75.3</v>
      </c>
      <c r="E128">
        <v>89</v>
      </c>
      <c r="F128">
        <v>91.5</v>
      </c>
      <c r="G128">
        <v>75.5</v>
      </c>
      <c r="H128">
        <v>85</v>
      </c>
      <c r="J128">
        <v>67</v>
      </c>
      <c r="K128" t="s">
        <v>443</v>
      </c>
      <c r="L128">
        <v>1.5</v>
      </c>
      <c r="M128">
        <v>1.7</v>
      </c>
      <c r="N128">
        <v>2</v>
      </c>
      <c r="O128">
        <v>1</v>
      </c>
      <c r="P128">
        <v>2</v>
      </c>
      <c r="Q128">
        <v>1.6</v>
      </c>
      <c r="S128">
        <v>40</v>
      </c>
      <c r="T128" t="s">
        <v>443</v>
      </c>
      <c r="U128">
        <v>5.5</v>
      </c>
      <c r="V128">
        <v>5.7</v>
      </c>
      <c r="W128">
        <v>5</v>
      </c>
      <c r="X128">
        <v>6.5</v>
      </c>
      <c r="Y128">
        <v>4.5</v>
      </c>
      <c r="Z128">
        <v>6.4</v>
      </c>
      <c r="AB128">
        <v>101</v>
      </c>
      <c r="AC128" t="s">
        <v>443</v>
      </c>
      <c r="AD128">
        <v>76</v>
      </c>
      <c r="AE128">
        <v>74.7</v>
      </c>
      <c r="AF128">
        <v>75</v>
      </c>
      <c r="AG128">
        <v>76.5</v>
      </c>
      <c r="AH128">
        <v>75.5</v>
      </c>
      <c r="AI128">
        <v>79.5</v>
      </c>
      <c r="AK128">
        <v>3</v>
      </c>
      <c r="AL128" t="s">
        <v>443</v>
      </c>
      <c r="AM128">
        <v>0.5</v>
      </c>
      <c r="AN128">
        <v>0.7</v>
      </c>
      <c r="AO128">
        <v>1</v>
      </c>
      <c r="AP128">
        <v>0.5</v>
      </c>
      <c r="AQ128">
        <v>0.5</v>
      </c>
      <c r="AR128">
        <v>0.9</v>
      </c>
      <c r="AT128">
        <v>124</v>
      </c>
      <c r="AU128" t="s">
        <v>443</v>
      </c>
      <c r="AV128">
        <v>7</v>
      </c>
      <c r="AW128">
        <v>7</v>
      </c>
      <c r="AX128">
        <v>4</v>
      </c>
      <c r="AY128">
        <v>8.5</v>
      </c>
      <c r="AZ128">
        <v>5.5</v>
      </c>
      <c r="BA128">
        <v>6.6</v>
      </c>
      <c r="BC128" s="95" t="s">
        <v>443</v>
      </c>
      <c r="BD128" s="13">
        <f t="shared" si="10"/>
        <v>83.5</v>
      </c>
      <c r="BE128" s="7">
        <f t="shared" si="11"/>
        <v>76</v>
      </c>
      <c r="BF128" s="7">
        <f t="shared" si="12"/>
        <v>1.5</v>
      </c>
      <c r="BG128" s="7">
        <f t="shared" si="13"/>
        <v>5.5</v>
      </c>
      <c r="BH128" s="7">
        <f t="shared" si="14"/>
        <v>0.5</v>
      </c>
      <c r="BI128" s="7">
        <f t="shared" si="15"/>
        <v>7</v>
      </c>
      <c r="BJ128" s="99">
        <f t="shared" si="16"/>
        <v>174</v>
      </c>
      <c r="BK128" s="81">
        <f t="shared" si="17"/>
        <v>0.47988505747126436</v>
      </c>
      <c r="BL128" s="73">
        <f t="shared" si="18"/>
        <v>0.43678160919540232</v>
      </c>
      <c r="BM128" s="79">
        <f t="shared" si="19"/>
        <v>8.3333333333333329E-2</v>
      </c>
    </row>
    <row r="129" spans="1:65" x14ac:dyDescent="0.2">
      <c r="A129">
        <v>64</v>
      </c>
      <c r="B129" t="s">
        <v>817</v>
      </c>
      <c r="C129">
        <v>71.8</v>
      </c>
      <c r="D129">
        <v>72.3</v>
      </c>
      <c r="E129">
        <v>64</v>
      </c>
      <c r="F129">
        <v>77</v>
      </c>
      <c r="G129">
        <v>66.5</v>
      </c>
      <c r="H129">
        <v>73.8</v>
      </c>
      <c r="J129">
        <v>66</v>
      </c>
      <c r="K129" t="s">
        <v>817</v>
      </c>
      <c r="L129">
        <v>1.5</v>
      </c>
      <c r="M129">
        <v>1</v>
      </c>
      <c r="N129">
        <v>2</v>
      </c>
      <c r="O129">
        <v>1.5</v>
      </c>
      <c r="P129">
        <v>1.5</v>
      </c>
      <c r="Q129">
        <v>1.2</v>
      </c>
      <c r="S129">
        <v>127</v>
      </c>
      <c r="T129" t="s">
        <v>817</v>
      </c>
      <c r="U129">
        <v>2.2000000000000002</v>
      </c>
      <c r="V129">
        <v>2.7</v>
      </c>
      <c r="W129">
        <v>2</v>
      </c>
      <c r="X129">
        <v>1.5</v>
      </c>
      <c r="Y129">
        <v>3</v>
      </c>
      <c r="Z129">
        <v>3.6</v>
      </c>
      <c r="AB129">
        <v>55</v>
      </c>
      <c r="AC129" t="s">
        <v>817</v>
      </c>
      <c r="AD129">
        <v>71</v>
      </c>
      <c r="AE129">
        <v>71.3</v>
      </c>
      <c r="AF129">
        <v>73</v>
      </c>
      <c r="AG129">
        <v>73</v>
      </c>
      <c r="AH129">
        <v>69</v>
      </c>
      <c r="AI129">
        <v>66.8</v>
      </c>
      <c r="AK129">
        <v>36</v>
      </c>
      <c r="AL129" t="s">
        <v>817</v>
      </c>
      <c r="AM129">
        <v>1.2</v>
      </c>
      <c r="AN129">
        <v>1.3</v>
      </c>
      <c r="AO129">
        <v>1</v>
      </c>
      <c r="AP129">
        <v>1</v>
      </c>
      <c r="AQ129">
        <v>1.5</v>
      </c>
      <c r="AR129">
        <v>1.1000000000000001</v>
      </c>
      <c r="AT129">
        <v>29</v>
      </c>
      <c r="AU129" t="s">
        <v>817</v>
      </c>
      <c r="AV129">
        <v>3.8</v>
      </c>
      <c r="AW129">
        <v>3</v>
      </c>
      <c r="AX129">
        <v>1</v>
      </c>
      <c r="AY129">
        <v>5.5</v>
      </c>
      <c r="AZ129">
        <v>2</v>
      </c>
      <c r="BA129">
        <v>5.2</v>
      </c>
      <c r="BC129" s="95" t="s">
        <v>817</v>
      </c>
      <c r="BD129" s="13">
        <f t="shared" si="10"/>
        <v>71.8</v>
      </c>
      <c r="BE129" s="7">
        <f t="shared" si="11"/>
        <v>71</v>
      </c>
      <c r="BF129" s="7">
        <f t="shared" si="12"/>
        <v>1.5</v>
      </c>
      <c r="BG129" s="7">
        <f t="shared" si="13"/>
        <v>2.2000000000000002</v>
      </c>
      <c r="BH129" s="7">
        <f t="shared" si="14"/>
        <v>1.2</v>
      </c>
      <c r="BI129" s="7">
        <f t="shared" si="15"/>
        <v>3.8</v>
      </c>
      <c r="BJ129" s="99">
        <f t="shared" si="16"/>
        <v>151.5</v>
      </c>
      <c r="BK129" s="81">
        <f t="shared" si="17"/>
        <v>0.47392739273927392</v>
      </c>
      <c r="BL129" s="73">
        <f t="shared" si="18"/>
        <v>0.46864686468646866</v>
      </c>
      <c r="BM129" s="79">
        <f t="shared" si="19"/>
        <v>5.7425742574257421E-2</v>
      </c>
    </row>
    <row r="130" spans="1:65" x14ac:dyDescent="0.2">
      <c r="A130">
        <v>113</v>
      </c>
      <c r="B130" t="s">
        <v>447</v>
      </c>
      <c r="C130">
        <v>65</v>
      </c>
      <c r="D130">
        <v>62.7</v>
      </c>
      <c r="E130">
        <v>60</v>
      </c>
      <c r="F130">
        <v>66</v>
      </c>
      <c r="G130">
        <v>63.5</v>
      </c>
      <c r="H130">
        <v>70.2</v>
      </c>
      <c r="J130">
        <v>17</v>
      </c>
      <c r="K130" t="s">
        <v>447</v>
      </c>
      <c r="L130">
        <v>2</v>
      </c>
      <c r="M130">
        <v>1.7</v>
      </c>
      <c r="N130">
        <v>2</v>
      </c>
      <c r="O130">
        <v>2.2999999999999998</v>
      </c>
      <c r="P130">
        <v>1.5</v>
      </c>
      <c r="Q130">
        <v>1.6</v>
      </c>
      <c r="S130">
        <v>117</v>
      </c>
      <c r="T130" t="s">
        <v>447</v>
      </c>
      <c r="U130">
        <v>3.2</v>
      </c>
      <c r="V130">
        <v>3.7</v>
      </c>
      <c r="W130">
        <v>4</v>
      </c>
      <c r="X130">
        <v>3.7</v>
      </c>
      <c r="Y130">
        <v>2.5</v>
      </c>
      <c r="Z130">
        <v>3.8</v>
      </c>
      <c r="AB130">
        <v>53</v>
      </c>
      <c r="AC130" t="s">
        <v>447</v>
      </c>
      <c r="AD130">
        <v>70.599999999999994</v>
      </c>
      <c r="AE130">
        <v>70.7</v>
      </c>
      <c r="AF130">
        <v>75</v>
      </c>
      <c r="AG130">
        <v>69</v>
      </c>
      <c r="AH130">
        <v>73</v>
      </c>
      <c r="AI130">
        <v>67.2</v>
      </c>
      <c r="AK130">
        <v>93</v>
      </c>
      <c r="AL130" t="s">
        <v>447</v>
      </c>
      <c r="AM130">
        <v>1.8</v>
      </c>
      <c r="AN130">
        <v>1.7</v>
      </c>
      <c r="AO130">
        <v>3</v>
      </c>
      <c r="AP130">
        <v>1.3</v>
      </c>
      <c r="AQ130">
        <v>2.5</v>
      </c>
      <c r="AR130">
        <v>1.8</v>
      </c>
      <c r="AT130">
        <v>51</v>
      </c>
      <c r="AU130" t="s">
        <v>447</v>
      </c>
      <c r="AV130">
        <v>4.4000000000000004</v>
      </c>
      <c r="AW130">
        <v>4.3</v>
      </c>
      <c r="AX130">
        <v>4</v>
      </c>
      <c r="AY130">
        <v>5</v>
      </c>
      <c r="AZ130">
        <v>3.5</v>
      </c>
      <c r="BA130">
        <v>4.8</v>
      </c>
      <c r="BC130" s="95" t="s">
        <v>447</v>
      </c>
      <c r="BD130" s="13">
        <f t="shared" si="10"/>
        <v>65</v>
      </c>
      <c r="BE130" s="7">
        <f t="shared" si="11"/>
        <v>70.599999999999994</v>
      </c>
      <c r="BF130" s="7">
        <f t="shared" si="12"/>
        <v>2</v>
      </c>
      <c r="BG130" s="7">
        <f t="shared" si="13"/>
        <v>3.2</v>
      </c>
      <c r="BH130" s="7">
        <f t="shared" si="14"/>
        <v>1.8</v>
      </c>
      <c r="BI130" s="7">
        <f t="shared" si="15"/>
        <v>4.4000000000000004</v>
      </c>
      <c r="BJ130" s="99">
        <f t="shared" si="16"/>
        <v>147</v>
      </c>
      <c r="BK130" s="81">
        <f t="shared" si="17"/>
        <v>0.44217687074829931</v>
      </c>
      <c r="BL130" s="73">
        <f t="shared" si="18"/>
        <v>0.48027210884353738</v>
      </c>
      <c r="BM130" s="79">
        <f t="shared" si="19"/>
        <v>7.7551020408163265E-2</v>
      </c>
    </row>
    <row r="131" spans="1:65" x14ac:dyDescent="0.2">
      <c r="A131">
        <v>52</v>
      </c>
      <c r="B131" t="s">
        <v>459</v>
      </c>
      <c r="C131">
        <v>72.599999999999994</v>
      </c>
      <c r="D131">
        <v>69.3</v>
      </c>
      <c r="E131">
        <v>76</v>
      </c>
      <c r="F131">
        <v>72.8</v>
      </c>
      <c r="G131">
        <v>72</v>
      </c>
      <c r="H131">
        <v>69.2</v>
      </c>
      <c r="J131">
        <v>103</v>
      </c>
      <c r="K131" t="s">
        <v>459</v>
      </c>
      <c r="L131">
        <v>1</v>
      </c>
      <c r="M131">
        <v>0.7</v>
      </c>
      <c r="N131">
        <v>0</v>
      </c>
      <c r="O131">
        <v>1</v>
      </c>
      <c r="P131">
        <v>1</v>
      </c>
      <c r="Q131">
        <v>1.4</v>
      </c>
      <c r="S131">
        <v>101</v>
      </c>
      <c r="T131" t="s">
        <v>459</v>
      </c>
      <c r="U131">
        <v>4</v>
      </c>
      <c r="V131">
        <v>4.7</v>
      </c>
      <c r="W131">
        <v>1</v>
      </c>
      <c r="X131">
        <v>3.8</v>
      </c>
      <c r="Y131">
        <v>5</v>
      </c>
      <c r="Z131">
        <v>4.2</v>
      </c>
      <c r="AB131">
        <v>6</v>
      </c>
      <c r="AC131" t="s">
        <v>459</v>
      </c>
      <c r="AD131">
        <v>61.6</v>
      </c>
      <c r="AE131">
        <v>67.7</v>
      </c>
      <c r="AF131">
        <v>53</v>
      </c>
      <c r="AG131">
        <v>62</v>
      </c>
      <c r="AH131">
        <v>60</v>
      </c>
      <c r="AI131">
        <v>64.099999999999994</v>
      </c>
      <c r="AK131">
        <v>6</v>
      </c>
      <c r="AL131" t="s">
        <v>459</v>
      </c>
      <c r="AM131">
        <v>0.6</v>
      </c>
      <c r="AN131">
        <v>0.7</v>
      </c>
      <c r="AO131">
        <v>1</v>
      </c>
      <c r="AP131">
        <v>0.5</v>
      </c>
      <c r="AQ131">
        <v>1</v>
      </c>
      <c r="AR131">
        <v>2.2000000000000002</v>
      </c>
      <c r="AT131">
        <v>129</v>
      </c>
      <c r="AU131" t="s">
        <v>459</v>
      </c>
      <c r="AV131">
        <v>7.8</v>
      </c>
      <c r="AW131">
        <v>7.3</v>
      </c>
      <c r="AX131">
        <v>7</v>
      </c>
      <c r="AY131">
        <v>7.8</v>
      </c>
      <c r="AZ131">
        <v>8</v>
      </c>
      <c r="BA131">
        <v>4.5</v>
      </c>
      <c r="BC131" s="95" t="s">
        <v>459</v>
      </c>
      <c r="BD131" s="13">
        <f t="shared" si="10"/>
        <v>72.599999999999994</v>
      </c>
      <c r="BE131" s="7">
        <f t="shared" si="11"/>
        <v>61.6</v>
      </c>
      <c r="BF131" s="7">
        <f t="shared" si="12"/>
        <v>1</v>
      </c>
      <c r="BG131" s="7">
        <f t="shared" si="13"/>
        <v>4</v>
      </c>
      <c r="BH131" s="7">
        <f t="shared" si="14"/>
        <v>0.6</v>
      </c>
      <c r="BI131" s="7">
        <f t="shared" si="15"/>
        <v>7.8</v>
      </c>
      <c r="BJ131" s="99">
        <f t="shared" si="16"/>
        <v>147.6</v>
      </c>
      <c r="BK131" s="81">
        <f t="shared" si="17"/>
        <v>0.49186991869918695</v>
      </c>
      <c r="BL131" s="73">
        <f t="shared" si="18"/>
        <v>0.41734417344173447</v>
      </c>
      <c r="BM131" s="79">
        <f t="shared" si="19"/>
        <v>9.0785907859078585E-2</v>
      </c>
    </row>
    <row r="132" spans="1:65" ht="17" thickBot="1" x14ac:dyDescent="0.25">
      <c r="A132">
        <v>125</v>
      </c>
      <c r="B132" t="s">
        <v>462</v>
      </c>
      <c r="C132">
        <v>63.5</v>
      </c>
      <c r="D132">
        <v>65.3</v>
      </c>
      <c r="E132">
        <v>61</v>
      </c>
      <c r="F132">
        <v>59.5</v>
      </c>
      <c r="G132">
        <v>67.5</v>
      </c>
      <c r="H132">
        <v>65.5</v>
      </c>
      <c r="J132">
        <v>9</v>
      </c>
      <c r="K132" t="s">
        <v>462</v>
      </c>
      <c r="L132">
        <v>2.5</v>
      </c>
      <c r="M132">
        <v>2.2999999999999998</v>
      </c>
      <c r="N132">
        <v>2</v>
      </c>
      <c r="O132">
        <v>2.5</v>
      </c>
      <c r="P132">
        <v>2.5</v>
      </c>
      <c r="Q132">
        <v>1.5</v>
      </c>
      <c r="S132">
        <v>17</v>
      </c>
      <c r="T132" t="s">
        <v>462</v>
      </c>
      <c r="U132">
        <v>6.2</v>
      </c>
      <c r="V132">
        <v>6.3</v>
      </c>
      <c r="W132">
        <v>5</v>
      </c>
      <c r="X132">
        <v>5.5</v>
      </c>
      <c r="Y132">
        <v>7</v>
      </c>
      <c r="Z132">
        <v>6</v>
      </c>
      <c r="AB132">
        <v>129</v>
      </c>
      <c r="AC132" t="s">
        <v>462</v>
      </c>
      <c r="AD132">
        <v>88</v>
      </c>
      <c r="AE132">
        <v>86.7</v>
      </c>
      <c r="AF132">
        <v>79</v>
      </c>
      <c r="AG132">
        <v>85.5</v>
      </c>
      <c r="AH132">
        <v>90.5</v>
      </c>
      <c r="AI132">
        <v>70.099999999999994</v>
      </c>
      <c r="AK132">
        <v>64</v>
      </c>
      <c r="AL132" t="s">
        <v>462</v>
      </c>
      <c r="AM132">
        <v>1.5</v>
      </c>
      <c r="AN132">
        <v>1.7</v>
      </c>
      <c r="AO132">
        <v>1</v>
      </c>
      <c r="AP132">
        <v>1</v>
      </c>
      <c r="AQ132">
        <v>2</v>
      </c>
      <c r="AR132">
        <v>1.5</v>
      </c>
      <c r="AT132">
        <v>102</v>
      </c>
      <c r="AU132" t="s">
        <v>462</v>
      </c>
      <c r="AV132">
        <v>5.8</v>
      </c>
      <c r="AW132">
        <v>6.3</v>
      </c>
      <c r="AX132">
        <v>8</v>
      </c>
      <c r="AY132">
        <v>6</v>
      </c>
      <c r="AZ132">
        <v>5.5</v>
      </c>
      <c r="BA132">
        <v>5.6</v>
      </c>
      <c r="BC132" s="96" t="s">
        <v>462</v>
      </c>
      <c r="BD132" s="14">
        <f t="shared" ref="BD132" si="20">INDEX($C$3:$C$132, MATCH($BC132,$B$3:$B$132, 0), 0)</f>
        <v>63.5</v>
      </c>
      <c r="BE132" s="11">
        <f t="shared" ref="BE132" si="21">INDEX($AD$3:$AD$132, MATCH($BC132,$AC$3:$AC$132, 0), 0)</f>
        <v>88</v>
      </c>
      <c r="BF132" s="11">
        <f t="shared" ref="BF132" si="22">INDEX($L$3:$L$132, MATCH($BC132,$K$3:$K$132, 0), 0)</f>
        <v>2.5</v>
      </c>
      <c r="BG132" s="11">
        <f t="shared" ref="BG132" si="23">INDEX($U$3:$U$132, MATCH($BC132,$T$3:$T$132, 0), 0)</f>
        <v>6.2</v>
      </c>
      <c r="BH132" s="11">
        <f t="shared" ref="BH132" si="24">INDEX($AM$3:$AM$132, MATCH($BC132,$AL$3:$AL$132, 0), 0)</f>
        <v>1.5</v>
      </c>
      <c r="BI132" s="11">
        <f t="shared" ref="BI132" si="25">INDEX($AV$3:$AV$132, MATCH($BC132,$AU$3:$AU$132, 0), 0)</f>
        <v>5.8</v>
      </c>
      <c r="BJ132" s="100">
        <f t="shared" ref="BJ132" si="26">SUM(BD132:BI132)</f>
        <v>167.5</v>
      </c>
      <c r="BK132" s="82">
        <f t="shared" ref="BK132" si="27">($BD132 / $BJ132)</f>
        <v>0.37910447761194027</v>
      </c>
      <c r="BL132" s="75">
        <f t="shared" ref="BL132" si="28">($BE132 / $BJ132)</f>
        <v>0.52537313432835819</v>
      </c>
      <c r="BM132" s="83">
        <f t="shared" ref="BM132" si="29">SUM($BF132:$BI132) / $BJ132</f>
        <v>9.5522388059701493E-2</v>
      </c>
    </row>
  </sheetData>
  <sortState xmlns:xlrd2="http://schemas.microsoft.com/office/spreadsheetml/2017/richdata2" ref="AT3:BA132">
    <sortCondition ref="AU3:AU132"/>
  </sortState>
  <mergeCells count="6">
    <mergeCell ref="A1:H1"/>
    <mergeCell ref="J1:Q1"/>
    <mergeCell ref="S1:Z1"/>
    <mergeCell ref="AB1:AI1"/>
    <mergeCell ref="AK1:AR1"/>
    <mergeCell ref="AT1:BA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32D8-7D94-8D40-A358-37DF9B2D9B01}">
  <dimension ref="A1:H138"/>
  <sheetViews>
    <sheetView workbookViewId="0">
      <selection activeCell="H3" sqref="H3"/>
    </sheetView>
  </sheetViews>
  <sheetFormatPr baseColWidth="10" defaultRowHeight="16" x14ac:dyDescent="0.2"/>
  <cols>
    <col min="1" max="1" width="18.83203125" bestFit="1" customWidth="1"/>
    <col min="2" max="2" width="19" bestFit="1" customWidth="1"/>
    <col min="3" max="3" width="6.5" bestFit="1" customWidth="1"/>
    <col min="4" max="4" width="7.5" bestFit="1" customWidth="1"/>
    <col min="5" max="5" width="8.6640625" bestFit="1" customWidth="1"/>
    <col min="6" max="7" width="9.5" bestFit="1" customWidth="1"/>
    <col min="8" max="8" width="5" bestFit="1" customWidth="1"/>
  </cols>
  <sheetData>
    <row r="1" spans="1:8" x14ac:dyDescent="0.2">
      <c r="A1" s="3" t="s">
        <v>521</v>
      </c>
    </row>
    <row r="2" spans="1:8" x14ac:dyDescent="0.2">
      <c r="A2" s="3" t="s">
        <v>467</v>
      </c>
      <c r="B2" s="3" t="s">
        <v>522</v>
      </c>
      <c r="C2" s="3" t="s">
        <v>498</v>
      </c>
      <c r="D2" s="3" t="s">
        <v>523</v>
      </c>
      <c r="E2" s="3" t="s">
        <v>524</v>
      </c>
      <c r="F2" s="3" t="s">
        <v>525</v>
      </c>
      <c r="G2" s="3" t="s">
        <v>526</v>
      </c>
      <c r="H2" s="3" t="s">
        <v>527</v>
      </c>
    </row>
    <row r="3" spans="1:8" x14ac:dyDescent="0.2">
      <c r="A3" s="3">
        <v>1</v>
      </c>
      <c r="B3" s="3" t="s">
        <v>528</v>
      </c>
      <c r="C3" s="4">
        <v>36647</v>
      </c>
      <c r="D3" s="3" t="s">
        <v>529</v>
      </c>
      <c r="E3" s="3">
        <v>27.1</v>
      </c>
      <c r="F3" s="3">
        <v>49.8</v>
      </c>
      <c r="G3" s="3">
        <v>41</v>
      </c>
      <c r="H3" s="3">
        <v>30.9</v>
      </c>
    </row>
    <row r="4" spans="1:8" x14ac:dyDescent="0.2">
      <c r="A4" s="3">
        <v>2</v>
      </c>
      <c r="B4" s="3" t="s">
        <v>530</v>
      </c>
      <c r="C4" s="4">
        <v>36678</v>
      </c>
      <c r="D4" s="3" t="s">
        <v>531</v>
      </c>
      <c r="E4" s="3">
        <v>40.4</v>
      </c>
      <c r="F4" s="3">
        <v>64.7</v>
      </c>
      <c r="G4" s="3">
        <v>17</v>
      </c>
      <c r="H4" s="3">
        <v>30.5</v>
      </c>
    </row>
    <row r="5" spans="1:8" x14ac:dyDescent="0.2">
      <c r="A5" s="3">
        <v>3</v>
      </c>
      <c r="B5" s="3" t="s">
        <v>532</v>
      </c>
      <c r="C5" s="4">
        <v>36647</v>
      </c>
      <c r="D5" s="3" t="s">
        <v>533</v>
      </c>
      <c r="E5" s="3">
        <v>59.6</v>
      </c>
      <c r="F5" s="3">
        <v>89.9</v>
      </c>
      <c r="G5" s="3">
        <v>69</v>
      </c>
      <c r="H5" s="3">
        <v>26.3</v>
      </c>
    </row>
    <row r="6" spans="1:8" x14ac:dyDescent="0.2">
      <c r="A6" s="3">
        <v>4</v>
      </c>
      <c r="B6" s="3" t="s">
        <v>534</v>
      </c>
      <c r="C6" s="4">
        <v>36647</v>
      </c>
      <c r="D6" s="3" t="s">
        <v>535</v>
      </c>
      <c r="E6" s="3">
        <v>9.6</v>
      </c>
      <c r="F6" s="3">
        <v>28.4</v>
      </c>
      <c r="G6" s="3">
        <v>15</v>
      </c>
      <c r="H6" s="3">
        <v>26.1</v>
      </c>
    </row>
    <row r="7" spans="1:8" x14ac:dyDescent="0.2">
      <c r="A7" s="3">
        <v>5</v>
      </c>
      <c r="B7" s="3" t="s">
        <v>536</v>
      </c>
      <c r="C7" s="4">
        <v>36647</v>
      </c>
      <c r="D7" s="3" t="s">
        <v>537</v>
      </c>
      <c r="E7" s="3">
        <v>4.4000000000000004</v>
      </c>
      <c r="F7" s="3">
        <v>12.5</v>
      </c>
      <c r="G7" s="3">
        <v>2</v>
      </c>
      <c r="H7" s="3">
        <v>25</v>
      </c>
    </row>
    <row r="8" spans="1:8" x14ac:dyDescent="0.2">
      <c r="A8" s="3">
        <v>6</v>
      </c>
      <c r="B8" s="3" t="s">
        <v>538</v>
      </c>
      <c r="C8" s="4">
        <v>36647</v>
      </c>
      <c r="D8" s="3" t="s">
        <v>539</v>
      </c>
      <c r="E8" s="3">
        <v>28.4</v>
      </c>
      <c r="F8" s="3">
        <v>76.099999999999994</v>
      </c>
      <c r="G8" s="3">
        <v>23</v>
      </c>
      <c r="H8" s="3">
        <v>24.2</v>
      </c>
    </row>
    <row r="9" spans="1:8" x14ac:dyDescent="0.2">
      <c r="A9" s="3">
        <v>7</v>
      </c>
      <c r="B9" s="3" t="s">
        <v>540</v>
      </c>
      <c r="C9" s="4">
        <v>36647</v>
      </c>
      <c r="D9" s="3" t="s">
        <v>541</v>
      </c>
      <c r="E9" s="3">
        <v>3.3</v>
      </c>
      <c r="F9" s="3">
        <v>9.9</v>
      </c>
      <c r="G9" s="3">
        <v>20</v>
      </c>
      <c r="H9" s="3">
        <v>22.7</v>
      </c>
    </row>
    <row r="10" spans="1:8" x14ac:dyDescent="0.2">
      <c r="A10" s="3">
        <v>8</v>
      </c>
      <c r="B10" s="3" t="s">
        <v>542</v>
      </c>
      <c r="C10" s="5">
        <v>43556</v>
      </c>
      <c r="D10" s="3" t="s">
        <v>543</v>
      </c>
      <c r="E10" s="3">
        <v>30.5</v>
      </c>
      <c r="F10" s="3" t="s">
        <v>544</v>
      </c>
      <c r="G10" s="3">
        <v>50</v>
      </c>
      <c r="H10" s="3">
        <v>21.5</v>
      </c>
    </row>
    <row r="11" spans="1:8" x14ac:dyDescent="0.2">
      <c r="A11" s="3">
        <v>9</v>
      </c>
      <c r="B11" s="3" t="s">
        <v>545</v>
      </c>
      <c r="C11" s="5">
        <v>43586</v>
      </c>
      <c r="D11" s="3" t="s">
        <v>546</v>
      </c>
      <c r="E11" s="3">
        <v>1.6</v>
      </c>
      <c r="F11" s="3">
        <v>2.8</v>
      </c>
      <c r="G11" s="3">
        <v>24</v>
      </c>
      <c r="H11" s="3">
        <v>21.1</v>
      </c>
    </row>
    <row r="12" spans="1:8" x14ac:dyDescent="0.2">
      <c r="A12" s="3">
        <v>10</v>
      </c>
      <c r="B12" s="3" t="s">
        <v>547</v>
      </c>
      <c r="C12" s="4">
        <v>36647</v>
      </c>
      <c r="D12" s="3" t="s">
        <v>548</v>
      </c>
      <c r="E12" s="3">
        <v>1.9</v>
      </c>
      <c r="F12" s="3">
        <v>21.8</v>
      </c>
      <c r="G12" s="3">
        <v>28</v>
      </c>
      <c r="H12" s="3">
        <v>21</v>
      </c>
    </row>
    <row r="13" spans="1:8" x14ac:dyDescent="0.2">
      <c r="A13" s="3">
        <v>11</v>
      </c>
      <c r="B13" s="3" t="s">
        <v>549</v>
      </c>
      <c r="C13" s="5">
        <v>43556</v>
      </c>
      <c r="D13" s="3" t="s">
        <v>550</v>
      </c>
      <c r="E13" s="3">
        <v>15.4</v>
      </c>
      <c r="F13" s="3">
        <v>67.5</v>
      </c>
      <c r="G13" s="3">
        <v>39</v>
      </c>
      <c r="H13" s="3">
        <v>19.899999999999999</v>
      </c>
    </row>
    <row r="14" spans="1:8" x14ac:dyDescent="0.2">
      <c r="A14" s="3">
        <v>12</v>
      </c>
      <c r="B14" s="3" t="s">
        <v>551</v>
      </c>
      <c r="C14" s="4">
        <v>36678</v>
      </c>
      <c r="D14" s="3" t="s">
        <v>552</v>
      </c>
      <c r="E14" s="3">
        <v>0.4</v>
      </c>
      <c r="F14" s="3">
        <v>4.3</v>
      </c>
      <c r="G14" s="3">
        <v>1</v>
      </c>
      <c r="H14" s="3">
        <v>18.600000000000001</v>
      </c>
    </row>
    <row r="15" spans="1:8" x14ac:dyDescent="0.2">
      <c r="A15" s="3">
        <v>13</v>
      </c>
      <c r="B15" s="3" t="s">
        <v>553</v>
      </c>
      <c r="C15" s="5">
        <v>43556</v>
      </c>
      <c r="D15" s="3" t="s">
        <v>554</v>
      </c>
      <c r="E15" s="3">
        <v>0.1</v>
      </c>
      <c r="F15" s="3">
        <v>0.8</v>
      </c>
      <c r="G15" s="3">
        <v>3</v>
      </c>
      <c r="H15" s="3">
        <v>14.9</v>
      </c>
    </row>
    <row r="16" spans="1:8" x14ac:dyDescent="0.2">
      <c r="A16" s="3">
        <v>14</v>
      </c>
      <c r="B16" s="3" t="s">
        <v>555</v>
      </c>
      <c r="C16" s="5">
        <v>43557</v>
      </c>
      <c r="D16" s="3" t="s">
        <v>556</v>
      </c>
      <c r="E16" s="3">
        <v>7</v>
      </c>
      <c r="F16" s="3">
        <v>4.9000000000000004</v>
      </c>
      <c r="G16" s="3">
        <v>11</v>
      </c>
      <c r="H16" s="3">
        <v>14.5</v>
      </c>
    </row>
    <row r="17" spans="1:8" x14ac:dyDescent="0.2">
      <c r="A17" s="3">
        <v>15</v>
      </c>
      <c r="B17" s="3" t="s">
        <v>557</v>
      </c>
      <c r="C17" s="5">
        <v>43557</v>
      </c>
      <c r="D17" s="3" t="s">
        <v>558</v>
      </c>
      <c r="E17" s="3">
        <v>2.4</v>
      </c>
      <c r="F17" s="3">
        <v>0.2</v>
      </c>
      <c r="G17" s="3">
        <v>32</v>
      </c>
      <c r="H17" s="3">
        <v>14.5</v>
      </c>
    </row>
    <row r="18" spans="1:8" x14ac:dyDescent="0.2">
      <c r="A18" s="3">
        <v>16</v>
      </c>
      <c r="B18" s="3" t="s">
        <v>559</v>
      </c>
      <c r="C18" s="5">
        <v>43526</v>
      </c>
      <c r="D18" s="3" t="s">
        <v>560</v>
      </c>
      <c r="E18" s="3">
        <v>0.1</v>
      </c>
      <c r="F18" s="3">
        <v>0.2</v>
      </c>
      <c r="G18" s="3">
        <v>19</v>
      </c>
      <c r="H18" s="3">
        <v>14.5</v>
      </c>
    </row>
    <row r="19" spans="1:8" x14ac:dyDescent="0.2">
      <c r="A19" s="3">
        <v>17</v>
      </c>
      <c r="B19" s="3" t="s">
        <v>561</v>
      </c>
      <c r="C19" s="5">
        <v>43556</v>
      </c>
      <c r="D19" s="3" t="s">
        <v>562</v>
      </c>
      <c r="E19" s="3">
        <v>0.4</v>
      </c>
      <c r="F19" s="3">
        <v>1.9</v>
      </c>
      <c r="G19" s="3">
        <v>35</v>
      </c>
      <c r="H19" s="3">
        <v>14</v>
      </c>
    </row>
    <row r="20" spans="1:8" x14ac:dyDescent="0.2">
      <c r="A20" s="3">
        <v>18</v>
      </c>
      <c r="B20" s="3" t="s">
        <v>563</v>
      </c>
      <c r="C20" s="5">
        <v>43556</v>
      </c>
      <c r="D20" s="3" t="s">
        <v>562</v>
      </c>
      <c r="E20" s="3">
        <v>0.3</v>
      </c>
      <c r="F20" s="3">
        <v>1.9</v>
      </c>
      <c r="G20" s="3">
        <v>47</v>
      </c>
      <c r="H20" s="3">
        <v>13.6</v>
      </c>
    </row>
    <row r="21" spans="1:8" x14ac:dyDescent="0.2">
      <c r="A21" s="3">
        <v>19</v>
      </c>
      <c r="B21" s="3" t="s">
        <v>564</v>
      </c>
      <c r="C21" s="5">
        <v>43526</v>
      </c>
      <c r="D21" s="3" t="s">
        <v>565</v>
      </c>
      <c r="E21" s="3">
        <v>0.6</v>
      </c>
      <c r="F21" s="3">
        <v>4.0999999999999996</v>
      </c>
      <c r="G21" s="3">
        <v>34</v>
      </c>
      <c r="H21" s="3">
        <v>13</v>
      </c>
    </row>
    <row r="22" spans="1:8" x14ac:dyDescent="0.2">
      <c r="A22" s="3">
        <v>20</v>
      </c>
      <c r="B22" s="3" t="s">
        <v>566</v>
      </c>
      <c r="C22" s="5">
        <v>43556</v>
      </c>
      <c r="D22" s="3" t="s">
        <v>567</v>
      </c>
      <c r="E22" s="3">
        <v>0.4</v>
      </c>
      <c r="F22" s="3">
        <v>9.9</v>
      </c>
      <c r="G22" s="3">
        <v>33</v>
      </c>
      <c r="H22" s="3">
        <v>12.9</v>
      </c>
    </row>
    <row r="23" spans="1:8" x14ac:dyDescent="0.2">
      <c r="A23" s="3" t="s">
        <v>467</v>
      </c>
      <c r="B23" s="3" t="s">
        <v>522</v>
      </c>
      <c r="C23" s="3" t="s">
        <v>498</v>
      </c>
      <c r="D23" s="3" t="s">
        <v>523</v>
      </c>
      <c r="E23" s="3" t="s">
        <v>524</v>
      </c>
      <c r="F23" s="3" t="s">
        <v>525</v>
      </c>
      <c r="G23" s="3" t="s">
        <v>526</v>
      </c>
      <c r="H23" s="3" t="s">
        <v>527</v>
      </c>
    </row>
    <row r="24" spans="1:8" x14ac:dyDescent="0.2">
      <c r="A24" s="3">
        <v>21</v>
      </c>
      <c r="B24" s="3" t="s">
        <v>568</v>
      </c>
      <c r="C24" s="5">
        <v>43556</v>
      </c>
      <c r="D24" s="3" t="s">
        <v>569</v>
      </c>
      <c r="E24" s="3">
        <v>2.4</v>
      </c>
      <c r="F24" s="3">
        <v>12.1</v>
      </c>
      <c r="G24" s="3">
        <v>48</v>
      </c>
      <c r="H24" s="3">
        <v>12.9</v>
      </c>
    </row>
    <row r="25" spans="1:8" x14ac:dyDescent="0.2">
      <c r="A25" s="3">
        <v>22</v>
      </c>
      <c r="B25" s="3" t="s">
        <v>570</v>
      </c>
      <c r="C25" s="5">
        <v>43557</v>
      </c>
      <c r="D25" s="3" t="s">
        <v>571</v>
      </c>
      <c r="E25" s="3">
        <v>33.4</v>
      </c>
      <c r="F25" s="3">
        <v>18</v>
      </c>
      <c r="G25" s="3">
        <v>74</v>
      </c>
      <c r="H25" s="3">
        <v>12.7</v>
      </c>
    </row>
    <row r="26" spans="1:8" x14ac:dyDescent="0.2">
      <c r="A26" s="3">
        <v>23</v>
      </c>
      <c r="B26" s="3" t="s">
        <v>572</v>
      </c>
      <c r="C26" s="5">
        <v>43526</v>
      </c>
      <c r="D26" s="3" t="s">
        <v>573</v>
      </c>
      <c r="E26" s="3">
        <v>0.2</v>
      </c>
      <c r="F26" s="3">
        <v>12</v>
      </c>
      <c r="G26" s="3">
        <v>21</v>
      </c>
      <c r="H26" s="3">
        <v>10.8</v>
      </c>
    </row>
    <row r="27" spans="1:8" x14ac:dyDescent="0.2">
      <c r="A27" s="3">
        <v>24</v>
      </c>
      <c r="B27" s="3" t="s">
        <v>574</v>
      </c>
      <c r="C27" s="4">
        <v>36647</v>
      </c>
      <c r="D27" s="3" t="s">
        <v>575</v>
      </c>
      <c r="E27" s="3">
        <v>0.3</v>
      </c>
      <c r="F27" s="3">
        <v>8.1999999999999993</v>
      </c>
      <c r="G27" s="3">
        <v>38</v>
      </c>
      <c r="H27" s="3">
        <v>10.5</v>
      </c>
    </row>
    <row r="28" spans="1:8" x14ac:dyDescent="0.2">
      <c r="A28" s="3">
        <v>25</v>
      </c>
      <c r="B28" s="3" t="s">
        <v>576</v>
      </c>
      <c r="C28" s="5">
        <v>43499</v>
      </c>
      <c r="D28" s="3" t="s">
        <v>577</v>
      </c>
      <c r="E28" s="3">
        <v>0</v>
      </c>
      <c r="F28" s="3">
        <v>0</v>
      </c>
      <c r="G28" s="3">
        <v>13</v>
      </c>
      <c r="H28" s="3">
        <v>10.199999999999999</v>
      </c>
    </row>
    <row r="29" spans="1:8" x14ac:dyDescent="0.2">
      <c r="A29" s="3">
        <v>26</v>
      </c>
      <c r="B29" s="3" t="s">
        <v>578</v>
      </c>
      <c r="C29" s="5">
        <v>43557</v>
      </c>
      <c r="D29" s="3" t="s">
        <v>565</v>
      </c>
      <c r="E29" s="3">
        <v>0.7</v>
      </c>
      <c r="F29" s="3">
        <v>0.9</v>
      </c>
      <c r="G29" s="3">
        <v>27</v>
      </c>
      <c r="H29" s="3">
        <v>10.199999999999999</v>
      </c>
    </row>
    <row r="30" spans="1:8" x14ac:dyDescent="0.2">
      <c r="A30" s="3">
        <v>27</v>
      </c>
      <c r="B30" s="3" t="s">
        <v>579</v>
      </c>
      <c r="C30" s="5">
        <v>43526</v>
      </c>
      <c r="D30" s="3" t="s">
        <v>580</v>
      </c>
      <c r="E30" s="3">
        <v>0.1</v>
      </c>
      <c r="F30" s="3">
        <v>0.1</v>
      </c>
      <c r="G30" s="3">
        <v>44</v>
      </c>
      <c r="H30" s="3">
        <v>9.8000000000000007</v>
      </c>
    </row>
    <row r="31" spans="1:8" x14ac:dyDescent="0.2">
      <c r="A31" s="3">
        <v>28</v>
      </c>
      <c r="B31" s="3" t="s">
        <v>581</v>
      </c>
      <c r="C31" s="5">
        <v>43556</v>
      </c>
      <c r="D31" s="3" t="s">
        <v>582</v>
      </c>
      <c r="E31" s="3">
        <v>11</v>
      </c>
      <c r="F31" s="3">
        <v>48.1</v>
      </c>
      <c r="G31" s="3">
        <v>88</v>
      </c>
      <c r="H31" s="3">
        <v>8</v>
      </c>
    </row>
    <row r="32" spans="1:8" x14ac:dyDescent="0.2">
      <c r="A32" s="3">
        <v>29</v>
      </c>
      <c r="B32" s="3" t="s">
        <v>583</v>
      </c>
      <c r="C32" s="5">
        <v>43526</v>
      </c>
      <c r="D32" s="3" t="s">
        <v>584</v>
      </c>
      <c r="E32" s="3">
        <v>0.1</v>
      </c>
      <c r="F32" s="3">
        <v>0.3</v>
      </c>
      <c r="G32" s="3">
        <v>31</v>
      </c>
      <c r="H32" s="3">
        <v>7.5</v>
      </c>
    </row>
    <row r="33" spans="1:8" x14ac:dyDescent="0.2">
      <c r="A33" s="3">
        <v>30</v>
      </c>
      <c r="B33" s="3" t="s">
        <v>585</v>
      </c>
      <c r="C33" s="5">
        <v>43499</v>
      </c>
      <c r="D33" s="3" t="s">
        <v>584</v>
      </c>
      <c r="E33" s="3">
        <v>1.5</v>
      </c>
      <c r="F33" s="3">
        <v>0.4</v>
      </c>
      <c r="G33" s="3">
        <v>62</v>
      </c>
      <c r="H33" s="3">
        <v>7.2</v>
      </c>
    </row>
    <row r="34" spans="1:8" x14ac:dyDescent="0.2">
      <c r="A34" s="3">
        <v>31</v>
      </c>
      <c r="B34" s="3" t="s">
        <v>586</v>
      </c>
      <c r="C34" s="4">
        <v>36647</v>
      </c>
      <c r="D34" s="3" t="s">
        <v>587</v>
      </c>
      <c r="E34" s="3">
        <v>12.4</v>
      </c>
      <c r="F34" s="3">
        <v>51.3</v>
      </c>
      <c r="G34" s="3">
        <v>90</v>
      </c>
      <c r="H34" s="3">
        <v>7.2</v>
      </c>
    </row>
    <row r="35" spans="1:8" x14ac:dyDescent="0.2">
      <c r="A35" s="3">
        <v>32</v>
      </c>
      <c r="B35" s="3" t="s">
        <v>588</v>
      </c>
      <c r="C35" s="5">
        <v>43526</v>
      </c>
      <c r="D35" s="3" t="s">
        <v>580</v>
      </c>
      <c r="E35" s="3">
        <v>0.1</v>
      </c>
      <c r="F35" s="3">
        <v>0.7</v>
      </c>
      <c r="G35" s="3">
        <v>54</v>
      </c>
      <c r="H35" s="3">
        <v>6.7</v>
      </c>
    </row>
    <row r="36" spans="1:8" x14ac:dyDescent="0.2">
      <c r="A36" s="3">
        <v>33</v>
      </c>
      <c r="B36" s="3" t="s">
        <v>589</v>
      </c>
      <c r="C36" s="5">
        <v>43526</v>
      </c>
      <c r="D36" s="3" t="s">
        <v>590</v>
      </c>
      <c r="E36" s="3">
        <v>0</v>
      </c>
      <c r="F36" s="3">
        <v>0.4</v>
      </c>
      <c r="G36" s="3">
        <v>16</v>
      </c>
      <c r="H36" s="3">
        <v>6.4</v>
      </c>
    </row>
    <row r="37" spans="1:8" x14ac:dyDescent="0.2">
      <c r="A37" s="3">
        <v>34</v>
      </c>
      <c r="B37" s="3" t="s">
        <v>591</v>
      </c>
      <c r="C37" s="5">
        <v>43556</v>
      </c>
      <c r="D37" s="3" t="s">
        <v>592</v>
      </c>
      <c r="E37" s="3">
        <v>0.4</v>
      </c>
      <c r="F37" s="3">
        <v>4.0999999999999996</v>
      </c>
      <c r="G37" s="3">
        <v>73</v>
      </c>
      <c r="H37" s="3">
        <v>6.2</v>
      </c>
    </row>
    <row r="38" spans="1:8" x14ac:dyDescent="0.2">
      <c r="A38" s="3">
        <v>35</v>
      </c>
      <c r="B38" s="3" t="s">
        <v>593</v>
      </c>
      <c r="C38" s="5">
        <v>43526</v>
      </c>
      <c r="D38" s="3" t="s">
        <v>594</v>
      </c>
      <c r="E38" s="3">
        <v>0.1</v>
      </c>
      <c r="F38" s="3">
        <v>1.3</v>
      </c>
      <c r="G38" s="3">
        <v>49</v>
      </c>
      <c r="H38" s="3">
        <v>6.2</v>
      </c>
    </row>
    <row r="39" spans="1:8" x14ac:dyDescent="0.2">
      <c r="A39" s="3">
        <v>36</v>
      </c>
      <c r="B39" s="3" t="s">
        <v>595</v>
      </c>
      <c r="C39" s="4">
        <v>36647</v>
      </c>
      <c r="D39" s="3" t="s">
        <v>596</v>
      </c>
      <c r="E39" s="3">
        <v>0</v>
      </c>
      <c r="F39" s="3">
        <v>0.6</v>
      </c>
      <c r="G39" s="3">
        <v>42</v>
      </c>
      <c r="H39" s="3">
        <v>6.2</v>
      </c>
    </row>
    <row r="40" spans="1:8" x14ac:dyDescent="0.2">
      <c r="A40" s="3">
        <v>37</v>
      </c>
      <c r="B40" s="3" t="s">
        <v>597</v>
      </c>
      <c r="C40" s="5">
        <v>43556</v>
      </c>
      <c r="D40" s="3" t="s">
        <v>598</v>
      </c>
      <c r="E40" s="3">
        <v>0.1</v>
      </c>
      <c r="F40" s="3">
        <v>1.3</v>
      </c>
      <c r="G40" s="3">
        <v>26</v>
      </c>
      <c r="H40" s="3">
        <v>6</v>
      </c>
    </row>
    <row r="41" spans="1:8" x14ac:dyDescent="0.2">
      <c r="A41" s="3">
        <v>38</v>
      </c>
      <c r="B41" s="3" t="s">
        <v>599</v>
      </c>
      <c r="C41" s="5">
        <v>43527</v>
      </c>
      <c r="D41" s="3" t="s">
        <v>600</v>
      </c>
      <c r="E41" s="3">
        <v>0.5</v>
      </c>
      <c r="F41" s="3">
        <v>2.2000000000000002</v>
      </c>
      <c r="G41" s="3">
        <v>56</v>
      </c>
      <c r="H41" s="3">
        <v>5.5</v>
      </c>
    </row>
    <row r="42" spans="1:8" x14ac:dyDescent="0.2">
      <c r="A42" s="3">
        <v>39</v>
      </c>
      <c r="B42" s="3" t="s">
        <v>601</v>
      </c>
      <c r="C42" s="4">
        <v>36678</v>
      </c>
      <c r="D42" s="3" t="s">
        <v>602</v>
      </c>
      <c r="E42" s="3">
        <v>3.6</v>
      </c>
      <c r="F42" s="3">
        <v>16.3</v>
      </c>
      <c r="G42" s="3">
        <v>66</v>
      </c>
      <c r="H42" s="3">
        <v>5.5</v>
      </c>
    </row>
    <row r="43" spans="1:8" x14ac:dyDescent="0.2">
      <c r="A43" s="3">
        <v>40</v>
      </c>
      <c r="B43" s="3" t="s">
        <v>603</v>
      </c>
      <c r="C43" s="5">
        <v>43527</v>
      </c>
      <c r="D43" s="3" t="s">
        <v>604</v>
      </c>
      <c r="E43" s="3">
        <v>0.9</v>
      </c>
      <c r="F43" s="3">
        <v>0.4</v>
      </c>
      <c r="G43" s="3">
        <v>29</v>
      </c>
      <c r="H43" s="3">
        <v>5.3</v>
      </c>
    </row>
    <row r="44" spans="1:8" x14ac:dyDescent="0.2">
      <c r="A44" s="3" t="s">
        <v>467</v>
      </c>
      <c r="B44" s="3" t="s">
        <v>522</v>
      </c>
      <c r="C44" s="3" t="s">
        <v>498</v>
      </c>
      <c r="D44" s="3" t="s">
        <v>523</v>
      </c>
      <c r="E44" s="3" t="s">
        <v>524</v>
      </c>
      <c r="F44" s="3" t="s">
        <v>525</v>
      </c>
      <c r="G44" s="3" t="s">
        <v>526</v>
      </c>
      <c r="H44" s="3" t="s">
        <v>527</v>
      </c>
    </row>
    <row r="45" spans="1:8" x14ac:dyDescent="0.2">
      <c r="A45" s="3">
        <v>41</v>
      </c>
      <c r="B45" s="3" t="s">
        <v>605</v>
      </c>
      <c r="C45" s="4">
        <v>36647</v>
      </c>
      <c r="D45" s="3" t="s">
        <v>606</v>
      </c>
      <c r="E45" s="3">
        <v>1.6</v>
      </c>
      <c r="F45" s="3">
        <v>10.4</v>
      </c>
      <c r="G45" s="3">
        <v>63</v>
      </c>
      <c r="H45" s="3">
        <v>5.2</v>
      </c>
    </row>
    <row r="46" spans="1:8" x14ac:dyDescent="0.2">
      <c r="A46" s="3">
        <v>42</v>
      </c>
      <c r="B46" s="3" t="s">
        <v>607</v>
      </c>
      <c r="C46" s="5">
        <v>43499</v>
      </c>
      <c r="D46" s="3" t="s">
        <v>608</v>
      </c>
      <c r="E46" s="3">
        <v>0.3</v>
      </c>
      <c r="F46" s="3">
        <v>0</v>
      </c>
      <c r="G46" s="3">
        <v>72</v>
      </c>
      <c r="H46" s="3">
        <v>5.2</v>
      </c>
    </row>
    <row r="47" spans="1:8" x14ac:dyDescent="0.2">
      <c r="A47" s="3">
        <v>43</v>
      </c>
      <c r="B47" s="3" t="s">
        <v>609</v>
      </c>
      <c r="C47" s="5">
        <v>43526</v>
      </c>
      <c r="D47" s="3" t="s">
        <v>608</v>
      </c>
      <c r="E47" s="3">
        <v>0.1</v>
      </c>
      <c r="F47" s="3">
        <v>0.1</v>
      </c>
      <c r="G47" s="3">
        <v>37</v>
      </c>
      <c r="H47" s="3">
        <v>5</v>
      </c>
    </row>
    <row r="48" spans="1:8" x14ac:dyDescent="0.2">
      <c r="A48" s="3">
        <v>44</v>
      </c>
      <c r="B48" s="3" t="s">
        <v>610</v>
      </c>
      <c r="C48" s="5">
        <v>43526</v>
      </c>
      <c r="D48" s="3" t="s">
        <v>611</v>
      </c>
      <c r="E48" s="3">
        <v>0</v>
      </c>
      <c r="F48" s="3">
        <v>0</v>
      </c>
      <c r="G48" s="3">
        <v>25</v>
      </c>
      <c r="H48" s="3">
        <v>4.9000000000000004</v>
      </c>
    </row>
    <row r="49" spans="1:8" x14ac:dyDescent="0.2">
      <c r="A49" s="3">
        <v>45</v>
      </c>
      <c r="B49" s="3" t="s">
        <v>612</v>
      </c>
      <c r="C49" s="5">
        <v>43557</v>
      </c>
      <c r="D49" s="3" t="s">
        <v>613</v>
      </c>
      <c r="E49" s="3">
        <v>0.6</v>
      </c>
      <c r="F49" s="3">
        <v>0.1</v>
      </c>
      <c r="G49" s="3">
        <v>22</v>
      </c>
      <c r="H49" s="3">
        <v>4.8</v>
      </c>
    </row>
    <row r="50" spans="1:8" x14ac:dyDescent="0.2">
      <c r="A50" s="3">
        <v>46</v>
      </c>
      <c r="B50" s="3" t="s">
        <v>614</v>
      </c>
      <c r="C50" s="5">
        <v>43556</v>
      </c>
      <c r="D50" s="3" t="s">
        <v>615</v>
      </c>
      <c r="E50" s="3">
        <v>0</v>
      </c>
      <c r="F50" s="3">
        <v>1.2</v>
      </c>
      <c r="G50" s="3">
        <v>9</v>
      </c>
      <c r="H50" s="3">
        <v>4.5999999999999996</v>
      </c>
    </row>
    <row r="51" spans="1:8" x14ac:dyDescent="0.2">
      <c r="A51" s="3">
        <v>47</v>
      </c>
      <c r="B51" s="3" t="s">
        <v>616</v>
      </c>
      <c r="C51" s="4">
        <v>36647</v>
      </c>
      <c r="D51" s="3" t="s">
        <v>617</v>
      </c>
      <c r="E51" s="3">
        <v>0.1</v>
      </c>
      <c r="F51" s="3">
        <v>0.6</v>
      </c>
      <c r="G51" s="3">
        <v>52</v>
      </c>
      <c r="H51" s="3">
        <v>4.2</v>
      </c>
    </row>
    <row r="52" spans="1:8" x14ac:dyDescent="0.2">
      <c r="A52" s="3">
        <v>48</v>
      </c>
      <c r="B52" s="3" t="s">
        <v>618</v>
      </c>
      <c r="C52" s="5">
        <v>43556</v>
      </c>
      <c r="D52" s="3" t="s">
        <v>619</v>
      </c>
      <c r="E52" s="3">
        <v>0.5</v>
      </c>
      <c r="F52" s="3">
        <v>5.5</v>
      </c>
      <c r="G52" s="3">
        <v>68</v>
      </c>
      <c r="H52" s="3">
        <v>4.0999999999999996</v>
      </c>
    </row>
    <row r="53" spans="1:8" x14ac:dyDescent="0.2">
      <c r="A53" s="3">
        <v>49</v>
      </c>
      <c r="B53" s="3" t="s">
        <v>620</v>
      </c>
      <c r="C53" s="5">
        <v>43527</v>
      </c>
      <c r="D53" s="3" t="s">
        <v>621</v>
      </c>
      <c r="E53" s="3">
        <v>0</v>
      </c>
      <c r="F53" s="3">
        <v>0</v>
      </c>
      <c r="G53" s="3">
        <v>4</v>
      </c>
      <c r="H53" s="3">
        <v>3.7</v>
      </c>
    </row>
    <row r="54" spans="1:8" x14ac:dyDescent="0.2">
      <c r="A54" s="3">
        <v>50</v>
      </c>
      <c r="B54" s="3" t="s">
        <v>622</v>
      </c>
      <c r="C54" s="5">
        <v>43526</v>
      </c>
      <c r="D54" s="3" t="s">
        <v>623</v>
      </c>
      <c r="E54" s="3">
        <v>0.1</v>
      </c>
      <c r="F54" s="3">
        <v>0</v>
      </c>
      <c r="G54" s="3">
        <v>53</v>
      </c>
      <c r="H54" s="3">
        <v>3.7</v>
      </c>
    </row>
    <row r="55" spans="1:8" x14ac:dyDescent="0.2">
      <c r="A55" s="3">
        <v>51</v>
      </c>
      <c r="B55" s="3" t="s">
        <v>624</v>
      </c>
      <c r="C55" s="5">
        <v>43526</v>
      </c>
      <c r="D55" s="3" t="s">
        <v>625</v>
      </c>
      <c r="E55" s="3">
        <v>0</v>
      </c>
      <c r="F55" s="3">
        <v>0.2</v>
      </c>
      <c r="G55" s="3">
        <v>43</v>
      </c>
      <c r="H55" s="3">
        <v>3.4</v>
      </c>
    </row>
    <row r="56" spans="1:8" x14ac:dyDescent="0.2">
      <c r="A56" s="3">
        <v>52</v>
      </c>
      <c r="B56" s="3" t="s">
        <v>626</v>
      </c>
      <c r="C56" s="5">
        <v>43556</v>
      </c>
      <c r="D56" s="3" t="s">
        <v>627</v>
      </c>
      <c r="E56" s="3">
        <v>14.7</v>
      </c>
      <c r="F56" s="3">
        <v>51</v>
      </c>
      <c r="G56" s="3">
        <v>121</v>
      </c>
      <c r="H56" s="3">
        <v>3</v>
      </c>
    </row>
    <row r="57" spans="1:8" x14ac:dyDescent="0.2">
      <c r="A57" s="3">
        <v>53</v>
      </c>
      <c r="B57" s="3" t="s">
        <v>628</v>
      </c>
      <c r="C57" s="5">
        <v>43469</v>
      </c>
      <c r="D57" s="3" t="s">
        <v>629</v>
      </c>
      <c r="E57" s="3">
        <v>0</v>
      </c>
      <c r="F57" s="3">
        <v>0</v>
      </c>
      <c r="G57" s="3">
        <v>40</v>
      </c>
      <c r="H57" s="3">
        <v>2.9</v>
      </c>
    </row>
    <row r="58" spans="1:8" x14ac:dyDescent="0.2">
      <c r="A58" s="3">
        <v>54</v>
      </c>
      <c r="B58" s="3" t="s">
        <v>630</v>
      </c>
      <c r="C58" s="5">
        <v>43557</v>
      </c>
      <c r="D58" s="3" t="s">
        <v>608</v>
      </c>
      <c r="E58" s="3">
        <v>0</v>
      </c>
      <c r="F58" s="3">
        <v>0.1</v>
      </c>
      <c r="G58" s="3">
        <v>12</v>
      </c>
      <c r="H58" s="3">
        <v>2.7</v>
      </c>
    </row>
    <row r="59" spans="1:8" x14ac:dyDescent="0.2">
      <c r="A59" s="3">
        <v>55</v>
      </c>
      <c r="B59" s="3" t="s">
        <v>631</v>
      </c>
      <c r="C59" s="5">
        <v>43557</v>
      </c>
      <c r="D59" s="3" t="s">
        <v>565</v>
      </c>
      <c r="E59" s="3">
        <v>0.9</v>
      </c>
      <c r="F59" s="3">
        <v>0.7</v>
      </c>
      <c r="G59" s="3">
        <v>57</v>
      </c>
      <c r="H59" s="3">
        <v>2.2999999999999998</v>
      </c>
    </row>
    <row r="60" spans="1:8" x14ac:dyDescent="0.2">
      <c r="A60" s="3">
        <v>56</v>
      </c>
      <c r="B60" s="3" t="s">
        <v>632</v>
      </c>
      <c r="C60" s="5">
        <v>43526</v>
      </c>
      <c r="D60" s="3" t="s">
        <v>633</v>
      </c>
      <c r="E60" s="3">
        <v>2.1</v>
      </c>
      <c r="F60" s="3">
        <v>16.899999999999999</v>
      </c>
      <c r="G60" s="3">
        <v>79</v>
      </c>
      <c r="H60" s="3">
        <v>1.8</v>
      </c>
    </row>
    <row r="61" spans="1:8" x14ac:dyDescent="0.2">
      <c r="A61" s="3">
        <v>57</v>
      </c>
      <c r="B61" s="3" t="s">
        <v>634</v>
      </c>
      <c r="C61" s="5">
        <v>43526</v>
      </c>
      <c r="D61" s="3" t="s">
        <v>635</v>
      </c>
      <c r="E61" s="3">
        <v>0</v>
      </c>
      <c r="F61" s="3">
        <v>0.1</v>
      </c>
      <c r="G61" s="3">
        <v>30</v>
      </c>
      <c r="H61" s="3">
        <v>1.5</v>
      </c>
    </row>
    <row r="62" spans="1:8" x14ac:dyDescent="0.2">
      <c r="A62" s="3">
        <v>58</v>
      </c>
      <c r="B62" s="3" t="s">
        <v>636</v>
      </c>
      <c r="C62" s="5">
        <v>43499</v>
      </c>
      <c r="D62" s="3" t="s">
        <v>613</v>
      </c>
      <c r="E62" s="3">
        <v>4.8</v>
      </c>
      <c r="F62" s="3" t="s">
        <v>544</v>
      </c>
      <c r="G62" s="3">
        <v>93</v>
      </c>
      <c r="H62" s="3">
        <v>1.5</v>
      </c>
    </row>
    <row r="63" spans="1:8" x14ac:dyDescent="0.2">
      <c r="A63" s="3">
        <v>59</v>
      </c>
      <c r="B63" s="3" t="s">
        <v>637</v>
      </c>
      <c r="C63" s="4">
        <v>36617</v>
      </c>
      <c r="D63" s="3" t="s">
        <v>638</v>
      </c>
      <c r="E63" s="3">
        <v>1.5</v>
      </c>
      <c r="F63" s="3">
        <v>39.700000000000003</v>
      </c>
      <c r="G63" s="3">
        <v>119</v>
      </c>
      <c r="H63" s="3">
        <v>1.4</v>
      </c>
    </row>
    <row r="64" spans="1:8" x14ac:dyDescent="0.2">
      <c r="A64" s="3">
        <v>60</v>
      </c>
      <c r="B64" s="3" t="s">
        <v>639</v>
      </c>
      <c r="C64" s="5">
        <v>43470</v>
      </c>
      <c r="D64" s="3" t="s">
        <v>640</v>
      </c>
      <c r="E64" s="3">
        <v>0</v>
      </c>
      <c r="F64" s="3">
        <v>0.1</v>
      </c>
      <c r="G64" s="3">
        <v>18</v>
      </c>
      <c r="H64" s="3">
        <v>1.4</v>
      </c>
    </row>
    <row r="65" spans="1:8" x14ac:dyDescent="0.2">
      <c r="A65" s="3" t="s">
        <v>467</v>
      </c>
      <c r="B65" s="3" t="s">
        <v>522</v>
      </c>
      <c r="C65" s="3" t="s">
        <v>498</v>
      </c>
      <c r="D65" s="3" t="s">
        <v>523</v>
      </c>
      <c r="E65" s="3" t="s">
        <v>524</v>
      </c>
      <c r="F65" s="3" t="s">
        <v>525</v>
      </c>
      <c r="G65" s="3" t="s">
        <v>526</v>
      </c>
      <c r="H65" s="3" t="s">
        <v>527</v>
      </c>
    </row>
    <row r="66" spans="1:8" x14ac:dyDescent="0.2">
      <c r="A66" s="3">
        <v>61</v>
      </c>
      <c r="B66" s="3" t="s">
        <v>641</v>
      </c>
      <c r="C66" s="5">
        <v>43526</v>
      </c>
      <c r="D66" s="3" t="s">
        <v>642</v>
      </c>
      <c r="E66" s="3">
        <v>0</v>
      </c>
      <c r="F66" s="3">
        <v>0.1</v>
      </c>
      <c r="G66" s="3">
        <v>6</v>
      </c>
      <c r="H66" s="3">
        <v>1.1000000000000001</v>
      </c>
    </row>
    <row r="67" spans="1:8" x14ac:dyDescent="0.2">
      <c r="A67" s="3">
        <v>62</v>
      </c>
      <c r="B67" s="3" t="s">
        <v>643</v>
      </c>
      <c r="C67" s="5">
        <v>43499</v>
      </c>
      <c r="D67" s="3" t="s">
        <v>629</v>
      </c>
      <c r="E67" s="3">
        <v>0</v>
      </c>
      <c r="F67" s="3">
        <v>0.1</v>
      </c>
      <c r="G67" s="3">
        <v>7</v>
      </c>
      <c r="H67" s="3">
        <v>1.1000000000000001</v>
      </c>
    </row>
    <row r="68" spans="1:8" x14ac:dyDescent="0.2">
      <c r="A68" s="3">
        <v>63</v>
      </c>
      <c r="B68" s="3" t="s">
        <v>644</v>
      </c>
      <c r="C68" s="5">
        <v>43469</v>
      </c>
      <c r="D68" s="3" t="s">
        <v>645</v>
      </c>
      <c r="E68" s="3">
        <v>0</v>
      </c>
      <c r="F68" s="3">
        <v>0</v>
      </c>
      <c r="G68" s="3">
        <v>64</v>
      </c>
      <c r="H68" s="3">
        <v>0.7</v>
      </c>
    </row>
    <row r="69" spans="1:8" x14ac:dyDescent="0.2">
      <c r="A69" s="3">
        <v>64</v>
      </c>
      <c r="B69" s="3" t="s">
        <v>646</v>
      </c>
      <c r="C69" s="5">
        <v>43499</v>
      </c>
      <c r="D69" s="3" t="s">
        <v>647</v>
      </c>
      <c r="E69" s="3">
        <v>0.1</v>
      </c>
      <c r="F69" s="3">
        <v>0.5</v>
      </c>
      <c r="G69" s="3">
        <v>71</v>
      </c>
      <c r="H69" s="3">
        <v>0.6</v>
      </c>
    </row>
    <row r="70" spans="1:8" x14ac:dyDescent="0.2">
      <c r="A70" s="3">
        <v>65</v>
      </c>
      <c r="B70" s="3" t="s">
        <v>648</v>
      </c>
      <c r="C70" s="5">
        <v>43556</v>
      </c>
      <c r="D70" s="3" t="s">
        <v>649</v>
      </c>
      <c r="E70" s="3">
        <v>17.3</v>
      </c>
      <c r="F70" s="3">
        <v>56.2</v>
      </c>
      <c r="G70" s="3">
        <v>130</v>
      </c>
      <c r="H70" s="3">
        <v>0.5</v>
      </c>
    </row>
    <row r="71" spans="1:8" x14ac:dyDescent="0.2">
      <c r="A71" s="3">
        <v>66</v>
      </c>
      <c r="B71" s="3" t="s">
        <v>650</v>
      </c>
      <c r="C71" s="5">
        <v>43526</v>
      </c>
      <c r="D71" s="3" t="s">
        <v>608</v>
      </c>
      <c r="E71" s="3">
        <v>0</v>
      </c>
      <c r="F71" s="3">
        <v>0</v>
      </c>
      <c r="G71" s="3">
        <v>58</v>
      </c>
      <c r="H71" s="3">
        <v>0.4</v>
      </c>
    </row>
    <row r="72" spans="1:8" x14ac:dyDescent="0.2">
      <c r="A72" s="3">
        <v>67</v>
      </c>
      <c r="B72" s="3" t="s">
        <v>651</v>
      </c>
      <c r="C72" s="5">
        <v>43526</v>
      </c>
      <c r="D72" s="3" t="s">
        <v>652</v>
      </c>
      <c r="E72" s="3">
        <v>2.7</v>
      </c>
      <c r="F72" s="3">
        <v>1.8</v>
      </c>
      <c r="G72" s="3">
        <v>86</v>
      </c>
      <c r="H72" s="3">
        <v>0.4</v>
      </c>
    </row>
    <row r="73" spans="1:8" x14ac:dyDescent="0.2">
      <c r="A73" s="3">
        <v>68</v>
      </c>
      <c r="B73" s="3" t="s">
        <v>653</v>
      </c>
      <c r="C73" s="5">
        <v>43526</v>
      </c>
      <c r="D73" s="3" t="s">
        <v>590</v>
      </c>
      <c r="E73" s="3">
        <v>0.2</v>
      </c>
      <c r="F73" s="3">
        <v>0</v>
      </c>
      <c r="G73" s="3">
        <v>55</v>
      </c>
      <c r="H73" s="3">
        <v>0.3</v>
      </c>
    </row>
    <row r="74" spans="1:8" x14ac:dyDescent="0.2">
      <c r="A74" s="3">
        <v>69</v>
      </c>
      <c r="B74" s="3" t="s">
        <v>654</v>
      </c>
      <c r="C74" s="5">
        <v>43556</v>
      </c>
      <c r="D74" s="3" t="s">
        <v>655</v>
      </c>
      <c r="E74" s="3">
        <v>1.4</v>
      </c>
      <c r="F74" s="3">
        <v>14</v>
      </c>
      <c r="G74" s="3">
        <v>104</v>
      </c>
      <c r="H74" s="3">
        <v>0.2</v>
      </c>
    </row>
    <row r="75" spans="1:8" x14ac:dyDescent="0.2">
      <c r="A75" s="3">
        <v>70</v>
      </c>
      <c r="B75" s="3" t="s">
        <v>656</v>
      </c>
      <c r="C75" s="5">
        <v>43527</v>
      </c>
      <c r="D75" s="3" t="s">
        <v>657</v>
      </c>
      <c r="E75" s="3">
        <v>22.1</v>
      </c>
      <c r="F75" s="3">
        <v>11.2</v>
      </c>
      <c r="G75" s="3">
        <v>100</v>
      </c>
      <c r="H75" s="3">
        <v>0.2</v>
      </c>
    </row>
    <row r="76" spans="1:8" x14ac:dyDescent="0.2">
      <c r="A76" s="3">
        <v>71</v>
      </c>
      <c r="B76" s="3" t="s">
        <v>658</v>
      </c>
      <c r="C76" s="5">
        <v>43526</v>
      </c>
      <c r="D76" s="3" t="s">
        <v>659</v>
      </c>
      <c r="E76" s="3">
        <v>0</v>
      </c>
      <c r="F76" s="3">
        <v>0</v>
      </c>
      <c r="G76" s="3">
        <v>8</v>
      </c>
      <c r="H76" s="3">
        <v>-0.1</v>
      </c>
    </row>
    <row r="77" spans="1:8" x14ac:dyDescent="0.2">
      <c r="A77" s="3">
        <v>72</v>
      </c>
      <c r="B77" s="3" t="s">
        <v>660</v>
      </c>
      <c r="C77" s="5">
        <v>43556</v>
      </c>
      <c r="D77" s="3" t="s">
        <v>661</v>
      </c>
      <c r="E77" s="3">
        <v>1.1000000000000001</v>
      </c>
      <c r="F77" s="3">
        <v>6.8</v>
      </c>
      <c r="G77" s="3">
        <v>92</v>
      </c>
      <c r="H77" s="3">
        <v>-0.8</v>
      </c>
    </row>
    <row r="78" spans="1:8" x14ac:dyDescent="0.2">
      <c r="A78" s="3">
        <v>73</v>
      </c>
      <c r="B78" s="3" t="s">
        <v>662</v>
      </c>
      <c r="C78" s="5">
        <v>43526</v>
      </c>
      <c r="D78" s="3" t="s">
        <v>608</v>
      </c>
      <c r="E78" s="3">
        <v>0</v>
      </c>
      <c r="F78" s="3">
        <v>0.1</v>
      </c>
      <c r="G78" s="3">
        <v>67</v>
      </c>
      <c r="H78" s="3">
        <v>-1</v>
      </c>
    </row>
    <row r="79" spans="1:8" x14ac:dyDescent="0.2">
      <c r="A79" s="3">
        <v>74</v>
      </c>
      <c r="B79" s="3" t="s">
        <v>663</v>
      </c>
      <c r="C79" s="5">
        <v>43498</v>
      </c>
      <c r="D79" s="3" t="s">
        <v>664</v>
      </c>
      <c r="E79" s="3">
        <v>0.4</v>
      </c>
      <c r="F79" s="3">
        <v>6</v>
      </c>
      <c r="G79" s="3">
        <v>113</v>
      </c>
      <c r="H79" s="3">
        <v>-1.1000000000000001</v>
      </c>
    </row>
    <row r="80" spans="1:8" x14ac:dyDescent="0.2">
      <c r="A80" s="3">
        <v>75</v>
      </c>
      <c r="B80" s="3" t="s">
        <v>665</v>
      </c>
      <c r="C80" s="5">
        <v>43556</v>
      </c>
      <c r="D80" s="3" t="s">
        <v>666</v>
      </c>
      <c r="E80" s="3">
        <v>0.4</v>
      </c>
      <c r="F80" s="3">
        <v>3.1</v>
      </c>
      <c r="G80" s="3">
        <v>82</v>
      </c>
      <c r="H80" s="3">
        <v>-1.6</v>
      </c>
    </row>
    <row r="81" spans="1:8" x14ac:dyDescent="0.2">
      <c r="A81" s="3">
        <v>76</v>
      </c>
      <c r="B81" s="3" t="s">
        <v>667</v>
      </c>
      <c r="C81" s="5">
        <v>43525</v>
      </c>
      <c r="D81" s="3" t="s">
        <v>560</v>
      </c>
      <c r="E81" s="3">
        <v>0</v>
      </c>
      <c r="F81" s="3">
        <v>0.6</v>
      </c>
      <c r="G81" s="3">
        <v>81</v>
      </c>
      <c r="H81" s="3">
        <v>-3</v>
      </c>
    </row>
    <row r="82" spans="1:8" x14ac:dyDescent="0.2">
      <c r="A82" s="3">
        <v>77</v>
      </c>
      <c r="B82" s="3" t="s">
        <v>668</v>
      </c>
      <c r="C82" s="5">
        <v>43556</v>
      </c>
      <c r="D82" s="3" t="s">
        <v>580</v>
      </c>
      <c r="E82" s="3">
        <v>0</v>
      </c>
      <c r="F82" s="3">
        <v>0.4</v>
      </c>
      <c r="G82" s="3">
        <v>61</v>
      </c>
      <c r="H82" s="3">
        <v>-3.1</v>
      </c>
    </row>
    <row r="83" spans="1:8" x14ac:dyDescent="0.2">
      <c r="A83" s="3">
        <v>78</v>
      </c>
      <c r="B83" s="3" t="s">
        <v>669</v>
      </c>
      <c r="C83" s="5">
        <v>43527</v>
      </c>
      <c r="D83" s="3" t="s">
        <v>670</v>
      </c>
      <c r="E83" s="3">
        <v>0</v>
      </c>
      <c r="F83" s="3">
        <v>0</v>
      </c>
      <c r="G83" s="3">
        <v>14</v>
      </c>
      <c r="H83" s="3">
        <v>-3.1</v>
      </c>
    </row>
    <row r="84" spans="1:8" x14ac:dyDescent="0.2">
      <c r="A84" s="3">
        <v>79</v>
      </c>
      <c r="B84" s="3" t="s">
        <v>671</v>
      </c>
      <c r="C84" s="5">
        <v>43469</v>
      </c>
      <c r="D84" s="3" t="s">
        <v>672</v>
      </c>
      <c r="E84" s="3">
        <v>0</v>
      </c>
      <c r="F84" s="3">
        <v>0</v>
      </c>
      <c r="G84" s="3">
        <v>51</v>
      </c>
      <c r="H84" s="3">
        <v>-3.1</v>
      </c>
    </row>
    <row r="85" spans="1:8" x14ac:dyDescent="0.2">
      <c r="A85" s="3">
        <v>80</v>
      </c>
      <c r="B85" s="3" t="s">
        <v>673</v>
      </c>
      <c r="C85" s="5">
        <v>43526</v>
      </c>
      <c r="D85" s="3" t="s">
        <v>674</v>
      </c>
      <c r="E85" s="3">
        <v>6.9</v>
      </c>
      <c r="F85" s="3">
        <v>32.9</v>
      </c>
      <c r="G85" s="3">
        <v>127</v>
      </c>
      <c r="H85" s="3">
        <v>-3.2</v>
      </c>
    </row>
    <row r="86" spans="1:8" x14ac:dyDescent="0.2">
      <c r="A86" s="3" t="s">
        <v>467</v>
      </c>
      <c r="B86" s="3" t="s">
        <v>522</v>
      </c>
      <c r="C86" s="3" t="s">
        <v>498</v>
      </c>
      <c r="D86" s="3" t="s">
        <v>523</v>
      </c>
      <c r="E86" s="3" t="s">
        <v>524</v>
      </c>
      <c r="F86" s="3" t="s">
        <v>525</v>
      </c>
      <c r="G86" s="3" t="s">
        <v>526</v>
      </c>
      <c r="H86" s="3" t="s">
        <v>527</v>
      </c>
    </row>
    <row r="87" spans="1:8" x14ac:dyDescent="0.2">
      <c r="A87" s="3">
        <v>81</v>
      </c>
      <c r="B87" s="3" t="s">
        <v>675</v>
      </c>
      <c r="C87" s="5">
        <v>43526</v>
      </c>
      <c r="D87" s="3" t="s">
        <v>676</v>
      </c>
      <c r="E87" s="3">
        <v>0.9</v>
      </c>
      <c r="F87" s="3" t="s">
        <v>544</v>
      </c>
      <c r="G87" s="3">
        <v>108</v>
      </c>
      <c r="H87" s="3">
        <v>-3.2</v>
      </c>
    </row>
    <row r="88" spans="1:8" x14ac:dyDescent="0.2">
      <c r="A88" s="3">
        <v>82</v>
      </c>
      <c r="B88" s="3" t="s">
        <v>677</v>
      </c>
      <c r="C88" s="5">
        <v>43499</v>
      </c>
      <c r="D88" s="3" t="s">
        <v>678</v>
      </c>
      <c r="E88" s="3">
        <v>0</v>
      </c>
      <c r="F88" s="3">
        <v>0</v>
      </c>
      <c r="G88" s="3">
        <v>10</v>
      </c>
      <c r="H88" s="3">
        <v>-3.3</v>
      </c>
    </row>
    <row r="89" spans="1:8" x14ac:dyDescent="0.2">
      <c r="A89" s="3">
        <v>83</v>
      </c>
      <c r="B89" s="3" t="s">
        <v>679</v>
      </c>
      <c r="C89" s="5">
        <v>43499</v>
      </c>
      <c r="D89" s="3" t="s">
        <v>659</v>
      </c>
      <c r="E89" s="3">
        <v>0</v>
      </c>
      <c r="F89" s="3">
        <v>0.1</v>
      </c>
      <c r="G89" s="3">
        <v>65</v>
      </c>
      <c r="H89" s="3">
        <v>-3.7</v>
      </c>
    </row>
    <row r="90" spans="1:8" x14ac:dyDescent="0.2">
      <c r="A90" s="3">
        <v>84</v>
      </c>
      <c r="B90" s="3" t="s">
        <v>680</v>
      </c>
      <c r="C90" s="5">
        <v>43469</v>
      </c>
      <c r="D90" s="3" t="s">
        <v>681</v>
      </c>
      <c r="E90" s="3">
        <v>0</v>
      </c>
      <c r="F90" s="3">
        <v>0</v>
      </c>
      <c r="G90" s="3">
        <v>60</v>
      </c>
      <c r="H90" s="3">
        <v>-4.5</v>
      </c>
    </row>
    <row r="91" spans="1:8" x14ac:dyDescent="0.2">
      <c r="A91" s="3">
        <v>85</v>
      </c>
      <c r="B91" s="3" t="s">
        <v>682</v>
      </c>
      <c r="C91" s="5">
        <v>43526</v>
      </c>
      <c r="D91" s="3" t="s">
        <v>683</v>
      </c>
      <c r="E91" s="3">
        <v>2.4</v>
      </c>
      <c r="F91" s="3">
        <v>17.2</v>
      </c>
      <c r="G91" s="3">
        <v>118</v>
      </c>
      <c r="H91" s="3">
        <v>-4.5</v>
      </c>
    </row>
    <row r="92" spans="1:8" x14ac:dyDescent="0.2">
      <c r="A92" s="3">
        <v>86</v>
      </c>
      <c r="B92" s="3" t="s">
        <v>684</v>
      </c>
      <c r="C92" s="5">
        <v>43499</v>
      </c>
      <c r="D92" s="3" t="s">
        <v>573</v>
      </c>
      <c r="E92" s="3">
        <v>3.3</v>
      </c>
      <c r="F92" s="3">
        <v>17.7</v>
      </c>
      <c r="G92" s="3">
        <v>124</v>
      </c>
      <c r="H92" s="3">
        <v>-4.7</v>
      </c>
    </row>
    <row r="93" spans="1:8" x14ac:dyDescent="0.2">
      <c r="A93" s="3">
        <v>87</v>
      </c>
      <c r="B93" s="3" t="s">
        <v>685</v>
      </c>
      <c r="C93" s="5">
        <v>43527</v>
      </c>
      <c r="D93" s="3" t="s">
        <v>686</v>
      </c>
      <c r="E93" s="3">
        <v>2</v>
      </c>
      <c r="F93" s="3">
        <v>5</v>
      </c>
      <c r="G93" s="3">
        <v>94</v>
      </c>
      <c r="H93" s="3">
        <v>-6.1</v>
      </c>
    </row>
    <row r="94" spans="1:8" x14ac:dyDescent="0.2">
      <c r="A94" s="3">
        <v>88</v>
      </c>
      <c r="B94" s="3" t="s">
        <v>687</v>
      </c>
      <c r="C94" s="5">
        <v>43499</v>
      </c>
      <c r="D94" s="3" t="s">
        <v>584</v>
      </c>
      <c r="E94" s="3">
        <v>1.5</v>
      </c>
      <c r="F94" s="3">
        <v>3.9</v>
      </c>
      <c r="G94" s="3">
        <v>123</v>
      </c>
      <c r="H94" s="3">
        <v>-6.6</v>
      </c>
    </row>
    <row r="95" spans="1:8" x14ac:dyDescent="0.2">
      <c r="A95" s="3">
        <v>89</v>
      </c>
      <c r="B95" s="3" t="s">
        <v>688</v>
      </c>
      <c r="C95" s="5">
        <v>43499</v>
      </c>
      <c r="D95" s="3" t="s">
        <v>681</v>
      </c>
      <c r="E95" s="3">
        <v>0</v>
      </c>
      <c r="F95" s="3">
        <v>0</v>
      </c>
      <c r="G95" s="3">
        <v>45</v>
      </c>
      <c r="H95" s="3">
        <v>-7</v>
      </c>
    </row>
    <row r="96" spans="1:8" x14ac:dyDescent="0.2">
      <c r="A96" s="3">
        <v>90</v>
      </c>
      <c r="B96" s="3" t="s">
        <v>689</v>
      </c>
      <c r="C96" s="5">
        <v>43499</v>
      </c>
      <c r="D96" s="3" t="s">
        <v>590</v>
      </c>
      <c r="E96" s="3">
        <v>0.5</v>
      </c>
      <c r="F96" s="3">
        <v>0.7</v>
      </c>
      <c r="G96" s="3">
        <v>106</v>
      </c>
      <c r="H96" s="3">
        <v>-7.5</v>
      </c>
    </row>
    <row r="97" spans="1:8" x14ac:dyDescent="0.2">
      <c r="A97" s="3">
        <v>91</v>
      </c>
      <c r="B97" s="3" t="s">
        <v>690</v>
      </c>
      <c r="C97" s="5">
        <v>43499</v>
      </c>
      <c r="D97" s="3" t="s">
        <v>691</v>
      </c>
      <c r="E97" s="3">
        <v>1.3</v>
      </c>
      <c r="F97" s="3">
        <v>19.2</v>
      </c>
      <c r="G97" s="3">
        <v>128</v>
      </c>
      <c r="H97" s="3">
        <v>-7.6</v>
      </c>
    </row>
    <row r="98" spans="1:8" x14ac:dyDescent="0.2">
      <c r="A98" s="3">
        <v>92</v>
      </c>
      <c r="B98" s="3" t="s">
        <v>692</v>
      </c>
      <c r="C98" s="5">
        <v>43499</v>
      </c>
      <c r="D98" s="3" t="s">
        <v>693</v>
      </c>
      <c r="E98" s="3">
        <v>0</v>
      </c>
      <c r="F98" s="3">
        <v>0.1</v>
      </c>
      <c r="G98" s="3">
        <v>70</v>
      </c>
      <c r="H98" s="3">
        <v>-7.7</v>
      </c>
    </row>
    <row r="99" spans="1:8" x14ac:dyDescent="0.2">
      <c r="A99" s="3">
        <v>93</v>
      </c>
      <c r="B99" s="3" t="s">
        <v>694</v>
      </c>
      <c r="C99" s="5">
        <v>43556</v>
      </c>
      <c r="D99" s="3" t="s">
        <v>661</v>
      </c>
      <c r="E99" s="3">
        <v>1.4</v>
      </c>
      <c r="F99" s="3">
        <v>11.4</v>
      </c>
      <c r="G99" s="3">
        <v>126</v>
      </c>
      <c r="H99" s="3">
        <v>-8.1</v>
      </c>
    </row>
    <row r="100" spans="1:8" x14ac:dyDescent="0.2">
      <c r="A100" s="3">
        <v>94</v>
      </c>
      <c r="B100" s="3" t="s">
        <v>695</v>
      </c>
      <c r="C100" s="5">
        <v>43499</v>
      </c>
      <c r="D100" s="3" t="s">
        <v>696</v>
      </c>
      <c r="E100" s="3">
        <v>0.1</v>
      </c>
      <c r="F100" s="3">
        <v>1</v>
      </c>
      <c r="G100" s="3">
        <v>97</v>
      </c>
      <c r="H100" s="3">
        <v>-8.5</v>
      </c>
    </row>
    <row r="101" spans="1:8" x14ac:dyDescent="0.2">
      <c r="A101" s="3">
        <v>95</v>
      </c>
      <c r="B101" s="3" t="s">
        <v>697</v>
      </c>
      <c r="C101" s="5">
        <v>43526</v>
      </c>
      <c r="D101" s="3" t="s">
        <v>698</v>
      </c>
      <c r="E101" s="3">
        <v>0.1</v>
      </c>
      <c r="F101" s="3">
        <v>11.1</v>
      </c>
      <c r="G101" s="3">
        <v>102</v>
      </c>
      <c r="H101" s="3">
        <v>-8.5</v>
      </c>
    </row>
    <row r="102" spans="1:8" x14ac:dyDescent="0.2">
      <c r="A102" s="3">
        <v>96</v>
      </c>
      <c r="B102" s="3" t="s">
        <v>699</v>
      </c>
      <c r="C102" s="5">
        <v>43499</v>
      </c>
      <c r="D102" s="3" t="s">
        <v>577</v>
      </c>
      <c r="E102" s="3">
        <v>0.1</v>
      </c>
      <c r="F102" s="3">
        <v>2.6</v>
      </c>
      <c r="G102" s="3">
        <v>105</v>
      </c>
      <c r="H102" s="3">
        <v>-9.4</v>
      </c>
    </row>
    <row r="103" spans="1:8" x14ac:dyDescent="0.2">
      <c r="A103" s="3">
        <v>97</v>
      </c>
      <c r="B103" s="3" t="s">
        <v>700</v>
      </c>
      <c r="C103" s="5">
        <v>43499</v>
      </c>
      <c r="D103" s="3" t="s">
        <v>701</v>
      </c>
      <c r="E103" s="3">
        <v>0.1</v>
      </c>
      <c r="F103" s="3">
        <v>1</v>
      </c>
      <c r="G103" s="3">
        <v>112</v>
      </c>
      <c r="H103" s="3">
        <v>-9.4</v>
      </c>
    </row>
    <row r="104" spans="1:8" x14ac:dyDescent="0.2">
      <c r="A104" s="3">
        <v>98</v>
      </c>
      <c r="B104" s="3" t="s">
        <v>702</v>
      </c>
      <c r="C104" s="5">
        <v>43526</v>
      </c>
      <c r="D104" s="3" t="s">
        <v>703</v>
      </c>
      <c r="E104" s="3">
        <v>0.2</v>
      </c>
      <c r="F104" s="3">
        <v>0.3</v>
      </c>
      <c r="G104" s="3">
        <v>107</v>
      </c>
      <c r="H104" s="3">
        <v>-9.5</v>
      </c>
    </row>
    <row r="105" spans="1:8" x14ac:dyDescent="0.2">
      <c r="A105" s="3">
        <v>99</v>
      </c>
      <c r="B105" s="3" t="s">
        <v>704</v>
      </c>
      <c r="C105" s="5">
        <v>43526</v>
      </c>
      <c r="D105" s="3" t="s">
        <v>615</v>
      </c>
      <c r="E105" s="3">
        <v>0.1</v>
      </c>
      <c r="F105" s="3">
        <v>1.5</v>
      </c>
      <c r="G105" s="3">
        <v>111</v>
      </c>
      <c r="H105" s="3">
        <v>-9.6999999999999993</v>
      </c>
    </row>
    <row r="106" spans="1:8" x14ac:dyDescent="0.2">
      <c r="A106" s="3">
        <v>100</v>
      </c>
      <c r="B106" s="3" t="s">
        <v>705</v>
      </c>
      <c r="C106" s="5">
        <v>43556</v>
      </c>
      <c r="D106" s="3" t="s">
        <v>706</v>
      </c>
      <c r="E106" s="3">
        <v>0.1</v>
      </c>
      <c r="F106" s="3">
        <v>2.1</v>
      </c>
      <c r="G106" s="3">
        <v>109</v>
      </c>
      <c r="H106" s="3">
        <v>-10.3</v>
      </c>
    </row>
    <row r="107" spans="1:8" x14ac:dyDescent="0.2">
      <c r="A107" s="3" t="s">
        <v>467</v>
      </c>
      <c r="B107" s="3" t="s">
        <v>522</v>
      </c>
      <c r="C107" s="3" t="s">
        <v>498</v>
      </c>
      <c r="D107" s="3" t="s">
        <v>523</v>
      </c>
      <c r="E107" s="3" t="s">
        <v>524</v>
      </c>
      <c r="F107" s="3" t="s">
        <v>525</v>
      </c>
      <c r="G107" s="3" t="s">
        <v>526</v>
      </c>
      <c r="H107" s="3" t="s">
        <v>527</v>
      </c>
    </row>
    <row r="108" spans="1:8" x14ac:dyDescent="0.2">
      <c r="A108" s="3">
        <v>101</v>
      </c>
      <c r="B108" s="3" t="s">
        <v>707</v>
      </c>
      <c r="C108" s="5">
        <v>43500</v>
      </c>
      <c r="D108" s="3" t="s">
        <v>708</v>
      </c>
      <c r="E108" s="3">
        <v>0</v>
      </c>
      <c r="F108" s="3">
        <v>0</v>
      </c>
      <c r="G108" s="3">
        <v>5</v>
      </c>
      <c r="H108" s="3">
        <v>-10.5</v>
      </c>
    </row>
    <row r="109" spans="1:8" x14ac:dyDescent="0.2">
      <c r="A109" s="3">
        <v>102</v>
      </c>
      <c r="B109" s="3" t="s">
        <v>709</v>
      </c>
      <c r="C109" s="5">
        <v>43469</v>
      </c>
      <c r="D109" s="3" t="s">
        <v>693</v>
      </c>
      <c r="E109" s="3">
        <v>0.1</v>
      </c>
      <c r="F109" s="3">
        <v>0.3</v>
      </c>
      <c r="G109" s="3">
        <v>103</v>
      </c>
      <c r="H109" s="3">
        <v>-10.5</v>
      </c>
    </row>
    <row r="110" spans="1:8" x14ac:dyDescent="0.2">
      <c r="A110" s="3">
        <v>103</v>
      </c>
      <c r="B110" s="3" t="s">
        <v>710</v>
      </c>
      <c r="C110" s="5">
        <v>43499</v>
      </c>
      <c r="D110" s="3" t="s">
        <v>711</v>
      </c>
      <c r="E110" s="3">
        <v>0.1</v>
      </c>
      <c r="F110" s="3">
        <v>2.8</v>
      </c>
      <c r="G110" s="3">
        <v>114</v>
      </c>
      <c r="H110" s="3">
        <v>-10.6</v>
      </c>
    </row>
    <row r="111" spans="1:8" x14ac:dyDescent="0.2">
      <c r="A111" s="3">
        <v>104</v>
      </c>
      <c r="B111" s="3" t="s">
        <v>712</v>
      </c>
      <c r="C111" s="5">
        <v>43527</v>
      </c>
      <c r="D111" s="3" t="s">
        <v>615</v>
      </c>
      <c r="E111" s="3">
        <v>1.2</v>
      </c>
      <c r="F111" s="3">
        <v>1.7</v>
      </c>
      <c r="G111" s="3">
        <v>98</v>
      </c>
      <c r="H111" s="3">
        <v>-10.7</v>
      </c>
    </row>
    <row r="112" spans="1:8" x14ac:dyDescent="0.2">
      <c r="A112" s="3">
        <v>105</v>
      </c>
      <c r="B112" s="3" t="s">
        <v>713</v>
      </c>
      <c r="C112" s="5">
        <v>43557</v>
      </c>
      <c r="D112" s="3" t="s">
        <v>714</v>
      </c>
      <c r="E112" s="3">
        <v>0.3</v>
      </c>
      <c r="F112" s="3" t="s">
        <v>544</v>
      </c>
      <c r="G112" s="3">
        <v>84</v>
      </c>
      <c r="H112" s="3">
        <v>-11.2</v>
      </c>
    </row>
    <row r="113" spans="1:8" x14ac:dyDescent="0.2">
      <c r="A113" s="3">
        <v>106</v>
      </c>
      <c r="B113" s="3" t="s">
        <v>715</v>
      </c>
      <c r="C113" s="5">
        <v>43499</v>
      </c>
      <c r="D113" s="3" t="s">
        <v>716</v>
      </c>
      <c r="E113" s="3">
        <v>0.1</v>
      </c>
      <c r="F113" s="3">
        <v>3.9</v>
      </c>
      <c r="G113" s="3">
        <v>117</v>
      </c>
      <c r="H113" s="3">
        <v>-11.5</v>
      </c>
    </row>
    <row r="114" spans="1:8" x14ac:dyDescent="0.2">
      <c r="A114" s="3">
        <v>107</v>
      </c>
      <c r="B114" s="3" t="s">
        <v>717</v>
      </c>
      <c r="C114" s="5">
        <v>43526</v>
      </c>
      <c r="D114" s="3" t="s">
        <v>718</v>
      </c>
      <c r="E114" s="3">
        <v>0</v>
      </c>
      <c r="F114" s="3">
        <v>0.1</v>
      </c>
      <c r="G114" s="3">
        <v>78</v>
      </c>
      <c r="H114" s="3">
        <v>-11.5</v>
      </c>
    </row>
    <row r="115" spans="1:8" x14ac:dyDescent="0.2">
      <c r="A115" s="3">
        <v>108</v>
      </c>
      <c r="B115" s="3" t="s">
        <v>719</v>
      </c>
      <c r="C115" s="5">
        <v>43499</v>
      </c>
      <c r="D115" s="3" t="s">
        <v>720</v>
      </c>
      <c r="E115" s="3">
        <v>0</v>
      </c>
      <c r="F115" s="3">
        <v>0.4</v>
      </c>
      <c r="G115" s="3">
        <v>89</v>
      </c>
      <c r="H115" s="3">
        <v>-11.6</v>
      </c>
    </row>
    <row r="116" spans="1:8" x14ac:dyDescent="0.2">
      <c r="A116" s="3">
        <v>109</v>
      </c>
      <c r="B116" s="3" t="s">
        <v>721</v>
      </c>
      <c r="C116" s="5">
        <v>43470</v>
      </c>
      <c r="D116" s="3" t="s">
        <v>722</v>
      </c>
      <c r="E116" s="3">
        <v>0.1</v>
      </c>
      <c r="F116" s="3">
        <v>0</v>
      </c>
      <c r="G116" s="3">
        <v>75</v>
      </c>
      <c r="H116" s="3">
        <v>-11.6</v>
      </c>
    </row>
    <row r="117" spans="1:8" x14ac:dyDescent="0.2">
      <c r="A117" s="3">
        <v>110</v>
      </c>
      <c r="B117" s="3" t="s">
        <v>723</v>
      </c>
      <c r="C117" s="5">
        <v>43499</v>
      </c>
      <c r="D117" s="3" t="s">
        <v>724</v>
      </c>
      <c r="E117" s="3">
        <v>0.1</v>
      </c>
      <c r="F117" s="3">
        <v>4.3</v>
      </c>
      <c r="G117" s="3">
        <v>120</v>
      </c>
      <c r="H117" s="3">
        <v>-11.7</v>
      </c>
    </row>
    <row r="118" spans="1:8" x14ac:dyDescent="0.2">
      <c r="A118" s="3">
        <v>111</v>
      </c>
      <c r="B118" s="3" t="s">
        <v>725</v>
      </c>
      <c r="C118" s="5">
        <v>43469</v>
      </c>
      <c r="D118" s="3" t="s">
        <v>726</v>
      </c>
      <c r="E118" s="3">
        <v>0</v>
      </c>
      <c r="F118" s="3">
        <v>0</v>
      </c>
      <c r="G118" s="3">
        <v>46</v>
      </c>
      <c r="H118" s="3">
        <v>-11.8</v>
      </c>
    </row>
    <row r="119" spans="1:8" x14ac:dyDescent="0.2">
      <c r="A119" s="3">
        <v>112</v>
      </c>
      <c r="B119" s="3" t="s">
        <v>727</v>
      </c>
      <c r="C119" s="5">
        <v>43500</v>
      </c>
      <c r="D119" s="3" t="s">
        <v>696</v>
      </c>
      <c r="E119" s="3">
        <v>1.2</v>
      </c>
      <c r="F119" s="3">
        <v>0.3</v>
      </c>
      <c r="G119" s="3">
        <v>101</v>
      </c>
      <c r="H119" s="3">
        <v>-12</v>
      </c>
    </row>
    <row r="120" spans="1:8" x14ac:dyDescent="0.2">
      <c r="A120" s="3">
        <v>113</v>
      </c>
      <c r="B120" s="3" t="s">
        <v>728</v>
      </c>
      <c r="C120" s="5">
        <v>43526</v>
      </c>
      <c r="D120" s="3" t="s">
        <v>608</v>
      </c>
      <c r="E120" s="3">
        <v>0.1</v>
      </c>
      <c r="F120" s="3">
        <v>0.3</v>
      </c>
      <c r="G120" s="3">
        <v>115</v>
      </c>
      <c r="H120" s="3">
        <v>-12.2</v>
      </c>
    </row>
    <row r="121" spans="1:8" x14ac:dyDescent="0.2">
      <c r="A121" s="3">
        <v>114</v>
      </c>
      <c r="B121" s="3" t="s">
        <v>729</v>
      </c>
      <c r="C121" s="5">
        <v>43499</v>
      </c>
      <c r="D121" s="3" t="s">
        <v>730</v>
      </c>
      <c r="E121" s="3">
        <v>0</v>
      </c>
      <c r="F121" s="3">
        <v>0.2</v>
      </c>
      <c r="G121" s="3">
        <v>91</v>
      </c>
      <c r="H121" s="3">
        <v>-12.6</v>
      </c>
    </row>
    <row r="122" spans="1:8" x14ac:dyDescent="0.2">
      <c r="A122" s="3">
        <v>115</v>
      </c>
      <c r="B122" s="3" t="s">
        <v>731</v>
      </c>
      <c r="C122" s="5">
        <v>43499</v>
      </c>
      <c r="D122" s="3" t="s">
        <v>577</v>
      </c>
      <c r="E122" s="3">
        <v>0.2</v>
      </c>
      <c r="F122" s="3">
        <v>0.2</v>
      </c>
      <c r="G122" s="3">
        <v>125</v>
      </c>
      <c r="H122" s="3">
        <v>-13.5</v>
      </c>
    </row>
    <row r="123" spans="1:8" x14ac:dyDescent="0.2">
      <c r="A123" s="3">
        <v>116</v>
      </c>
      <c r="B123" s="3" t="s">
        <v>732</v>
      </c>
      <c r="C123" s="5">
        <v>43527</v>
      </c>
      <c r="D123" s="3" t="s">
        <v>670</v>
      </c>
      <c r="E123" s="3">
        <v>0</v>
      </c>
      <c r="F123" s="3">
        <v>0</v>
      </c>
      <c r="G123" s="3">
        <v>59</v>
      </c>
      <c r="H123" s="3">
        <v>-14.6</v>
      </c>
    </row>
    <row r="124" spans="1:8" x14ac:dyDescent="0.2">
      <c r="A124" s="3">
        <v>117</v>
      </c>
      <c r="B124" s="3" t="s">
        <v>733</v>
      </c>
      <c r="C124" s="5">
        <v>43499</v>
      </c>
      <c r="D124" s="3" t="s">
        <v>681</v>
      </c>
      <c r="E124" s="3">
        <v>0</v>
      </c>
      <c r="F124" s="3">
        <v>0</v>
      </c>
      <c r="G124" s="3">
        <v>83</v>
      </c>
      <c r="H124" s="3">
        <v>-15.7</v>
      </c>
    </row>
    <row r="125" spans="1:8" x14ac:dyDescent="0.2">
      <c r="A125" s="3">
        <v>118</v>
      </c>
      <c r="B125" s="3" t="s">
        <v>734</v>
      </c>
      <c r="C125" s="5">
        <v>43469</v>
      </c>
      <c r="D125" s="3" t="s">
        <v>735</v>
      </c>
      <c r="E125" s="3">
        <v>0</v>
      </c>
      <c r="F125" s="3">
        <v>0</v>
      </c>
      <c r="G125" s="3">
        <v>36</v>
      </c>
      <c r="H125" s="3">
        <v>-16.2</v>
      </c>
    </row>
    <row r="126" spans="1:8" x14ac:dyDescent="0.2">
      <c r="A126" s="3">
        <v>119</v>
      </c>
      <c r="B126" s="3" t="s">
        <v>736</v>
      </c>
      <c r="C126" s="5">
        <v>43469</v>
      </c>
      <c r="D126" s="3" t="s">
        <v>737</v>
      </c>
      <c r="E126" s="3">
        <v>0</v>
      </c>
      <c r="F126" s="3">
        <v>0</v>
      </c>
      <c r="G126" s="3">
        <v>95</v>
      </c>
      <c r="H126" s="3">
        <v>-16.8</v>
      </c>
    </row>
    <row r="127" spans="1:8" x14ac:dyDescent="0.2">
      <c r="A127" s="3">
        <v>120</v>
      </c>
      <c r="B127" s="3" t="s">
        <v>738</v>
      </c>
      <c r="C127" s="3" t="s">
        <v>493</v>
      </c>
      <c r="D127" s="3" t="s">
        <v>739</v>
      </c>
      <c r="E127" s="3">
        <v>0.1</v>
      </c>
      <c r="F127" s="3">
        <v>0</v>
      </c>
      <c r="G127" s="3">
        <v>96</v>
      </c>
      <c r="H127" s="3">
        <v>-17</v>
      </c>
    </row>
    <row r="128" spans="1:8" x14ac:dyDescent="0.2">
      <c r="A128" s="3" t="s">
        <v>467</v>
      </c>
      <c r="B128" s="3" t="s">
        <v>522</v>
      </c>
      <c r="C128" s="3" t="s">
        <v>498</v>
      </c>
      <c r="D128" s="3" t="s">
        <v>523</v>
      </c>
      <c r="E128" s="3" t="s">
        <v>524</v>
      </c>
      <c r="F128" s="3" t="s">
        <v>525</v>
      </c>
      <c r="G128" s="3" t="s">
        <v>526</v>
      </c>
      <c r="H128" s="3" t="s">
        <v>527</v>
      </c>
    </row>
    <row r="129" spans="1:8" x14ac:dyDescent="0.2">
      <c r="A129" s="3">
        <v>121</v>
      </c>
      <c r="B129" s="3" t="s">
        <v>740</v>
      </c>
      <c r="C129" s="5">
        <v>43526</v>
      </c>
      <c r="D129" s="3" t="s">
        <v>642</v>
      </c>
      <c r="E129" s="3">
        <v>0</v>
      </c>
      <c r="F129" s="3">
        <v>0</v>
      </c>
      <c r="G129" s="3">
        <v>85</v>
      </c>
      <c r="H129" s="3">
        <v>-17.899999999999999</v>
      </c>
    </row>
    <row r="130" spans="1:8" x14ac:dyDescent="0.2">
      <c r="A130" s="3">
        <v>122</v>
      </c>
      <c r="B130" s="3" t="s">
        <v>741</v>
      </c>
      <c r="C130" s="5">
        <v>43499</v>
      </c>
      <c r="D130" s="3" t="s">
        <v>742</v>
      </c>
      <c r="E130" s="3">
        <v>0</v>
      </c>
      <c r="F130" s="3">
        <v>0</v>
      </c>
      <c r="G130" s="3">
        <v>99</v>
      </c>
      <c r="H130" s="3">
        <v>-20.5</v>
      </c>
    </row>
    <row r="131" spans="1:8" x14ac:dyDescent="0.2">
      <c r="A131" s="3">
        <v>123</v>
      </c>
      <c r="B131" s="3" t="s">
        <v>743</v>
      </c>
      <c r="C131" s="3" t="s">
        <v>493</v>
      </c>
      <c r="D131" s="3" t="s">
        <v>744</v>
      </c>
      <c r="E131" s="3">
        <v>0</v>
      </c>
      <c r="F131" s="3" t="s">
        <v>544</v>
      </c>
      <c r="G131" s="3">
        <v>87</v>
      </c>
      <c r="H131" s="3">
        <v>-21</v>
      </c>
    </row>
    <row r="132" spans="1:8" x14ac:dyDescent="0.2">
      <c r="A132" s="3">
        <v>124</v>
      </c>
      <c r="B132" s="3" t="s">
        <v>745</v>
      </c>
      <c r="C132" s="5">
        <v>43469</v>
      </c>
      <c r="D132" s="3" t="s">
        <v>708</v>
      </c>
      <c r="E132" s="3">
        <v>0</v>
      </c>
      <c r="F132" s="3">
        <v>0</v>
      </c>
      <c r="G132" s="3">
        <v>116</v>
      </c>
      <c r="H132" s="3">
        <v>-21.7</v>
      </c>
    </row>
    <row r="133" spans="1:8" x14ac:dyDescent="0.2">
      <c r="A133" s="3">
        <v>125</v>
      </c>
      <c r="B133" s="3" t="s">
        <v>746</v>
      </c>
      <c r="C133" s="5">
        <v>43470</v>
      </c>
      <c r="D133" s="3" t="s">
        <v>747</v>
      </c>
      <c r="E133" s="3">
        <v>0</v>
      </c>
      <c r="F133" s="3">
        <v>0</v>
      </c>
      <c r="G133" s="3">
        <v>77</v>
      </c>
      <c r="H133" s="3">
        <v>-22.7</v>
      </c>
    </row>
    <row r="134" spans="1:8" x14ac:dyDescent="0.2">
      <c r="A134" s="3">
        <v>126</v>
      </c>
      <c r="B134" s="3" t="s">
        <v>748</v>
      </c>
      <c r="C134" s="5">
        <v>43469</v>
      </c>
      <c r="D134" s="3" t="s">
        <v>749</v>
      </c>
      <c r="E134" s="3">
        <v>0</v>
      </c>
      <c r="F134" s="3">
        <v>0</v>
      </c>
      <c r="G134" s="3">
        <v>110</v>
      </c>
      <c r="H134" s="3">
        <v>-24.8</v>
      </c>
    </row>
    <row r="135" spans="1:8" x14ac:dyDescent="0.2">
      <c r="A135" s="3">
        <v>127</v>
      </c>
      <c r="B135" s="3" t="s">
        <v>750</v>
      </c>
      <c r="C135" s="5">
        <v>43469</v>
      </c>
      <c r="D135" s="3" t="s">
        <v>744</v>
      </c>
      <c r="E135" s="3">
        <v>0</v>
      </c>
      <c r="F135" s="3">
        <v>0</v>
      </c>
      <c r="G135" s="3">
        <v>80</v>
      </c>
      <c r="H135" s="3">
        <v>-25.3</v>
      </c>
    </row>
    <row r="136" spans="1:8" x14ac:dyDescent="0.2">
      <c r="A136" s="3">
        <v>128</v>
      </c>
      <c r="B136" s="3" t="s">
        <v>751</v>
      </c>
      <c r="C136" s="5">
        <v>43469</v>
      </c>
      <c r="D136" s="3" t="s">
        <v>739</v>
      </c>
      <c r="E136" s="3">
        <v>0</v>
      </c>
      <c r="F136" s="3">
        <v>0</v>
      </c>
      <c r="G136" s="3">
        <v>122</v>
      </c>
      <c r="H136" s="3">
        <v>-26.2</v>
      </c>
    </row>
    <row r="137" spans="1:8" x14ac:dyDescent="0.2">
      <c r="A137" s="3">
        <v>129</v>
      </c>
      <c r="B137" s="3" t="s">
        <v>752</v>
      </c>
      <c r="C137" s="3" t="s">
        <v>494</v>
      </c>
      <c r="D137" s="3" t="s">
        <v>753</v>
      </c>
      <c r="E137" s="3">
        <v>0</v>
      </c>
      <c r="F137" s="3">
        <v>0</v>
      </c>
      <c r="G137" s="3">
        <v>129</v>
      </c>
      <c r="H137" s="3">
        <v>-26.8</v>
      </c>
    </row>
    <row r="138" spans="1:8" x14ac:dyDescent="0.2">
      <c r="A138" s="3">
        <v>130</v>
      </c>
      <c r="B138" s="3" t="s">
        <v>754</v>
      </c>
      <c r="C138" s="5">
        <v>43470</v>
      </c>
      <c r="D138" s="3" t="s">
        <v>755</v>
      </c>
      <c r="E138" s="3">
        <v>0</v>
      </c>
      <c r="F138" s="3" t="s">
        <v>544</v>
      </c>
      <c r="G138" s="3">
        <v>76</v>
      </c>
      <c r="H138" s="3">
        <v>-31.9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CCD75-A819-784E-AD7E-64F792405C2D}">
  <dimension ref="A1:F138"/>
  <sheetViews>
    <sheetView workbookViewId="0">
      <selection activeCell="F3" sqref="F3"/>
    </sheetView>
  </sheetViews>
  <sheetFormatPr baseColWidth="10" defaultRowHeight="16" x14ac:dyDescent="0.2"/>
  <cols>
    <col min="1" max="1" width="20.33203125" bestFit="1" customWidth="1"/>
    <col min="2" max="2" width="23.5" bestFit="1" customWidth="1"/>
    <col min="3" max="3" width="8.83203125" bestFit="1" customWidth="1"/>
    <col min="4" max="4" width="8.6640625" bestFit="1" customWidth="1"/>
    <col min="5" max="5" width="11.83203125" bestFit="1" customWidth="1"/>
    <col min="6" max="6" width="8.6640625" bestFit="1" customWidth="1"/>
  </cols>
  <sheetData>
    <row r="1" spans="1:6" x14ac:dyDescent="0.2">
      <c r="A1" t="s">
        <v>756</v>
      </c>
    </row>
    <row r="2" spans="1:6" x14ac:dyDescent="0.2">
      <c r="A2" t="s">
        <v>467</v>
      </c>
      <c r="B2" t="s">
        <v>522</v>
      </c>
      <c r="C2" t="s">
        <v>757</v>
      </c>
      <c r="D2" t="s">
        <v>758</v>
      </c>
      <c r="E2" t="s">
        <v>759</v>
      </c>
      <c r="F2" t="s">
        <v>760</v>
      </c>
    </row>
    <row r="3" spans="1:6" x14ac:dyDescent="0.2">
      <c r="A3">
        <v>1</v>
      </c>
      <c r="B3" t="s">
        <v>530</v>
      </c>
      <c r="C3">
        <v>96.4</v>
      </c>
      <c r="D3">
        <v>92.7</v>
      </c>
      <c r="E3">
        <v>57</v>
      </c>
      <c r="F3">
        <v>98</v>
      </c>
    </row>
    <row r="4" spans="1:6" x14ac:dyDescent="0.2">
      <c r="A4">
        <v>2</v>
      </c>
      <c r="B4" t="s">
        <v>528</v>
      </c>
      <c r="C4">
        <v>97.7</v>
      </c>
      <c r="D4">
        <v>85.9</v>
      </c>
      <c r="E4">
        <v>22.5</v>
      </c>
      <c r="F4">
        <v>95.9</v>
      </c>
    </row>
    <row r="5" spans="1:6" x14ac:dyDescent="0.2">
      <c r="A5">
        <v>3</v>
      </c>
      <c r="B5" t="s">
        <v>538</v>
      </c>
      <c r="C5">
        <v>98.3</v>
      </c>
      <c r="D5">
        <v>68</v>
      </c>
      <c r="E5">
        <v>39.799999999999997</v>
      </c>
      <c r="F5">
        <v>94.6</v>
      </c>
    </row>
    <row r="6" spans="1:6" x14ac:dyDescent="0.2">
      <c r="A6">
        <v>4</v>
      </c>
      <c r="B6" t="s">
        <v>547</v>
      </c>
      <c r="C6">
        <v>83</v>
      </c>
      <c r="D6">
        <v>96.1</v>
      </c>
      <c r="E6">
        <v>31.3</v>
      </c>
      <c r="F6">
        <v>93.8</v>
      </c>
    </row>
    <row r="7" spans="1:6" x14ac:dyDescent="0.2">
      <c r="A7">
        <v>5</v>
      </c>
      <c r="B7" t="s">
        <v>534</v>
      </c>
      <c r="C7">
        <v>88.2</v>
      </c>
      <c r="D7">
        <v>87</v>
      </c>
      <c r="E7">
        <v>52.8</v>
      </c>
      <c r="F7">
        <v>92.3</v>
      </c>
    </row>
    <row r="8" spans="1:6" x14ac:dyDescent="0.2">
      <c r="A8">
        <v>6</v>
      </c>
      <c r="B8" t="s">
        <v>536</v>
      </c>
      <c r="C8">
        <v>93.1</v>
      </c>
      <c r="D8">
        <v>68.400000000000006</v>
      </c>
      <c r="E8">
        <v>64.5</v>
      </c>
      <c r="F8">
        <v>90.6</v>
      </c>
    </row>
    <row r="9" spans="1:6" x14ac:dyDescent="0.2">
      <c r="A9">
        <v>7</v>
      </c>
      <c r="B9" t="s">
        <v>532</v>
      </c>
      <c r="C9">
        <v>75.400000000000006</v>
      </c>
      <c r="D9">
        <v>93.7</v>
      </c>
      <c r="E9">
        <v>39.799999999999997</v>
      </c>
      <c r="F9">
        <v>90.4</v>
      </c>
    </row>
    <row r="10" spans="1:6" x14ac:dyDescent="0.2">
      <c r="A10">
        <v>8</v>
      </c>
      <c r="B10" t="s">
        <v>540</v>
      </c>
      <c r="C10">
        <v>84.1</v>
      </c>
      <c r="D10">
        <v>79.7</v>
      </c>
      <c r="E10">
        <v>67.400000000000006</v>
      </c>
      <c r="F10">
        <v>88.6</v>
      </c>
    </row>
    <row r="11" spans="1:6" x14ac:dyDescent="0.2">
      <c r="A11">
        <v>9</v>
      </c>
      <c r="B11" t="s">
        <v>542</v>
      </c>
      <c r="C11">
        <v>71.900000000000006</v>
      </c>
      <c r="D11">
        <v>87.9</v>
      </c>
      <c r="E11">
        <v>46.6</v>
      </c>
      <c r="F11">
        <v>86</v>
      </c>
    </row>
    <row r="12" spans="1:6" x14ac:dyDescent="0.2">
      <c r="A12">
        <v>10</v>
      </c>
      <c r="B12" t="s">
        <v>545</v>
      </c>
      <c r="C12">
        <v>67.900000000000006</v>
      </c>
      <c r="D12">
        <v>89.2</v>
      </c>
      <c r="E12">
        <v>52.7</v>
      </c>
      <c r="F12">
        <v>85.8</v>
      </c>
    </row>
    <row r="13" spans="1:6" x14ac:dyDescent="0.2">
      <c r="A13">
        <v>11</v>
      </c>
      <c r="B13" t="s">
        <v>570</v>
      </c>
      <c r="C13">
        <v>72.599999999999994</v>
      </c>
      <c r="D13">
        <v>81.7</v>
      </c>
      <c r="E13">
        <v>54.2</v>
      </c>
      <c r="F13">
        <v>82.5</v>
      </c>
    </row>
    <row r="14" spans="1:6" x14ac:dyDescent="0.2">
      <c r="A14">
        <v>12</v>
      </c>
      <c r="B14" t="s">
        <v>551</v>
      </c>
      <c r="C14">
        <v>59</v>
      </c>
      <c r="D14">
        <v>84.8</v>
      </c>
      <c r="E14">
        <v>75</v>
      </c>
      <c r="F14">
        <v>82.1</v>
      </c>
    </row>
    <row r="15" spans="1:6" x14ac:dyDescent="0.2">
      <c r="A15">
        <v>13</v>
      </c>
      <c r="B15" t="s">
        <v>561</v>
      </c>
      <c r="C15">
        <v>63.4</v>
      </c>
      <c r="D15">
        <v>90.1</v>
      </c>
      <c r="E15">
        <v>46</v>
      </c>
      <c r="F15">
        <v>81.5</v>
      </c>
    </row>
    <row r="16" spans="1:6" x14ac:dyDescent="0.2">
      <c r="A16">
        <v>14</v>
      </c>
      <c r="B16" t="s">
        <v>549</v>
      </c>
      <c r="C16">
        <v>66.3</v>
      </c>
      <c r="D16">
        <v>84.9</v>
      </c>
      <c r="E16">
        <v>45.7</v>
      </c>
      <c r="F16">
        <v>81.099999999999994</v>
      </c>
    </row>
    <row r="17" spans="1:6" x14ac:dyDescent="0.2">
      <c r="A17">
        <v>15</v>
      </c>
      <c r="B17" t="s">
        <v>555</v>
      </c>
      <c r="C17">
        <v>72.599999999999994</v>
      </c>
      <c r="D17">
        <v>69.2</v>
      </c>
      <c r="E17">
        <v>75.099999999999994</v>
      </c>
      <c r="F17">
        <v>79.3</v>
      </c>
    </row>
    <row r="18" spans="1:6" x14ac:dyDescent="0.2">
      <c r="A18">
        <v>16</v>
      </c>
      <c r="B18" t="s">
        <v>574</v>
      </c>
      <c r="C18">
        <v>73</v>
      </c>
      <c r="D18">
        <v>75</v>
      </c>
      <c r="E18">
        <v>52.1</v>
      </c>
      <c r="F18">
        <v>79</v>
      </c>
    </row>
    <row r="19" spans="1:6" x14ac:dyDescent="0.2">
      <c r="A19">
        <v>17</v>
      </c>
      <c r="B19" t="s">
        <v>568</v>
      </c>
      <c r="C19">
        <v>78.7</v>
      </c>
      <c r="D19">
        <v>74.599999999999994</v>
      </c>
      <c r="E19">
        <v>27.9</v>
      </c>
      <c r="F19">
        <v>78.8</v>
      </c>
    </row>
    <row r="20" spans="1:6" x14ac:dyDescent="0.2">
      <c r="A20">
        <v>18</v>
      </c>
      <c r="B20" t="s">
        <v>566</v>
      </c>
      <c r="C20">
        <v>81.5</v>
      </c>
      <c r="D20">
        <v>63.5</v>
      </c>
      <c r="E20">
        <v>43.4</v>
      </c>
      <c r="F20">
        <v>77.7</v>
      </c>
    </row>
    <row r="21" spans="1:6" x14ac:dyDescent="0.2">
      <c r="A21">
        <v>19</v>
      </c>
      <c r="B21" t="s">
        <v>563</v>
      </c>
      <c r="C21">
        <v>56.9</v>
      </c>
      <c r="D21">
        <v>81.900000000000006</v>
      </c>
      <c r="E21">
        <v>73.099999999999994</v>
      </c>
      <c r="F21">
        <v>76.7</v>
      </c>
    </row>
    <row r="22" spans="1:6" x14ac:dyDescent="0.2">
      <c r="A22">
        <v>20</v>
      </c>
      <c r="B22" t="s">
        <v>578</v>
      </c>
      <c r="C22">
        <v>67.900000000000006</v>
      </c>
      <c r="D22">
        <v>70.099999999999994</v>
      </c>
      <c r="E22">
        <v>58</v>
      </c>
      <c r="F22">
        <v>74.3</v>
      </c>
    </row>
    <row r="23" spans="1:6" x14ac:dyDescent="0.2">
      <c r="A23" t="s">
        <v>467</v>
      </c>
      <c r="B23" t="s">
        <v>522</v>
      </c>
      <c r="C23" t="s">
        <v>757</v>
      </c>
      <c r="D23" t="s">
        <v>758</v>
      </c>
      <c r="E23" t="s">
        <v>759</v>
      </c>
      <c r="F23" t="s">
        <v>760</v>
      </c>
    </row>
    <row r="24" spans="1:6" x14ac:dyDescent="0.2">
      <c r="A24">
        <v>21</v>
      </c>
      <c r="B24" t="s">
        <v>557</v>
      </c>
      <c r="C24">
        <v>62.7</v>
      </c>
      <c r="D24">
        <v>75.2</v>
      </c>
      <c r="E24">
        <v>53.8</v>
      </c>
      <c r="F24">
        <v>73.599999999999994</v>
      </c>
    </row>
    <row r="25" spans="1:6" x14ac:dyDescent="0.2">
      <c r="A25">
        <v>22</v>
      </c>
      <c r="B25" t="s">
        <v>605</v>
      </c>
      <c r="C25">
        <v>65.900000000000006</v>
      </c>
      <c r="D25">
        <v>57.8</v>
      </c>
      <c r="E25">
        <v>87.3</v>
      </c>
      <c r="F25">
        <v>72.599999999999994</v>
      </c>
    </row>
    <row r="26" spans="1:6" x14ac:dyDescent="0.2">
      <c r="A26">
        <v>23</v>
      </c>
      <c r="B26" t="s">
        <v>618</v>
      </c>
      <c r="C26">
        <v>67.3</v>
      </c>
      <c r="D26">
        <v>63.8</v>
      </c>
      <c r="E26">
        <v>68.099999999999994</v>
      </c>
      <c r="F26">
        <v>72.3</v>
      </c>
    </row>
    <row r="27" spans="1:6" x14ac:dyDescent="0.2">
      <c r="A27">
        <v>24</v>
      </c>
      <c r="B27" t="s">
        <v>601</v>
      </c>
      <c r="C27">
        <v>68.900000000000006</v>
      </c>
      <c r="D27">
        <v>64</v>
      </c>
      <c r="E27">
        <v>52.6</v>
      </c>
      <c r="F27">
        <v>70.7</v>
      </c>
    </row>
    <row r="28" spans="1:6" x14ac:dyDescent="0.2">
      <c r="A28">
        <v>25</v>
      </c>
      <c r="B28" t="s">
        <v>610</v>
      </c>
      <c r="C28">
        <v>51.4</v>
      </c>
      <c r="D28">
        <v>63.1</v>
      </c>
      <c r="E28">
        <v>91</v>
      </c>
      <c r="F28">
        <v>69.599999999999994</v>
      </c>
    </row>
    <row r="29" spans="1:6" x14ac:dyDescent="0.2">
      <c r="A29">
        <v>26</v>
      </c>
      <c r="B29" t="s">
        <v>581</v>
      </c>
      <c r="C29">
        <v>49.2</v>
      </c>
      <c r="D29">
        <v>80.3</v>
      </c>
      <c r="E29">
        <v>50.3</v>
      </c>
      <c r="F29">
        <v>69.599999999999994</v>
      </c>
    </row>
    <row r="30" spans="1:6" x14ac:dyDescent="0.2">
      <c r="A30">
        <v>27</v>
      </c>
      <c r="B30" t="s">
        <v>591</v>
      </c>
      <c r="C30">
        <v>53</v>
      </c>
      <c r="D30">
        <v>69.599999999999994</v>
      </c>
      <c r="E30">
        <v>74.2</v>
      </c>
      <c r="F30">
        <v>69.2</v>
      </c>
    </row>
    <row r="31" spans="1:6" x14ac:dyDescent="0.2">
      <c r="A31">
        <v>28</v>
      </c>
      <c r="B31" t="s">
        <v>626</v>
      </c>
      <c r="C31">
        <v>81.099999999999994</v>
      </c>
      <c r="D31">
        <v>48.7</v>
      </c>
      <c r="E31">
        <v>39</v>
      </c>
      <c r="F31">
        <v>68.599999999999994</v>
      </c>
    </row>
    <row r="32" spans="1:6" x14ac:dyDescent="0.2">
      <c r="A32">
        <v>29</v>
      </c>
      <c r="B32" t="s">
        <v>612</v>
      </c>
      <c r="C32">
        <v>51.5</v>
      </c>
      <c r="D32">
        <v>76.7</v>
      </c>
      <c r="E32">
        <v>47.5</v>
      </c>
      <c r="F32">
        <v>68.599999999999994</v>
      </c>
    </row>
    <row r="33" spans="1:6" x14ac:dyDescent="0.2">
      <c r="A33">
        <v>30</v>
      </c>
      <c r="B33" t="s">
        <v>593</v>
      </c>
      <c r="C33">
        <v>45.9</v>
      </c>
      <c r="D33">
        <v>78.900000000000006</v>
      </c>
      <c r="E33">
        <v>64.5</v>
      </c>
      <c r="F33">
        <v>68.599999999999994</v>
      </c>
    </row>
    <row r="34" spans="1:6" x14ac:dyDescent="0.2">
      <c r="A34">
        <v>31</v>
      </c>
      <c r="B34" t="s">
        <v>572</v>
      </c>
      <c r="C34">
        <v>71</v>
      </c>
      <c r="D34">
        <v>58.7</v>
      </c>
      <c r="E34">
        <v>48.1</v>
      </c>
      <c r="F34">
        <v>67.7</v>
      </c>
    </row>
    <row r="35" spans="1:6" x14ac:dyDescent="0.2">
      <c r="A35">
        <v>32</v>
      </c>
      <c r="B35" t="s">
        <v>632</v>
      </c>
      <c r="C35">
        <v>45.2</v>
      </c>
      <c r="D35">
        <v>75.5</v>
      </c>
      <c r="E35">
        <v>66.099999999999994</v>
      </c>
      <c r="F35">
        <v>67.5</v>
      </c>
    </row>
    <row r="36" spans="1:6" x14ac:dyDescent="0.2">
      <c r="A36">
        <v>33</v>
      </c>
      <c r="B36" t="s">
        <v>559</v>
      </c>
      <c r="C36">
        <v>63.2</v>
      </c>
      <c r="D36">
        <v>59.6</v>
      </c>
      <c r="E36">
        <v>65.099999999999994</v>
      </c>
      <c r="F36">
        <v>67.099999999999994</v>
      </c>
    </row>
    <row r="37" spans="1:6" x14ac:dyDescent="0.2">
      <c r="A37">
        <v>34</v>
      </c>
      <c r="B37" t="s">
        <v>586</v>
      </c>
      <c r="C37">
        <v>53.2</v>
      </c>
      <c r="D37">
        <v>77.599999999999994</v>
      </c>
      <c r="E37">
        <v>43.9</v>
      </c>
      <c r="F37">
        <v>66.8</v>
      </c>
    </row>
    <row r="38" spans="1:6" x14ac:dyDescent="0.2">
      <c r="A38">
        <v>35</v>
      </c>
      <c r="B38" t="s">
        <v>651</v>
      </c>
      <c r="C38">
        <v>61.8</v>
      </c>
      <c r="D38">
        <v>57.6</v>
      </c>
      <c r="E38">
        <v>71.8</v>
      </c>
      <c r="F38">
        <v>66.2</v>
      </c>
    </row>
    <row r="39" spans="1:6" x14ac:dyDescent="0.2">
      <c r="A39">
        <v>36</v>
      </c>
      <c r="B39" t="s">
        <v>564</v>
      </c>
      <c r="C39">
        <v>62.6</v>
      </c>
      <c r="D39">
        <v>69.099999999999994</v>
      </c>
      <c r="E39">
        <v>30.2</v>
      </c>
      <c r="F39">
        <v>65.7</v>
      </c>
    </row>
    <row r="40" spans="1:6" x14ac:dyDescent="0.2">
      <c r="A40">
        <v>37</v>
      </c>
      <c r="B40" t="s">
        <v>609</v>
      </c>
      <c r="C40">
        <v>46.7</v>
      </c>
      <c r="D40">
        <v>77.3</v>
      </c>
      <c r="E40">
        <v>55.4</v>
      </c>
      <c r="F40">
        <v>65.599999999999994</v>
      </c>
    </row>
    <row r="41" spans="1:6" x14ac:dyDescent="0.2">
      <c r="A41">
        <v>38</v>
      </c>
      <c r="B41" t="s">
        <v>579</v>
      </c>
      <c r="C41">
        <v>66.8</v>
      </c>
      <c r="D41">
        <v>59.5</v>
      </c>
      <c r="E41">
        <v>45.6</v>
      </c>
      <c r="F41">
        <v>65.5</v>
      </c>
    </row>
    <row r="42" spans="1:6" x14ac:dyDescent="0.2">
      <c r="A42">
        <v>39</v>
      </c>
      <c r="B42" t="s">
        <v>646</v>
      </c>
      <c r="C42">
        <v>69.599999999999994</v>
      </c>
      <c r="D42">
        <v>49.1</v>
      </c>
      <c r="E42">
        <v>69.3</v>
      </c>
      <c r="F42">
        <v>65.5</v>
      </c>
    </row>
    <row r="43" spans="1:6" x14ac:dyDescent="0.2">
      <c r="A43">
        <v>40</v>
      </c>
      <c r="B43" t="s">
        <v>637</v>
      </c>
      <c r="C43">
        <v>73.599999999999994</v>
      </c>
      <c r="D43">
        <v>39.5</v>
      </c>
      <c r="E43">
        <v>80.8</v>
      </c>
      <c r="F43">
        <v>65.2</v>
      </c>
    </row>
    <row r="44" spans="1:6" x14ac:dyDescent="0.2">
      <c r="A44" t="s">
        <v>467</v>
      </c>
      <c r="B44" t="s">
        <v>522</v>
      </c>
      <c r="C44" t="s">
        <v>757</v>
      </c>
      <c r="D44" t="s">
        <v>758</v>
      </c>
      <c r="E44" t="s">
        <v>759</v>
      </c>
      <c r="F44" t="s">
        <v>760</v>
      </c>
    </row>
    <row r="45" spans="1:6" x14ac:dyDescent="0.2">
      <c r="A45">
        <v>41</v>
      </c>
      <c r="B45" t="s">
        <v>597</v>
      </c>
      <c r="C45">
        <v>48.8</v>
      </c>
      <c r="D45">
        <v>69</v>
      </c>
      <c r="E45">
        <v>64.599999999999994</v>
      </c>
      <c r="F45">
        <v>64.5</v>
      </c>
    </row>
    <row r="46" spans="1:6" x14ac:dyDescent="0.2">
      <c r="A46">
        <v>42</v>
      </c>
      <c r="B46" t="s">
        <v>576</v>
      </c>
      <c r="C46">
        <v>43.5</v>
      </c>
      <c r="D46">
        <v>76.400000000000006</v>
      </c>
      <c r="E46">
        <v>56.3</v>
      </c>
      <c r="F46">
        <v>64.3</v>
      </c>
    </row>
    <row r="47" spans="1:6" x14ac:dyDescent="0.2">
      <c r="A47">
        <v>43</v>
      </c>
      <c r="B47" t="s">
        <v>624</v>
      </c>
      <c r="C47">
        <v>48.3</v>
      </c>
      <c r="D47">
        <v>70.599999999999994</v>
      </c>
      <c r="E47">
        <v>63.4</v>
      </c>
      <c r="F47">
        <v>64.099999999999994</v>
      </c>
    </row>
    <row r="48" spans="1:6" x14ac:dyDescent="0.2">
      <c r="A48">
        <v>44</v>
      </c>
      <c r="B48" t="s">
        <v>614</v>
      </c>
      <c r="C48">
        <v>75</v>
      </c>
      <c r="D48">
        <v>53.9</v>
      </c>
      <c r="E48">
        <v>29.2</v>
      </c>
      <c r="F48">
        <v>63.9</v>
      </c>
    </row>
    <row r="49" spans="1:6" x14ac:dyDescent="0.2">
      <c r="A49">
        <v>45</v>
      </c>
      <c r="B49" t="s">
        <v>616</v>
      </c>
      <c r="C49">
        <v>68.7</v>
      </c>
      <c r="D49">
        <v>52.1</v>
      </c>
      <c r="E49">
        <v>49.7</v>
      </c>
      <c r="F49">
        <v>63.9</v>
      </c>
    </row>
    <row r="50" spans="1:6" x14ac:dyDescent="0.2">
      <c r="A50">
        <v>46</v>
      </c>
      <c r="B50" t="s">
        <v>583</v>
      </c>
      <c r="C50">
        <v>84.8</v>
      </c>
      <c r="D50">
        <v>32.5</v>
      </c>
      <c r="E50">
        <v>44.3</v>
      </c>
      <c r="F50">
        <v>61.6</v>
      </c>
    </row>
    <row r="51" spans="1:6" x14ac:dyDescent="0.2">
      <c r="A51">
        <v>47</v>
      </c>
      <c r="B51" t="s">
        <v>622</v>
      </c>
      <c r="C51">
        <v>69.400000000000006</v>
      </c>
      <c r="D51">
        <v>45.3</v>
      </c>
      <c r="E51">
        <v>57.8</v>
      </c>
      <c r="F51">
        <v>61.3</v>
      </c>
    </row>
    <row r="52" spans="1:6" x14ac:dyDescent="0.2">
      <c r="A52">
        <v>48</v>
      </c>
      <c r="B52" t="s">
        <v>599</v>
      </c>
      <c r="C52">
        <v>57.8</v>
      </c>
      <c r="D52">
        <v>64.599999999999994</v>
      </c>
      <c r="E52">
        <v>39.200000000000003</v>
      </c>
      <c r="F52">
        <v>61.2</v>
      </c>
    </row>
    <row r="53" spans="1:6" x14ac:dyDescent="0.2">
      <c r="A53">
        <v>49</v>
      </c>
      <c r="B53" t="s">
        <v>595</v>
      </c>
      <c r="C53">
        <v>70.599999999999994</v>
      </c>
      <c r="D53">
        <v>53.8</v>
      </c>
      <c r="E53">
        <v>28.5</v>
      </c>
      <c r="F53">
        <v>61.1</v>
      </c>
    </row>
    <row r="54" spans="1:6" x14ac:dyDescent="0.2">
      <c r="A54">
        <v>50</v>
      </c>
      <c r="B54" t="s">
        <v>553</v>
      </c>
      <c r="C54">
        <v>38.9</v>
      </c>
      <c r="D54">
        <v>75.5</v>
      </c>
      <c r="E54">
        <v>48</v>
      </c>
      <c r="F54">
        <v>60</v>
      </c>
    </row>
    <row r="55" spans="1:6" x14ac:dyDescent="0.2">
      <c r="A55">
        <v>51</v>
      </c>
      <c r="B55" t="s">
        <v>660</v>
      </c>
      <c r="C55">
        <v>26.1</v>
      </c>
      <c r="D55">
        <v>86.1</v>
      </c>
      <c r="E55">
        <v>60.7</v>
      </c>
      <c r="F55">
        <v>59.9</v>
      </c>
    </row>
    <row r="56" spans="1:6" x14ac:dyDescent="0.2">
      <c r="A56">
        <v>52</v>
      </c>
      <c r="B56" t="s">
        <v>667</v>
      </c>
      <c r="C56">
        <v>67</v>
      </c>
      <c r="D56">
        <v>48.5</v>
      </c>
      <c r="E56">
        <v>43.6</v>
      </c>
      <c r="F56">
        <v>59.7</v>
      </c>
    </row>
    <row r="57" spans="1:6" x14ac:dyDescent="0.2">
      <c r="A57">
        <v>53</v>
      </c>
      <c r="B57" t="s">
        <v>589</v>
      </c>
      <c r="C57">
        <v>39</v>
      </c>
      <c r="D57">
        <v>77.2</v>
      </c>
      <c r="E57">
        <v>53.2</v>
      </c>
      <c r="F57">
        <v>59.4</v>
      </c>
    </row>
    <row r="58" spans="1:6" x14ac:dyDescent="0.2">
      <c r="A58">
        <v>54</v>
      </c>
      <c r="B58" t="s">
        <v>654</v>
      </c>
      <c r="C58">
        <v>59.6</v>
      </c>
      <c r="D58">
        <v>56.2</v>
      </c>
      <c r="E58">
        <v>47.3</v>
      </c>
      <c r="F58">
        <v>59.4</v>
      </c>
    </row>
    <row r="59" spans="1:6" x14ac:dyDescent="0.2">
      <c r="A59">
        <v>55</v>
      </c>
      <c r="B59" t="s">
        <v>643</v>
      </c>
      <c r="C59">
        <v>83.2</v>
      </c>
      <c r="D59">
        <v>25.8</v>
      </c>
      <c r="E59">
        <v>60</v>
      </c>
      <c r="F59">
        <v>58.7</v>
      </c>
    </row>
    <row r="60" spans="1:6" x14ac:dyDescent="0.2">
      <c r="A60">
        <v>56</v>
      </c>
      <c r="B60" t="s">
        <v>631</v>
      </c>
      <c r="C60">
        <v>46.1</v>
      </c>
      <c r="D60">
        <v>75</v>
      </c>
      <c r="E60">
        <v>31</v>
      </c>
      <c r="F60">
        <v>58.5</v>
      </c>
    </row>
    <row r="61" spans="1:6" x14ac:dyDescent="0.2">
      <c r="A61">
        <v>57</v>
      </c>
      <c r="B61" t="s">
        <v>653</v>
      </c>
      <c r="C61">
        <v>36.6</v>
      </c>
      <c r="D61">
        <v>63.5</v>
      </c>
      <c r="E61">
        <v>83.9</v>
      </c>
      <c r="F61">
        <v>57.6</v>
      </c>
    </row>
    <row r="62" spans="1:6" x14ac:dyDescent="0.2">
      <c r="A62">
        <v>58</v>
      </c>
      <c r="B62" t="s">
        <v>665</v>
      </c>
      <c r="C62">
        <v>52.7</v>
      </c>
      <c r="D62">
        <v>53.8</v>
      </c>
      <c r="E62">
        <v>64.3</v>
      </c>
      <c r="F62">
        <v>57.4</v>
      </c>
    </row>
    <row r="63" spans="1:6" x14ac:dyDescent="0.2">
      <c r="A63">
        <v>59</v>
      </c>
      <c r="B63" t="s">
        <v>603</v>
      </c>
      <c r="C63">
        <v>55.4</v>
      </c>
      <c r="D63">
        <v>49</v>
      </c>
      <c r="E63">
        <v>70.2</v>
      </c>
      <c r="F63">
        <v>56.9</v>
      </c>
    </row>
    <row r="64" spans="1:6" x14ac:dyDescent="0.2">
      <c r="A64">
        <v>60</v>
      </c>
      <c r="B64" t="s">
        <v>607</v>
      </c>
      <c r="C64">
        <v>46.3</v>
      </c>
      <c r="D64">
        <v>60.2</v>
      </c>
      <c r="E64">
        <v>65.7</v>
      </c>
      <c r="F64">
        <v>56.8</v>
      </c>
    </row>
    <row r="65" spans="1:6" x14ac:dyDescent="0.2">
      <c r="A65" t="s">
        <v>467</v>
      </c>
      <c r="B65" t="s">
        <v>522</v>
      </c>
      <c r="C65" t="s">
        <v>757</v>
      </c>
      <c r="D65" t="s">
        <v>758</v>
      </c>
      <c r="E65" t="s">
        <v>759</v>
      </c>
      <c r="F65" t="s">
        <v>760</v>
      </c>
    </row>
    <row r="66" spans="1:6" x14ac:dyDescent="0.2">
      <c r="A66">
        <v>61</v>
      </c>
      <c r="B66" t="s">
        <v>648</v>
      </c>
      <c r="C66">
        <v>60.7</v>
      </c>
      <c r="D66">
        <v>46.7</v>
      </c>
      <c r="E66">
        <v>61.7</v>
      </c>
      <c r="F66">
        <v>56.7</v>
      </c>
    </row>
    <row r="67" spans="1:6" x14ac:dyDescent="0.2">
      <c r="A67">
        <v>62</v>
      </c>
      <c r="B67" t="s">
        <v>634</v>
      </c>
      <c r="C67">
        <v>67.2</v>
      </c>
      <c r="D67">
        <v>44.5</v>
      </c>
      <c r="E67">
        <v>43.8</v>
      </c>
      <c r="F67">
        <v>56.5</v>
      </c>
    </row>
    <row r="68" spans="1:6" x14ac:dyDescent="0.2">
      <c r="A68">
        <v>63</v>
      </c>
      <c r="B68" t="s">
        <v>588</v>
      </c>
      <c r="C68">
        <v>61.1</v>
      </c>
      <c r="D68">
        <v>47.9</v>
      </c>
      <c r="E68">
        <v>51.3</v>
      </c>
      <c r="F68">
        <v>55.4</v>
      </c>
    </row>
    <row r="69" spans="1:6" x14ac:dyDescent="0.2">
      <c r="A69">
        <v>64</v>
      </c>
      <c r="B69" t="s">
        <v>679</v>
      </c>
      <c r="C69">
        <v>43.7</v>
      </c>
      <c r="D69">
        <v>67.8</v>
      </c>
      <c r="E69">
        <v>36.299999999999997</v>
      </c>
      <c r="F69">
        <v>54</v>
      </c>
    </row>
    <row r="70" spans="1:6" x14ac:dyDescent="0.2">
      <c r="A70">
        <v>65</v>
      </c>
      <c r="B70" t="s">
        <v>663</v>
      </c>
      <c r="C70">
        <v>42.5</v>
      </c>
      <c r="D70">
        <v>67</v>
      </c>
      <c r="E70">
        <v>39.799999999999997</v>
      </c>
      <c r="F70">
        <v>53.7</v>
      </c>
    </row>
    <row r="71" spans="1:6" x14ac:dyDescent="0.2">
      <c r="A71">
        <v>66</v>
      </c>
      <c r="B71" t="s">
        <v>585</v>
      </c>
      <c r="C71">
        <v>55.3</v>
      </c>
      <c r="D71">
        <v>56.4</v>
      </c>
      <c r="E71">
        <v>30.6</v>
      </c>
      <c r="F71">
        <v>53.1</v>
      </c>
    </row>
    <row r="72" spans="1:6" x14ac:dyDescent="0.2">
      <c r="A72">
        <v>67</v>
      </c>
      <c r="B72" t="s">
        <v>644</v>
      </c>
      <c r="C72">
        <v>22.7</v>
      </c>
      <c r="D72">
        <v>78.900000000000006</v>
      </c>
      <c r="E72">
        <v>66.599999999999994</v>
      </c>
      <c r="F72">
        <v>52.5</v>
      </c>
    </row>
    <row r="73" spans="1:6" x14ac:dyDescent="0.2">
      <c r="A73">
        <v>68</v>
      </c>
      <c r="B73" t="s">
        <v>656</v>
      </c>
      <c r="C73">
        <v>70.5</v>
      </c>
      <c r="D73">
        <v>37.200000000000003</v>
      </c>
      <c r="E73">
        <v>29.8</v>
      </c>
      <c r="F73">
        <v>51.7</v>
      </c>
    </row>
    <row r="74" spans="1:6" x14ac:dyDescent="0.2">
      <c r="A74">
        <v>69</v>
      </c>
      <c r="B74" t="s">
        <v>641</v>
      </c>
      <c r="C74">
        <v>68.099999999999994</v>
      </c>
      <c r="D74">
        <v>28.7</v>
      </c>
      <c r="E74">
        <v>59.8</v>
      </c>
      <c r="F74">
        <v>51.3</v>
      </c>
    </row>
    <row r="75" spans="1:6" x14ac:dyDescent="0.2">
      <c r="A75">
        <v>70</v>
      </c>
      <c r="B75" t="s">
        <v>673</v>
      </c>
      <c r="C75">
        <v>52</v>
      </c>
      <c r="D75">
        <v>50.6</v>
      </c>
      <c r="E75">
        <v>46.2</v>
      </c>
      <c r="F75">
        <v>50.8</v>
      </c>
    </row>
    <row r="76" spans="1:6" x14ac:dyDescent="0.2">
      <c r="A76">
        <v>71</v>
      </c>
      <c r="B76" t="s">
        <v>650</v>
      </c>
      <c r="C76">
        <v>40.9</v>
      </c>
      <c r="D76">
        <v>59</v>
      </c>
      <c r="E76">
        <v>53.6</v>
      </c>
      <c r="F76">
        <v>50.4</v>
      </c>
    </row>
    <row r="77" spans="1:6" x14ac:dyDescent="0.2">
      <c r="A77">
        <v>72</v>
      </c>
      <c r="B77" t="s">
        <v>620</v>
      </c>
      <c r="C77">
        <v>46.4</v>
      </c>
      <c r="D77">
        <v>52.9</v>
      </c>
      <c r="E77">
        <v>53.5</v>
      </c>
      <c r="F77">
        <v>50.2</v>
      </c>
    </row>
    <row r="78" spans="1:6" x14ac:dyDescent="0.2">
      <c r="A78">
        <v>73</v>
      </c>
      <c r="B78" t="s">
        <v>658</v>
      </c>
      <c r="C78">
        <v>42.5</v>
      </c>
      <c r="D78">
        <v>53.2</v>
      </c>
      <c r="E78">
        <v>60</v>
      </c>
      <c r="F78">
        <v>49.7</v>
      </c>
    </row>
    <row r="79" spans="1:6" x14ac:dyDescent="0.2">
      <c r="A79">
        <v>74</v>
      </c>
      <c r="B79" t="s">
        <v>685</v>
      </c>
      <c r="C79">
        <v>55.9</v>
      </c>
      <c r="D79">
        <v>41.6</v>
      </c>
      <c r="E79">
        <v>60.1</v>
      </c>
      <c r="F79">
        <v>49.7</v>
      </c>
    </row>
    <row r="80" spans="1:6" x14ac:dyDescent="0.2">
      <c r="A80">
        <v>75</v>
      </c>
      <c r="B80" t="s">
        <v>630</v>
      </c>
      <c r="C80">
        <v>46.3</v>
      </c>
      <c r="D80">
        <v>58.7</v>
      </c>
      <c r="E80">
        <v>33.1</v>
      </c>
      <c r="F80">
        <v>49.5</v>
      </c>
    </row>
    <row r="81" spans="1:6" x14ac:dyDescent="0.2">
      <c r="A81">
        <v>76</v>
      </c>
      <c r="B81" t="s">
        <v>668</v>
      </c>
      <c r="C81">
        <v>33.9</v>
      </c>
      <c r="D81">
        <v>75.400000000000006</v>
      </c>
      <c r="E81">
        <v>20.8</v>
      </c>
      <c r="F81">
        <v>49.2</v>
      </c>
    </row>
    <row r="82" spans="1:6" x14ac:dyDescent="0.2">
      <c r="A82">
        <v>77</v>
      </c>
      <c r="B82" t="s">
        <v>636</v>
      </c>
      <c r="C82">
        <v>35.9</v>
      </c>
      <c r="D82">
        <v>59</v>
      </c>
      <c r="E82">
        <v>54.9</v>
      </c>
      <c r="F82">
        <v>48.6</v>
      </c>
    </row>
    <row r="83" spans="1:6" x14ac:dyDescent="0.2">
      <c r="A83">
        <v>78</v>
      </c>
      <c r="B83" t="s">
        <v>704</v>
      </c>
      <c r="C83">
        <v>79.8</v>
      </c>
      <c r="D83">
        <v>20.7</v>
      </c>
      <c r="E83">
        <v>22.6</v>
      </c>
      <c r="F83">
        <v>48.6</v>
      </c>
    </row>
    <row r="84" spans="1:6" x14ac:dyDescent="0.2">
      <c r="A84">
        <v>79</v>
      </c>
      <c r="B84" t="s">
        <v>669</v>
      </c>
      <c r="C84">
        <v>60.5</v>
      </c>
      <c r="D84">
        <v>34</v>
      </c>
      <c r="E84">
        <v>47.6</v>
      </c>
      <c r="F84">
        <v>46</v>
      </c>
    </row>
    <row r="85" spans="1:6" x14ac:dyDescent="0.2">
      <c r="A85">
        <v>80</v>
      </c>
      <c r="B85" t="s">
        <v>723</v>
      </c>
      <c r="C85">
        <v>28.4</v>
      </c>
      <c r="D85">
        <v>57.2</v>
      </c>
      <c r="E85">
        <v>71.2</v>
      </c>
      <c r="F85">
        <v>45.7</v>
      </c>
    </row>
    <row r="86" spans="1:6" x14ac:dyDescent="0.2">
      <c r="A86" t="s">
        <v>467</v>
      </c>
      <c r="B86" t="s">
        <v>522</v>
      </c>
      <c r="C86" t="s">
        <v>757</v>
      </c>
      <c r="D86" t="s">
        <v>758</v>
      </c>
      <c r="E86" t="s">
        <v>759</v>
      </c>
      <c r="F86" t="s">
        <v>760</v>
      </c>
    </row>
    <row r="87" spans="1:6" x14ac:dyDescent="0.2">
      <c r="A87">
        <v>81</v>
      </c>
      <c r="B87" t="s">
        <v>662</v>
      </c>
      <c r="C87">
        <v>44.8</v>
      </c>
      <c r="D87">
        <v>46.8</v>
      </c>
      <c r="E87">
        <v>53.4</v>
      </c>
      <c r="F87">
        <v>45.5</v>
      </c>
    </row>
    <row r="88" spans="1:6" x14ac:dyDescent="0.2">
      <c r="A88">
        <v>82</v>
      </c>
      <c r="B88" t="s">
        <v>682</v>
      </c>
      <c r="C88">
        <v>61.2</v>
      </c>
      <c r="D88">
        <v>23.3</v>
      </c>
      <c r="E88">
        <v>73.400000000000006</v>
      </c>
      <c r="F88">
        <v>45.2</v>
      </c>
    </row>
    <row r="89" spans="1:6" x14ac:dyDescent="0.2">
      <c r="A89">
        <v>83</v>
      </c>
      <c r="B89" t="s">
        <v>712</v>
      </c>
      <c r="C89">
        <v>39.4</v>
      </c>
      <c r="D89">
        <v>54.2</v>
      </c>
      <c r="E89">
        <v>47.1</v>
      </c>
      <c r="F89">
        <v>44.8</v>
      </c>
    </row>
    <row r="90" spans="1:6" x14ac:dyDescent="0.2">
      <c r="A90">
        <v>84</v>
      </c>
      <c r="B90" t="s">
        <v>694</v>
      </c>
      <c r="C90">
        <v>38.299999999999997</v>
      </c>
      <c r="D90">
        <v>50</v>
      </c>
      <c r="E90">
        <v>51.4</v>
      </c>
      <c r="F90">
        <v>43.4</v>
      </c>
    </row>
    <row r="91" spans="1:6" x14ac:dyDescent="0.2">
      <c r="A91">
        <v>85</v>
      </c>
      <c r="B91" t="s">
        <v>675</v>
      </c>
      <c r="C91">
        <v>39.700000000000003</v>
      </c>
      <c r="D91">
        <v>45</v>
      </c>
      <c r="E91">
        <v>56.7</v>
      </c>
      <c r="F91">
        <v>41.4</v>
      </c>
    </row>
    <row r="92" spans="1:6" x14ac:dyDescent="0.2">
      <c r="A92">
        <v>86</v>
      </c>
      <c r="B92" t="s">
        <v>639</v>
      </c>
      <c r="C92">
        <v>41.9</v>
      </c>
      <c r="D92">
        <v>41.7</v>
      </c>
      <c r="E92">
        <v>57.3</v>
      </c>
      <c r="F92">
        <v>41.2</v>
      </c>
    </row>
    <row r="93" spans="1:6" x14ac:dyDescent="0.2">
      <c r="A93">
        <v>87</v>
      </c>
      <c r="B93" t="s">
        <v>628</v>
      </c>
      <c r="C93">
        <v>34.9</v>
      </c>
      <c r="D93">
        <v>46.1</v>
      </c>
      <c r="E93">
        <v>59.6</v>
      </c>
      <c r="F93">
        <v>40.200000000000003</v>
      </c>
    </row>
    <row r="94" spans="1:6" x14ac:dyDescent="0.2">
      <c r="A94">
        <v>88</v>
      </c>
      <c r="B94" t="s">
        <v>713</v>
      </c>
      <c r="C94">
        <v>36.299999999999997</v>
      </c>
      <c r="D94">
        <v>47.1</v>
      </c>
      <c r="E94">
        <v>48.4</v>
      </c>
      <c r="F94">
        <v>39.9</v>
      </c>
    </row>
    <row r="95" spans="1:6" x14ac:dyDescent="0.2">
      <c r="A95">
        <v>89</v>
      </c>
      <c r="B95" t="s">
        <v>690</v>
      </c>
      <c r="C95">
        <v>46.5</v>
      </c>
      <c r="D95">
        <v>37.299999999999997</v>
      </c>
      <c r="E95">
        <v>50.3</v>
      </c>
      <c r="F95">
        <v>39.700000000000003</v>
      </c>
    </row>
    <row r="96" spans="1:6" x14ac:dyDescent="0.2">
      <c r="A96">
        <v>90</v>
      </c>
      <c r="B96" t="s">
        <v>677</v>
      </c>
      <c r="C96">
        <v>36.700000000000003</v>
      </c>
      <c r="D96">
        <v>47.5</v>
      </c>
      <c r="E96">
        <v>41.5</v>
      </c>
      <c r="F96">
        <v>38.4</v>
      </c>
    </row>
    <row r="97" spans="1:6" x14ac:dyDescent="0.2">
      <c r="A97">
        <v>91</v>
      </c>
      <c r="B97" t="s">
        <v>697</v>
      </c>
      <c r="C97">
        <v>25.5</v>
      </c>
      <c r="D97">
        <v>54.7</v>
      </c>
      <c r="E97">
        <v>57.8</v>
      </c>
      <c r="F97">
        <v>38.200000000000003</v>
      </c>
    </row>
    <row r="98" spans="1:6" x14ac:dyDescent="0.2">
      <c r="A98">
        <v>92</v>
      </c>
      <c r="B98" t="s">
        <v>700</v>
      </c>
      <c r="C98">
        <v>22.8</v>
      </c>
      <c r="D98">
        <v>45.3</v>
      </c>
      <c r="E98">
        <v>79.400000000000006</v>
      </c>
      <c r="F98">
        <v>38</v>
      </c>
    </row>
    <row r="99" spans="1:6" x14ac:dyDescent="0.2">
      <c r="A99">
        <v>93</v>
      </c>
      <c r="B99" t="s">
        <v>717</v>
      </c>
      <c r="C99">
        <v>49.9</v>
      </c>
      <c r="D99">
        <v>35.1</v>
      </c>
      <c r="E99">
        <v>34.9</v>
      </c>
      <c r="F99">
        <v>37.299999999999997</v>
      </c>
    </row>
    <row r="100" spans="1:6" x14ac:dyDescent="0.2">
      <c r="A100">
        <v>94</v>
      </c>
      <c r="B100" t="s">
        <v>702</v>
      </c>
      <c r="C100">
        <v>46.4</v>
      </c>
      <c r="D100">
        <v>38.700000000000003</v>
      </c>
      <c r="E100">
        <v>27.3</v>
      </c>
      <c r="F100">
        <v>37</v>
      </c>
    </row>
    <row r="101" spans="1:6" x14ac:dyDescent="0.2">
      <c r="A101">
        <v>95</v>
      </c>
      <c r="B101" t="s">
        <v>684</v>
      </c>
      <c r="C101">
        <v>44.8</v>
      </c>
      <c r="D101">
        <v>35.6</v>
      </c>
      <c r="E101">
        <v>42.5</v>
      </c>
      <c r="F101">
        <v>36.6</v>
      </c>
    </row>
    <row r="102" spans="1:6" x14ac:dyDescent="0.2">
      <c r="A102">
        <v>96</v>
      </c>
      <c r="B102" t="s">
        <v>728</v>
      </c>
      <c r="C102">
        <v>41.2</v>
      </c>
      <c r="D102">
        <v>34.1</v>
      </c>
      <c r="E102">
        <v>59.1</v>
      </c>
      <c r="F102">
        <v>36.299999999999997</v>
      </c>
    </row>
    <row r="103" spans="1:6" x14ac:dyDescent="0.2">
      <c r="A103">
        <v>97</v>
      </c>
      <c r="B103" t="s">
        <v>727</v>
      </c>
      <c r="C103">
        <v>40.4</v>
      </c>
      <c r="D103">
        <v>50.7</v>
      </c>
      <c r="E103">
        <v>15.8</v>
      </c>
      <c r="F103">
        <v>36.200000000000003</v>
      </c>
    </row>
    <row r="104" spans="1:6" x14ac:dyDescent="0.2">
      <c r="A104">
        <v>98</v>
      </c>
      <c r="B104" t="s">
        <v>699</v>
      </c>
      <c r="C104">
        <v>33</v>
      </c>
      <c r="D104">
        <v>49</v>
      </c>
      <c r="E104">
        <v>35.1</v>
      </c>
      <c r="F104">
        <v>35.700000000000003</v>
      </c>
    </row>
    <row r="105" spans="1:6" x14ac:dyDescent="0.2">
      <c r="A105">
        <v>99</v>
      </c>
      <c r="B105" t="s">
        <v>688</v>
      </c>
      <c r="C105">
        <v>22.6</v>
      </c>
      <c r="D105">
        <v>44.7</v>
      </c>
      <c r="E105">
        <v>74.400000000000006</v>
      </c>
      <c r="F105">
        <v>35.200000000000003</v>
      </c>
    </row>
    <row r="106" spans="1:6" x14ac:dyDescent="0.2">
      <c r="A106">
        <v>100</v>
      </c>
      <c r="B106" t="s">
        <v>705</v>
      </c>
      <c r="C106">
        <v>31.5</v>
      </c>
      <c r="D106">
        <v>38.799999999999997</v>
      </c>
      <c r="E106">
        <v>62.6</v>
      </c>
      <c r="F106">
        <v>34.4</v>
      </c>
    </row>
    <row r="107" spans="1:6" x14ac:dyDescent="0.2">
      <c r="A107" t="s">
        <v>467</v>
      </c>
      <c r="B107" t="s">
        <v>522</v>
      </c>
      <c r="C107" t="s">
        <v>757</v>
      </c>
      <c r="D107" t="s">
        <v>758</v>
      </c>
      <c r="E107" t="s">
        <v>759</v>
      </c>
      <c r="F107" t="s">
        <v>760</v>
      </c>
    </row>
    <row r="108" spans="1:6" x14ac:dyDescent="0.2">
      <c r="A108">
        <v>101</v>
      </c>
      <c r="B108" t="s">
        <v>687</v>
      </c>
      <c r="C108">
        <v>33.9</v>
      </c>
      <c r="D108">
        <v>31.6</v>
      </c>
      <c r="E108">
        <v>75.2</v>
      </c>
      <c r="F108">
        <v>33.9</v>
      </c>
    </row>
    <row r="109" spans="1:6" x14ac:dyDescent="0.2">
      <c r="A109">
        <v>102</v>
      </c>
      <c r="B109" t="s">
        <v>719</v>
      </c>
      <c r="C109">
        <v>62.3</v>
      </c>
      <c r="D109">
        <v>22.2</v>
      </c>
      <c r="E109">
        <v>25.7</v>
      </c>
      <c r="F109">
        <v>33.799999999999997</v>
      </c>
    </row>
    <row r="110" spans="1:6" x14ac:dyDescent="0.2">
      <c r="A110">
        <v>103</v>
      </c>
      <c r="B110" t="s">
        <v>671</v>
      </c>
      <c r="C110">
        <v>45.2</v>
      </c>
      <c r="D110">
        <v>32.299999999999997</v>
      </c>
      <c r="E110">
        <v>37.1</v>
      </c>
      <c r="F110">
        <v>33.299999999999997</v>
      </c>
    </row>
    <row r="111" spans="1:6" x14ac:dyDescent="0.2">
      <c r="A111">
        <v>104</v>
      </c>
      <c r="B111" t="s">
        <v>715</v>
      </c>
      <c r="C111">
        <v>47.1</v>
      </c>
      <c r="D111">
        <v>30.9</v>
      </c>
      <c r="E111">
        <v>35.4</v>
      </c>
      <c r="F111">
        <v>32.5</v>
      </c>
    </row>
    <row r="112" spans="1:6" x14ac:dyDescent="0.2">
      <c r="A112">
        <v>105</v>
      </c>
      <c r="B112" t="s">
        <v>707</v>
      </c>
      <c r="C112">
        <v>37.700000000000003</v>
      </c>
      <c r="D112">
        <v>35.4</v>
      </c>
      <c r="E112">
        <v>41.2</v>
      </c>
      <c r="F112">
        <v>31.7</v>
      </c>
    </row>
    <row r="113" spans="1:6" x14ac:dyDescent="0.2">
      <c r="A113">
        <v>106</v>
      </c>
      <c r="B113" t="s">
        <v>689</v>
      </c>
      <c r="C113">
        <v>45.2</v>
      </c>
      <c r="D113">
        <v>26.9</v>
      </c>
      <c r="E113">
        <v>39.6</v>
      </c>
      <c r="F113">
        <v>30</v>
      </c>
    </row>
    <row r="114" spans="1:6" x14ac:dyDescent="0.2">
      <c r="A114">
        <v>107</v>
      </c>
      <c r="B114" t="s">
        <v>709</v>
      </c>
      <c r="C114">
        <v>21.8</v>
      </c>
      <c r="D114">
        <v>49.4</v>
      </c>
      <c r="E114">
        <v>46.6</v>
      </c>
      <c r="F114">
        <v>30</v>
      </c>
    </row>
    <row r="115" spans="1:6" x14ac:dyDescent="0.2">
      <c r="A115">
        <v>108</v>
      </c>
      <c r="B115" t="s">
        <v>731</v>
      </c>
      <c r="C115">
        <v>43.5</v>
      </c>
      <c r="D115">
        <v>26.6</v>
      </c>
      <c r="E115">
        <v>40.700000000000003</v>
      </c>
      <c r="F115">
        <v>29.8</v>
      </c>
    </row>
    <row r="116" spans="1:6" x14ac:dyDescent="0.2">
      <c r="A116">
        <v>109</v>
      </c>
      <c r="B116" t="s">
        <v>692</v>
      </c>
      <c r="C116">
        <v>24.1</v>
      </c>
      <c r="D116">
        <v>40.799999999999997</v>
      </c>
      <c r="E116">
        <v>52.9</v>
      </c>
      <c r="F116">
        <v>29.3</v>
      </c>
    </row>
    <row r="117" spans="1:6" x14ac:dyDescent="0.2">
      <c r="A117">
        <v>110</v>
      </c>
      <c r="B117" t="s">
        <v>721</v>
      </c>
      <c r="C117">
        <v>39.4</v>
      </c>
      <c r="D117">
        <v>35.200000000000003</v>
      </c>
      <c r="E117">
        <v>25.3</v>
      </c>
      <c r="F117">
        <v>29.3</v>
      </c>
    </row>
    <row r="118" spans="1:6" x14ac:dyDescent="0.2">
      <c r="A118">
        <v>111</v>
      </c>
      <c r="B118" t="s">
        <v>680</v>
      </c>
      <c r="C118">
        <v>43.2</v>
      </c>
      <c r="D118">
        <v>19.399999999999999</v>
      </c>
      <c r="E118">
        <v>65.2</v>
      </c>
      <c r="F118">
        <v>29.1</v>
      </c>
    </row>
    <row r="119" spans="1:6" x14ac:dyDescent="0.2">
      <c r="A119">
        <v>112</v>
      </c>
      <c r="B119" t="s">
        <v>729</v>
      </c>
      <c r="C119">
        <v>13.4</v>
      </c>
      <c r="D119">
        <v>52.4</v>
      </c>
      <c r="E119">
        <v>63</v>
      </c>
      <c r="F119">
        <v>28.7</v>
      </c>
    </row>
    <row r="120" spans="1:6" x14ac:dyDescent="0.2">
      <c r="A120">
        <v>113</v>
      </c>
      <c r="B120" t="s">
        <v>695</v>
      </c>
      <c r="C120">
        <v>51.8</v>
      </c>
      <c r="D120">
        <v>19.8</v>
      </c>
      <c r="E120">
        <v>28.6</v>
      </c>
      <c r="F120">
        <v>27.9</v>
      </c>
    </row>
    <row r="121" spans="1:6" x14ac:dyDescent="0.2">
      <c r="A121">
        <v>114</v>
      </c>
      <c r="B121" t="s">
        <v>740</v>
      </c>
      <c r="C121">
        <v>24.9</v>
      </c>
      <c r="D121">
        <v>33.9</v>
      </c>
      <c r="E121">
        <v>55.3</v>
      </c>
      <c r="F121">
        <v>25.6</v>
      </c>
    </row>
    <row r="122" spans="1:6" x14ac:dyDescent="0.2">
      <c r="A122">
        <v>115</v>
      </c>
      <c r="B122" t="s">
        <v>710</v>
      </c>
      <c r="C122">
        <v>43.7</v>
      </c>
      <c r="D122">
        <v>22.3</v>
      </c>
      <c r="E122">
        <v>40</v>
      </c>
      <c r="F122">
        <v>25.3</v>
      </c>
    </row>
    <row r="123" spans="1:6" x14ac:dyDescent="0.2">
      <c r="A123">
        <v>116</v>
      </c>
      <c r="B123" t="s">
        <v>732</v>
      </c>
      <c r="C123">
        <v>25</v>
      </c>
      <c r="D123">
        <v>36.700000000000003</v>
      </c>
      <c r="E123">
        <v>41.3</v>
      </c>
      <c r="F123">
        <v>25.1</v>
      </c>
    </row>
    <row r="124" spans="1:6" x14ac:dyDescent="0.2">
      <c r="A124">
        <v>117</v>
      </c>
      <c r="B124" t="s">
        <v>738</v>
      </c>
      <c r="C124">
        <v>22.4</v>
      </c>
      <c r="D124">
        <v>31.6</v>
      </c>
      <c r="E124">
        <v>57.5</v>
      </c>
      <c r="F124">
        <v>23.5</v>
      </c>
    </row>
    <row r="125" spans="1:6" x14ac:dyDescent="0.2">
      <c r="A125">
        <v>118</v>
      </c>
      <c r="B125" t="s">
        <v>733</v>
      </c>
      <c r="C125">
        <v>31.3</v>
      </c>
      <c r="D125">
        <v>23.5</v>
      </c>
      <c r="E125">
        <v>49.5</v>
      </c>
      <c r="F125">
        <v>22.7</v>
      </c>
    </row>
    <row r="126" spans="1:6" x14ac:dyDescent="0.2">
      <c r="A126">
        <v>119</v>
      </c>
      <c r="B126" t="s">
        <v>725</v>
      </c>
      <c r="C126">
        <v>17.600000000000001</v>
      </c>
      <c r="D126">
        <v>34.799999999999997</v>
      </c>
      <c r="E126">
        <v>47.7</v>
      </c>
      <c r="F126">
        <v>21.4</v>
      </c>
    </row>
    <row r="127" spans="1:6" x14ac:dyDescent="0.2">
      <c r="A127">
        <v>120</v>
      </c>
      <c r="B127" t="s">
        <v>736</v>
      </c>
      <c r="C127">
        <v>25.5</v>
      </c>
      <c r="D127">
        <v>26.5</v>
      </c>
      <c r="E127">
        <v>31.4</v>
      </c>
      <c r="F127">
        <v>18.7</v>
      </c>
    </row>
    <row r="128" spans="1:6" x14ac:dyDescent="0.2">
      <c r="A128" t="s">
        <v>467</v>
      </c>
      <c r="B128" t="s">
        <v>522</v>
      </c>
      <c r="C128" t="s">
        <v>757</v>
      </c>
      <c r="D128" t="s">
        <v>758</v>
      </c>
      <c r="E128" t="s">
        <v>759</v>
      </c>
      <c r="F128" t="s">
        <v>760</v>
      </c>
    </row>
    <row r="129" spans="1:6" x14ac:dyDescent="0.2">
      <c r="A129">
        <v>121</v>
      </c>
      <c r="B129" t="s">
        <v>741</v>
      </c>
      <c r="C129">
        <v>19.2</v>
      </c>
      <c r="D129">
        <v>33.9</v>
      </c>
      <c r="E129">
        <v>35.5</v>
      </c>
      <c r="F129">
        <v>18.600000000000001</v>
      </c>
    </row>
    <row r="130" spans="1:6" x14ac:dyDescent="0.2">
      <c r="A130">
        <v>122</v>
      </c>
      <c r="B130" t="s">
        <v>745</v>
      </c>
      <c r="C130">
        <v>11</v>
      </c>
      <c r="D130">
        <v>38.4</v>
      </c>
      <c r="E130">
        <v>51.3</v>
      </c>
      <c r="F130">
        <v>17</v>
      </c>
    </row>
    <row r="131" spans="1:6" x14ac:dyDescent="0.2">
      <c r="A131">
        <v>123</v>
      </c>
      <c r="B131" t="s">
        <v>734</v>
      </c>
      <c r="C131">
        <v>17.399999999999999</v>
      </c>
      <c r="D131">
        <v>21</v>
      </c>
      <c r="E131">
        <v>53.1</v>
      </c>
      <c r="F131">
        <v>14.8</v>
      </c>
    </row>
    <row r="132" spans="1:6" x14ac:dyDescent="0.2">
      <c r="A132">
        <v>124</v>
      </c>
      <c r="B132" t="s">
        <v>746</v>
      </c>
      <c r="C132">
        <v>10.8</v>
      </c>
      <c r="D132">
        <v>29.6</v>
      </c>
      <c r="E132">
        <v>53.3</v>
      </c>
      <c r="F132">
        <v>14.6</v>
      </c>
    </row>
    <row r="133" spans="1:6" x14ac:dyDescent="0.2">
      <c r="A133">
        <v>125</v>
      </c>
      <c r="B133" t="s">
        <v>743</v>
      </c>
      <c r="C133">
        <v>20.3</v>
      </c>
      <c r="D133">
        <v>14.5</v>
      </c>
      <c r="E133">
        <v>53.2</v>
      </c>
      <c r="F133">
        <v>12.6</v>
      </c>
    </row>
    <row r="134" spans="1:6" x14ac:dyDescent="0.2">
      <c r="A134">
        <v>126</v>
      </c>
      <c r="B134" t="s">
        <v>751</v>
      </c>
      <c r="C134">
        <v>16.100000000000001</v>
      </c>
      <c r="D134">
        <v>12.2</v>
      </c>
      <c r="E134">
        <v>35.9</v>
      </c>
      <c r="F134">
        <v>8.1</v>
      </c>
    </row>
    <row r="135" spans="1:6" x14ac:dyDescent="0.2">
      <c r="A135">
        <v>127</v>
      </c>
      <c r="B135" t="s">
        <v>748</v>
      </c>
      <c r="C135">
        <v>11.4</v>
      </c>
      <c r="D135">
        <v>15.6</v>
      </c>
      <c r="E135">
        <v>44.5</v>
      </c>
      <c r="F135">
        <v>7.9</v>
      </c>
    </row>
    <row r="136" spans="1:6" x14ac:dyDescent="0.2">
      <c r="A136">
        <v>128</v>
      </c>
      <c r="B136" t="s">
        <v>750</v>
      </c>
      <c r="C136">
        <v>7.8</v>
      </c>
      <c r="D136">
        <v>19.2</v>
      </c>
      <c r="E136">
        <v>42.9</v>
      </c>
      <c r="F136">
        <v>7.2</v>
      </c>
    </row>
    <row r="137" spans="1:6" x14ac:dyDescent="0.2">
      <c r="A137">
        <v>129</v>
      </c>
      <c r="B137" t="s">
        <v>752</v>
      </c>
      <c r="C137">
        <v>7.2</v>
      </c>
      <c r="D137">
        <v>11.9</v>
      </c>
      <c r="E137">
        <v>39.6</v>
      </c>
      <c r="F137">
        <v>4.7</v>
      </c>
    </row>
    <row r="138" spans="1:6" x14ac:dyDescent="0.2">
      <c r="A138">
        <v>130</v>
      </c>
      <c r="B138" t="s">
        <v>754</v>
      </c>
      <c r="C138">
        <v>10.7</v>
      </c>
      <c r="D138">
        <v>5</v>
      </c>
      <c r="E138">
        <v>55.5</v>
      </c>
      <c r="F138">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A1E5-6ED0-3344-A64C-F0E93648D223}">
  <dimension ref="A1:V139"/>
  <sheetViews>
    <sheetView workbookViewId="0">
      <selection activeCell="C2" sqref="C2"/>
    </sheetView>
  </sheetViews>
  <sheetFormatPr baseColWidth="10" defaultRowHeight="16" x14ac:dyDescent="0.2"/>
  <cols>
    <col min="1" max="1" width="3.6640625" bestFit="1" customWidth="1"/>
    <col min="2" max="2" width="14.6640625" bestFit="1" customWidth="1"/>
    <col min="3" max="3" width="6.5" bestFit="1" customWidth="1"/>
    <col min="4" max="5" width="5" bestFit="1" customWidth="1"/>
    <col min="6" max="6" width="3.6640625" bestFit="1" customWidth="1"/>
    <col min="7" max="7" width="5" bestFit="1" customWidth="1"/>
    <col min="8" max="8" width="3.6640625" bestFit="1" customWidth="1"/>
    <col min="9" max="9" width="4.5" bestFit="1" customWidth="1"/>
    <col min="10" max="19" width="2.83203125" bestFit="1" customWidth="1"/>
    <col min="20" max="22" width="3.5" bestFit="1" customWidth="1"/>
  </cols>
  <sheetData>
    <row r="1" spans="1:22" x14ac:dyDescent="0.2">
      <c r="A1" s="24" t="s">
        <v>497</v>
      </c>
      <c r="B1" s="25" t="s">
        <v>0</v>
      </c>
      <c r="C1" s="24" t="s">
        <v>498</v>
      </c>
      <c r="D1" s="26" t="s">
        <v>496</v>
      </c>
      <c r="E1" s="26" t="s">
        <v>499</v>
      </c>
      <c r="F1" s="24" t="s">
        <v>497</v>
      </c>
      <c r="G1" s="26" t="s">
        <v>500</v>
      </c>
      <c r="H1" s="24" t="s">
        <v>497</v>
      </c>
      <c r="I1" s="26" t="s">
        <v>501</v>
      </c>
      <c r="J1" s="26" t="s">
        <v>502</v>
      </c>
      <c r="K1" s="26" t="s">
        <v>503</v>
      </c>
      <c r="L1" s="26" t="s">
        <v>504</v>
      </c>
      <c r="M1" s="26" t="s">
        <v>505</v>
      </c>
      <c r="N1" s="26" t="s">
        <v>506</v>
      </c>
      <c r="O1" s="26" t="s">
        <v>507</v>
      </c>
      <c r="P1" s="26" t="s">
        <v>508</v>
      </c>
      <c r="Q1" s="26" t="s">
        <v>509</v>
      </c>
      <c r="R1" s="26" t="s">
        <v>510</v>
      </c>
      <c r="S1" s="26" t="s">
        <v>511</v>
      </c>
      <c r="T1" s="26" t="s">
        <v>512</v>
      </c>
      <c r="U1" s="26" t="s">
        <v>513</v>
      </c>
      <c r="V1" s="26" t="s">
        <v>514</v>
      </c>
    </row>
    <row r="2" spans="1:22" x14ac:dyDescent="0.2">
      <c r="A2" s="27">
        <v>1</v>
      </c>
      <c r="B2" s="22" t="s">
        <v>30</v>
      </c>
      <c r="C2" s="28">
        <v>36647</v>
      </c>
      <c r="D2" s="23">
        <v>1.67</v>
      </c>
      <c r="E2" s="23">
        <v>2.4300000000000002</v>
      </c>
      <c r="F2" s="27">
        <v>1</v>
      </c>
      <c r="G2" s="23">
        <v>1.1200000000000001</v>
      </c>
      <c r="H2" s="27">
        <v>3</v>
      </c>
      <c r="I2" s="23">
        <v>0.3</v>
      </c>
      <c r="J2" s="27">
        <v>71</v>
      </c>
      <c r="K2" s="27">
        <v>27</v>
      </c>
      <c r="L2" s="27">
        <v>2</v>
      </c>
      <c r="M2" s="27" t="s">
        <v>515</v>
      </c>
      <c r="N2" s="27" t="s">
        <v>515</v>
      </c>
      <c r="O2" s="27" t="s">
        <v>515</v>
      </c>
      <c r="P2" s="27" t="s">
        <v>515</v>
      </c>
      <c r="Q2" s="27" t="s">
        <v>515</v>
      </c>
      <c r="R2" s="27" t="s">
        <v>515</v>
      </c>
      <c r="S2" s="27" t="s">
        <v>515</v>
      </c>
      <c r="T2" s="27" t="s">
        <v>515</v>
      </c>
      <c r="U2" s="27" t="s">
        <v>515</v>
      </c>
      <c r="V2" s="27" t="s">
        <v>515</v>
      </c>
    </row>
    <row r="3" spans="1:22" x14ac:dyDescent="0.2">
      <c r="A3" s="27">
        <v>2</v>
      </c>
      <c r="B3" s="22" t="s">
        <v>300</v>
      </c>
      <c r="C3" s="28">
        <v>36678</v>
      </c>
      <c r="D3" s="23">
        <v>1.55</v>
      </c>
      <c r="E3" s="23">
        <v>1.74</v>
      </c>
      <c r="F3" s="27">
        <v>3</v>
      </c>
      <c r="G3" s="23">
        <v>1.36</v>
      </c>
      <c r="H3" s="27">
        <v>2</v>
      </c>
      <c r="I3" s="23">
        <v>0.5</v>
      </c>
      <c r="J3" s="27">
        <v>63</v>
      </c>
      <c r="K3" s="27">
        <v>31</v>
      </c>
      <c r="L3" s="27">
        <v>6</v>
      </c>
      <c r="M3" s="27" t="s">
        <v>515</v>
      </c>
      <c r="N3" s="27" t="s">
        <v>515</v>
      </c>
      <c r="O3" s="27" t="s">
        <v>515</v>
      </c>
      <c r="P3" s="27" t="s">
        <v>515</v>
      </c>
      <c r="Q3" s="27" t="s">
        <v>515</v>
      </c>
      <c r="R3" s="27" t="s">
        <v>515</v>
      </c>
      <c r="S3" s="27" t="s">
        <v>515</v>
      </c>
      <c r="T3" s="27" t="s">
        <v>515</v>
      </c>
      <c r="U3" s="27" t="s">
        <v>515</v>
      </c>
      <c r="V3" s="27" t="s">
        <v>515</v>
      </c>
    </row>
    <row r="4" spans="1:22" x14ac:dyDescent="0.2">
      <c r="A4" s="27">
        <v>3</v>
      </c>
      <c r="B4" s="22" t="s">
        <v>303</v>
      </c>
      <c r="C4" s="28">
        <v>36617</v>
      </c>
      <c r="D4" s="23">
        <v>1.21</v>
      </c>
      <c r="E4" s="23">
        <v>2.39</v>
      </c>
      <c r="F4" s="27">
        <v>2</v>
      </c>
      <c r="G4" s="23">
        <v>0.05</v>
      </c>
      <c r="H4" s="27">
        <v>51</v>
      </c>
      <c r="I4" s="23">
        <v>1.2</v>
      </c>
      <c r="J4" s="27">
        <v>24</v>
      </c>
      <c r="K4" s="27">
        <v>40</v>
      </c>
      <c r="L4" s="27">
        <v>25</v>
      </c>
      <c r="M4" s="27">
        <v>10</v>
      </c>
      <c r="N4" s="27">
        <v>1</v>
      </c>
      <c r="O4" s="27" t="s">
        <v>515</v>
      </c>
      <c r="P4" s="27" t="s">
        <v>515</v>
      </c>
      <c r="Q4" s="27" t="s">
        <v>515</v>
      </c>
      <c r="R4" s="27" t="s">
        <v>515</v>
      </c>
      <c r="S4" s="27" t="s">
        <v>515</v>
      </c>
      <c r="T4" s="27" t="s">
        <v>515</v>
      </c>
      <c r="U4" s="27" t="s">
        <v>515</v>
      </c>
      <c r="V4" s="27" t="s">
        <v>515</v>
      </c>
    </row>
    <row r="5" spans="1:22" x14ac:dyDescent="0.2">
      <c r="A5" s="27">
        <v>4</v>
      </c>
      <c r="B5" s="22" t="s">
        <v>157</v>
      </c>
      <c r="C5" s="28">
        <v>36617</v>
      </c>
      <c r="D5" s="23">
        <v>1.2</v>
      </c>
      <c r="E5" s="23">
        <v>1.25</v>
      </c>
      <c r="F5" s="27">
        <v>7</v>
      </c>
      <c r="G5" s="23">
        <v>0.87</v>
      </c>
      <c r="H5" s="27">
        <v>10</v>
      </c>
      <c r="I5" s="23">
        <v>0.9</v>
      </c>
      <c r="J5" s="27">
        <v>34</v>
      </c>
      <c r="K5" s="27">
        <v>45</v>
      </c>
      <c r="L5" s="27">
        <v>18</v>
      </c>
      <c r="M5" s="27">
        <v>3</v>
      </c>
      <c r="N5" s="27" t="s">
        <v>515</v>
      </c>
      <c r="O5" s="27" t="s">
        <v>515</v>
      </c>
      <c r="P5" s="27" t="s">
        <v>515</v>
      </c>
      <c r="Q5" s="27" t="s">
        <v>515</v>
      </c>
      <c r="R5" s="27" t="s">
        <v>515</v>
      </c>
      <c r="S5" s="27" t="s">
        <v>515</v>
      </c>
      <c r="T5" s="27" t="s">
        <v>515</v>
      </c>
      <c r="U5" s="27" t="s">
        <v>515</v>
      </c>
      <c r="V5" s="27" t="s">
        <v>515</v>
      </c>
    </row>
    <row r="6" spans="1:22" x14ac:dyDescent="0.2">
      <c r="A6" s="27">
        <v>5</v>
      </c>
      <c r="B6" s="22" t="s">
        <v>459</v>
      </c>
      <c r="C6" s="28">
        <v>36647</v>
      </c>
      <c r="D6" s="23">
        <v>1.1599999999999999</v>
      </c>
      <c r="E6" s="23">
        <v>1.26</v>
      </c>
      <c r="F6" s="27">
        <v>6</v>
      </c>
      <c r="G6" s="23">
        <v>1.04</v>
      </c>
      <c r="H6" s="27">
        <v>5</v>
      </c>
      <c r="I6" s="23">
        <v>1.4</v>
      </c>
      <c r="J6" s="27">
        <v>11</v>
      </c>
      <c r="K6" s="27">
        <v>50</v>
      </c>
      <c r="L6" s="27">
        <v>29</v>
      </c>
      <c r="M6" s="27">
        <v>9</v>
      </c>
      <c r="N6" s="27">
        <v>1</v>
      </c>
      <c r="O6" s="27" t="s">
        <v>515</v>
      </c>
      <c r="P6" s="27" t="s">
        <v>515</v>
      </c>
      <c r="Q6" s="27" t="s">
        <v>515</v>
      </c>
      <c r="R6" s="27" t="s">
        <v>515</v>
      </c>
      <c r="S6" s="27" t="s">
        <v>515</v>
      </c>
      <c r="T6" s="27" t="s">
        <v>515</v>
      </c>
      <c r="U6" s="27" t="s">
        <v>515</v>
      </c>
      <c r="V6" s="27" t="s">
        <v>515</v>
      </c>
    </row>
    <row r="7" spans="1:22" x14ac:dyDescent="0.2">
      <c r="A7" s="27">
        <v>6</v>
      </c>
      <c r="B7" s="22" t="s">
        <v>115</v>
      </c>
      <c r="C7" s="28">
        <v>36647</v>
      </c>
      <c r="D7" s="23">
        <v>1.1399999999999999</v>
      </c>
      <c r="E7" s="23">
        <v>0.9</v>
      </c>
      <c r="F7" s="27">
        <v>12</v>
      </c>
      <c r="G7" s="23">
        <v>1.4</v>
      </c>
      <c r="H7" s="27">
        <v>1</v>
      </c>
      <c r="I7" s="23">
        <v>0.4</v>
      </c>
      <c r="J7" s="27">
        <v>67</v>
      </c>
      <c r="K7" s="27">
        <v>29</v>
      </c>
      <c r="L7" s="27">
        <v>3</v>
      </c>
      <c r="M7" s="27">
        <v>1</v>
      </c>
      <c r="N7" s="27" t="s">
        <v>515</v>
      </c>
      <c r="O7" s="27" t="s">
        <v>515</v>
      </c>
      <c r="P7" s="27" t="s">
        <v>515</v>
      </c>
      <c r="Q7" s="27" t="s">
        <v>515</v>
      </c>
      <c r="R7" s="27" t="s">
        <v>515</v>
      </c>
      <c r="S7" s="27" t="s">
        <v>515</v>
      </c>
      <c r="T7" s="27" t="s">
        <v>515</v>
      </c>
      <c r="U7" s="27" t="s">
        <v>515</v>
      </c>
      <c r="V7" s="27" t="s">
        <v>515</v>
      </c>
    </row>
    <row r="8" spans="1:22" x14ac:dyDescent="0.2">
      <c r="A8" s="27">
        <v>7</v>
      </c>
      <c r="B8" s="22" t="s">
        <v>219</v>
      </c>
      <c r="C8" s="28">
        <v>36617</v>
      </c>
      <c r="D8" s="23">
        <v>1.1100000000000001</v>
      </c>
      <c r="E8" s="23">
        <v>1.68</v>
      </c>
      <c r="F8" s="27">
        <v>4</v>
      </c>
      <c r="G8" s="23">
        <v>0.44</v>
      </c>
      <c r="H8" s="27">
        <v>27</v>
      </c>
      <c r="I8" s="23">
        <v>1.7</v>
      </c>
      <c r="J8" s="27">
        <v>5</v>
      </c>
      <c r="K8" s="27">
        <v>43</v>
      </c>
      <c r="L8" s="27">
        <v>36</v>
      </c>
      <c r="M8" s="27">
        <v>14</v>
      </c>
      <c r="N8" s="27">
        <v>2</v>
      </c>
      <c r="O8" s="27" t="s">
        <v>515</v>
      </c>
      <c r="P8" s="27" t="s">
        <v>515</v>
      </c>
      <c r="Q8" s="27" t="s">
        <v>515</v>
      </c>
      <c r="R8" s="27" t="s">
        <v>515</v>
      </c>
      <c r="S8" s="27" t="s">
        <v>515</v>
      </c>
      <c r="T8" s="27" t="s">
        <v>515</v>
      </c>
      <c r="U8" s="27" t="s">
        <v>515</v>
      </c>
      <c r="V8" s="27" t="s">
        <v>515</v>
      </c>
    </row>
    <row r="9" spans="1:22" x14ac:dyDescent="0.2">
      <c r="A9" s="27">
        <v>8</v>
      </c>
      <c r="B9" s="22" t="s">
        <v>71</v>
      </c>
      <c r="C9" s="28">
        <v>36617</v>
      </c>
      <c r="D9" s="23">
        <v>0.86</v>
      </c>
      <c r="E9" s="23">
        <v>1.32</v>
      </c>
      <c r="F9" s="27">
        <v>5</v>
      </c>
      <c r="G9" s="23">
        <v>0.39</v>
      </c>
      <c r="H9" s="27">
        <v>30</v>
      </c>
      <c r="I9" s="23">
        <v>1.9</v>
      </c>
      <c r="J9" s="27">
        <v>8</v>
      </c>
      <c r="K9" s="27">
        <v>30</v>
      </c>
      <c r="L9" s="27">
        <v>36</v>
      </c>
      <c r="M9" s="27">
        <v>21</v>
      </c>
      <c r="N9" s="27">
        <v>4</v>
      </c>
      <c r="O9" s="27">
        <v>1</v>
      </c>
      <c r="P9" s="27" t="s">
        <v>515</v>
      </c>
      <c r="Q9" s="27" t="s">
        <v>515</v>
      </c>
      <c r="R9" s="27" t="s">
        <v>515</v>
      </c>
      <c r="S9" s="27" t="s">
        <v>515</v>
      </c>
      <c r="T9" s="27" t="s">
        <v>515</v>
      </c>
      <c r="U9" s="27" t="s">
        <v>515</v>
      </c>
      <c r="V9" s="27" t="s">
        <v>515</v>
      </c>
    </row>
    <row r="10" spans="1:22" x14ac:dyDescent="0.2">
      <c r="A10" s="27">
        <v>9</v>
      </c>
      <c r="B10" s="22" t="s">
        <v>481</v>
      </c>
      <c r="C10" s="29">
        <v>43526</v>
      </c>
      <c r="D10" s="23">
        <v>0.85</v>
      </c>
      <c r="E10" s="23">
        <v>1.01</v>
      </c>
      <c r="F10" s="27">
        <v>9</v>
      </c>
      <c r="G10" s="23">
        <v>0.63</v>
      </c>
      <c r="H10" s="27">
        <v>19</v>
      </c>
      <c r="I10" s="23">
        <v>2.8</v>
      </c>
      <c r="J10" s="27" t="s">
        <v>515</v>
      </c>
      <c r="K10" s="27" t="s">
        <v>515</v>
      </c>
      <c r="L10" s="27">
        <v>41</v>
      </c>
      <c r="M10" s="27">
        <v>41</v>
      </c>
      <c r="N10" s="27">
        <v>15</v>
      </c>
      <c r="O10" s="27">
        <v>3</v>
      </c>
      <c r="P10" s="27" t="s">
        <v>515</v>
      </c>
      <c r="Q10" s="27" t="s">
        <v>515</v>
      </c>
      <c r="R10" s="27" t="s">
        <v>515</v>
      </c>
      <c r="S10" s="27" t="s">
        <v>515</v>
      </c>
      <c r="T10" s="27" t="s">
        <v>515</v>
      </c>
      <c r="U10" s="27" t="s">
        <v>515</v>
      </c>
      <c r="V10" s="27" t="s">
        <v>515</v>
      </c>
    </row>
    <row r="11" spans="1:22" x14ac:dyDescent="0.2">
      <c r="A11" s="27">
        <v>10</v>
      </c>
      <c r="B11" s="22" t="s">
        <v>322</v>
      </c>
      <c r="C11" s="28">
        <v>36617</v>
      </c>
      <c r="D11" s="23">
        <v>0.83</v>
      </c>
      <c r="E11" s="23">
        <v>0.82</v>
      </c>
      <c r="F11" s="27">
        <v>16</v>
      </c>
      <c r="G11" s="23">
        <v>0.86</v>
      </c>
      <c r="H11" s="27">
        <v>11</v>
      </c>
      <c r="I11" s="23">
        <v>2.5</v>
      </c>
      <c r="J11" s="27">
        <v>2</v>
      </c>
      <c r="K11" s="27">
        <v>16</v>
      </c>
      <c r="L11" s="27">
        <v>33</v>
      </c>
      <c r="M11" s="27">
        <v>33</v>
      </c>
      <c r="N11" s="27">
        <v>14</v>
      </c>
      <c r="O11" s="27">
        <v>2</v>
      </c>
      <c r="P11" s="27" t="s">
        <v>515</v>
      </c>
      <c r="Q11" s="27" t="s">
        <v>515</v>
      </c>
      <c r="R11" s="27" t="s">
        <v>515</v>
      </c>
      <c r="S11" s="27" t="s">
        <v>515</v>
      </c>
      <c r="T11" s="27" t="s">
        <v>515</v>
      </c>
      <c r="U11" s="27" t="s">
        <v>515</v>
      </c>
      <c r="V11" s="27" t="s">
        <v>515</v>
      </c>
    </row>
    <row r="12" spans="1:22" x14ac:dyDescent="0.2">
      <c r="A12" s="27">
        <v>11</v>
      </c>
      <c r="B12" s="22" t="s">
        <v>259</v>
      </c>
      <c r="C12" s="29">
        <v>43525</v>
      </c>
      <c r="D12" s="23">
        <v>0.79</v>
      </c>
      <c r="E12" s="23">
        <v>0.7</v>
      </c>
      <c r="F12" s="27">
        <v>21</v>
      </c>
      <c r="G12" s="23">
        <v>0.79</v>
      </c>
      <c r="H12" s="27">
        <v>14</v>
      </c>
      <c r="I12" s="23">
        <v>2.6</v>
      </c>
      <c r="J12" s="27" t="s">
        <v>515</v>
      </c>
      <c r="K12" s="27">
        <v>11</v>
      </c>
      <c r="L12" s="27">
        <v>40</v>
      </c>
      <c r="M12" s="27">
        <v>34</v>
      </c>
      <c r="N12" s="27">
        <v>13</v>
      </c>
      <c r="O12" s="27">
        <v>2</v>
      </c>
      <c r="P12" s="27" t="s">
        <v>515</v>
      </c>
      <c r="Q12" s="27" t="s">
        <v>515</v>
      </c>
      <c r="R12" s="27" t="s">
        <v>515</v>
      </c>
      <c r="S12" s="27" t="s">
        <v>515</v>
      </c>
      <c r="T12" s="27" t="s">
        <v>515</v>
      </c>
      <c r="U12" s="27" t="s">
        <v>515</v>
      </c>
      <c r="V12" s="27" t="s">
        <v>515</v>
      </c>
    </row>
    <row r="13" spans="1:22" x14ac:dyDescent="0.2">
      <c r="A13" s="27">
        <v>12</v>
      </c>
      <c r="B13" s="22" t="s">
        <v>296</v>
      </c>
      <c r="C13" s="29">
        <v>43556</v>
      </c>
      <c r="D13" s="23">
        <v>0.77</v>
      </c>
      <c r="E13" s="23">
        <v>0.69</v>
      </c>
      <c r="F13" s="27">
        <v>23</v>
      </c>
      <c r="G13" s="23">
        <v>0.82</v>
      </c>
      <c r="H13" s="27">
        <v>12</v>
      </c>
      <c r="I13" s="23">
        <v>2.4</v>
      </c>
      <c r="J13" s="27" t="s">
        <v>515</v>
      </c>
      <c r="K13" s="27">
        <v>19</v>
      </c>
      <c r="L13" s="27">
        <v>35</v>
      </c>
      <c r="M13" s="27">
        <v>30</v>
      </c>
      <c r="N13" s="27">
        <v>13</v>
      </c>
      <c r="O13" s="27">
        <v>3</v>
      </c>
      <c r="P13" s="27" t="s">
        <v>515</v>
      </c>
      <c r="Q13" s="27" t="s">
        <v>515</v>
      </c>
      <c r="R13" s="27" t="s">
        <v>515</v>
      </c>
      <c r="S13" s="27" t="s">
        <v>515</v>
      </c>
      <c r="T13" s="27" t="s">
        <v>515</v>
      </c>
      <c r="U13" s="27" t="s">
        <v>515</v>
      </c>
      <c r="V13" s="27" t="s">
        <v>515</v>
      </c>
    </row>
    <row r="14" spans="1:22" x14ac:dyDescent="0.2">
      <c r="A14" s="27">
        <v>13</v>
      </c>
      <c r="B14" s="22" t="s">
        <v>64</v>
      </c>
      <c r="C14" s="29">
        <v>43586</v>
      </c>
      <c r="D14" s="23">
        <v>0.74</v>
      </c>
      <c r="E14" s="23">
        <v>0.57999999999999996</v>
      </c>
      <c r="F14" s="27">
        <v>28</v>
      </c>
      <c r="G14" s="23">
        <v>0.81</v>
      </c>
      <c r="H14" s="27">
        <v>13</v>
      </c>
      <c r="I14" s="23">
        <v>3.6</v>
      </c>
      <c r="J14" s="27" t="s">
        <v>515</v>
      </c>
      <c r="K14" s="27">
        <v>1</v>
      </c>
      <c r="L14" s="27">
        <v>8</v>
      </c>
      <c r="M14" s="27">
        <v>35</v>
      </c>
      <c r="N14" s="27">
        <v>44</v>
      </c>
      <c r="O14" s="27">
        <v>11</v>
      </c>
      <c r="P14" s="27">
        <v>1</v>
      </c>
      <c r="Q14" s="27" t="s">
        <v>515</v>
      </c>
      <c r="R14" s="27" t="s">
        <v>515</v>
      </c>
      <c r="S14" s="27" t="s">
        <v>515</v>
      </c>
      <c r="T14" s="27" t="s">
        <v>515</v>
      </c>
      <c r="U14" s="27" t="s">
        <v>515</v>
      </c>
      <c r="V14" s="27" t="s">
        <v>515</v>
      </c>
    </row>
    <row r="15" spans="1:22" x14ac:dyDescent="0.2">
      <c r="A15" s="27">
        <v>14</v>
      </c>
      <c r="B15" s="22" t="s">
        <v>315</v>
      </c>
      <c r="C15" s="29">
        <v>43525</v>
      </c>
      <c r="D15" s="23">
        <v>0.68</v>
      </c>
      <c r="E15" s="23">
        <v>0.33</v>
      </c>
      <c r="F15" s="27">
        <v>42</v>
      </c>
      <c r="G15" s="23">
        <v>0.96</v>
      </c>
      <c r="H15" s="27">
        <v>7</v>
      </c>
      <c r="I15" s="23">
        <v>2.9</v>
      </c>
      <c r="J15" s="27" t="s">
        <v>515</v>
      </c>
      <c r="K15" s="27">
        <v>10</v>
      </c>
      <c r="L15" s="27">
        <v>28</v>
      </c>
      <c r="M15" s="27">
        <v>34</v>
      </c>
      <c r="N15" s="27">
        <v>19</v>
      </c>
      <c r="O15" s="27">
        <v>8</v>
      </c>
      <c r="P15" s="27">
        <v>1</v>
      </c>
      <c r="Q15" s="27" t="s">
        <v>515</v>
      </c>
      <c r="R15" s="27" t="s">
        <v>515</v>
      </c>
      <c r="S15" s="27" t="s">
        <v>515</v>
      </c>
      <c r="T15" s="27" t="s">
        <v>515</v>
      </c>
      <c r="U15" s="27" t="s">
        <v>515</v>
      </c>
      <c r="V15" s="27" t="s">
        <v>515</v>
      </c>
    </row>
    <row r="16" spans="1:22" x14ac:dyDescent="0.2">
      <c r="A16" s="27">
        <v>15</v>
      </c>
      <c r="B16" s="22" t="s">
        <v>181</v>
      </c>
      <c r="C16" s="29">
        <v>43556</v>
      </c>
      <c r="D16" s="23">
        <v>0.65</v>
      </c>
      <c r="E16" s="23">
        <v>0.19</v>
      </c>
      <c r="F16" s="27">
        <v>53</v>
      </c>
      <c r="G16" s="23">
        <v>0.99</v>
      </c>
      <c r="H16" s="27">
        <v>6</v>
      </c>
      <c r="I16" s="23">
        <v>3.3</v>
      </c>
      <c r="J16" s="27" t="s">
        <v>515</v>
      </c>
      <c r="K16" s="27">
        <v>2</v>
      </c>
      <c r="L16" s="27">
        <v>19</v>
      </c>
      <c r="M16" s="27">
        <v>36</v>
      </c>
      <c r="N16" s="27">
        <v>28</v>
      </c>
      <c r="O16" s="27">
        <v>13</v>
      </c>
      <c r="P16" s="27">
        <v>2</v>
      </c>
      <c r="Q16" s="27" t="s">
        <v>515</v>
      </c>
      <c r="R16" s="27" t="s">
        <v>515</v>
      </c>
      <c r="S16" s="27" t="s">
        <v>515</v>
      </c>
      <c r="T16" s="27" t="s">
        <v>515</v>
      </c>
      <c r="U16" s="27" t="s">
        <v>515</v>
      </c>
      <c r="V16" s="27" t="s">
        <v>515</v>
      </c>
    </row>
    <row r="17" spans="1:22" x14ac:dyDescent="0.2">
      <c r="A17" s="24" t="s">
        <v>497</v>
      </c>
      <c r="B17" s="25" t="s">
        <v>0</v>
      </c>
      <c r="C17" s="24" t="s">
        <v>498</v>
      </c>
      <c r="D17" s="26" t="s">
        <v>496</v>
      </c>
      <c r="E17" s="26" t="s">
        <v>499</v>
      </c>
      <c r="F17" s="24" t="s">
        <v>497</v>
      </c>
      <c r="G17" s="26" t="s">
        <v>500</v>
      </c>
      <c r="H17" s="24" t="s">
        <v>497</v>
      </c>
      <c r="I17" s="26" t="s">
        <v>501</v>
      </c>
      <c r="J17" s="26" t="s">
        <v>502</v>
      </c>
      <c r="K17" s="26" t="s">
        <v>503</v>
      </c>
      <c r="L17" s="26" t="s">
        <v>504</v>
      </c>
      <c r="M17" s="26" t="s">
        <v>505</v>
      </c>
      <c r="N17" s="26" t="s">
        <v>506</v>
      </c>
      <c r="O17" s="26" t="s">
        <v>507</v>
      </c>
      <c r="P17" s="26" t="s">
        <v>508</v>
      </c>
      <c r="Q17" s="26" t="s">
        <v>509</v>
      </c>
      <c r="R17" s="26" t="s">
        <v>510</v>
      </c>
      <c r="S17" s="26" t="s">
        <v>511</v>
      </c>
      <c r="T17" s="26" t="s">
        <v>512</v>
      </c>
      <c r="U17" s="26" t="s">
        <v>513</v>
      </c>
      <c r="V17" s="26" t="s">
        <v>514</v>
      </c>
    </row>
    <row r="18" spans="1:22" x14ac:dyDescent="0.2">
      <c r="A18" s="27">
        <v>16</v>
      </c>
      <c r="B18" s="22" t="s">
        <v>74</v>
      </c>
      <c r="C18" s="29">
        <v>43556</v>
      </c>
      <c r="D18" s="23">
        <v>0.63</v>
      </c>
      <c r="E18" s="23">
        <v>1.1599999999999999</v>
      </c>
      <c r="F18" s="27">
        <v>8</v>
      </c>
      <c r="G18" s="23">
        <v>7.0000000000000007E-2</v>
      </c>
      <c r="H18" s="27">
        <v>48</v>
      </c>
      <c r="I18" s="23">
        <v>4</v>
      </c>
      <c r="J18" s="27" t="s">
        <v>515</v>
      </c>
      <c r="K18" s="27">
        <v>1</v>
      </c>
      <c r="L18" s="27">
        <v>7</v>
      </c>
      <c r="M18" s="27">
        <v>24</v>
      </c>
      <c r="N18" s="27">
        <v>35</v>
      </c>
      <c r="O18" s="27">
        <v>24</v>
      </c>
      <c r="P18" s="27">
        <v>8</v>
      </c>
      <c r="Q18" s="27">
        <v>1</v>
      </c>
      <c r="R18" s="27" t="s">
        <v>515</v>
      </c>
      <c r="S18" s="27" t="s">
        <v>515</v>
      </c>
      <c r="T18" s="27" t="s">
        <v>515</v>
      </c>
      <c r="U18" s="27" t="s">
        <v>515</v>
      </c>
      <c r="V18" s="27" t="s">
        <v>515</v>
      </c>
    </row>
    <row r="19" spans="1:22" x14ac:dyDescent="0.2">
      <c r="A19" s="27">
        <v>17</v>
      </c>
      <c r="B19" s="22" t="s">
        <v>245</v>
      </c>
      <c r="C19" s="29">
        <v>43557</v>
      </c>
      <c r="D19" s="23">
        <v>0.63</v>
      </c>
      <c r="E19" s="23">
        <v>0.2</v>
      </c>
      <c r="F19" s="27">
        <v>52</v>
      </c>
      <c r="G19" s="23">
        <v>1.0900000000000001</v>
      </c>
      <c r="H19" s="27">
        <v>4</v>
      </c>
      <c r="I19" s="23">
        <v>4</v>
      </c>
      <c r="J19" s="27" t="s">
        <v>515</v>
      </c>
      <c r="K19" s="27" t="s">
        <v>515</v>
      </c>
      <c r="L19" s="27">
        <v>4</v>
      </c>
      <c r="M19" s="27">
        <v>25</v>
      </c>
      <c r="N19" s="27">
        <v>42</v>
      </c>
      <c r="O19" s="27">
        <v>25</v>
      </c>
      <c r="P19" s="27">
        <v>4</v>
      </c>
      <c r="Q19" s="27" t="s">
        <v>515</v>
      </c>
      <c r="R19" s="27" t="s">
        <v>515</v>
      </c>
      <c r="S19" s="27" t="s">
        <v>515</v>
      </c>
      <c r="T19" s="27" t="s">
        <v>515</v>
      </c>
      <c r="U19" s="27" t="s">
        <v>515</v>
      </c>
      <c r="V19" s="27" t="s">
        <v>515</v>
      </c>
    </row>
    <row r="20" spans="1:22" x14ac:dyDescent="0.2">
      <c r="A20" s="27">
        <v>18</v>
      </c>
      <c r="B20" s="22" t="s">
        <v>185</v>
      </c>
      <c r="C20" s="29">
        <v>43498</v>
      </c>
      <c r="D20" s="23">
        <v>0.59</v>
      </c>
      <c r="E20" s="23">
        <v>0.98</v>
      </c>
      <c r="F20" s="27">
        <v>11</v>
      </c>
      <c r="G20" s="23">
        <v>0.28999999999999998</v>
      </c>
      <c r="H20" s="27">
        <v>35</v>
      </c>
      <c r="I20" s="23">
        <v>4.5999999999999996</v>
      </c>
      <c r="J20" s="27" t="s">
        <v>515</v>
      </c>
      <c r="K20" s="27" t="s">
        <v>515</v>
      </c>
      <c r="L20" s="27">
        <v>3</v>
      </c>
      <c r="M20" s="27">
        <v>15</v>
      </c>
      <c r="N20" s="27">
        <v>31</v>
      </c>
      <c r="O20" s="27">
        <v>30</v>
      </c>
      <c r="P20" s="27">
        <v>17</v>
      </c>
      <c r="Q20" s="27">
        <v>3</v>
      </c>
      <c r="R20" s="27">
        <v>1</v>
      </c>
      <c r="S20" s="27" t="s">
        <v>515</v>
      </c>
      <c r="T20" s="27" t="s">
        <v>515</v>
      </c>
      <c r="U20" s="27" t="s">
        <v>515</v>
      </c>
      <c r="V20" s="27" t="s">
        <v>515</v>
      </c>
    </row>
    <row r="21" spans="1:22" x14ac:dyDescent="0.2">
      <c r="A21" s="27">
        <v>19</v>
      </c>
      <c r="B21" s="22" t="s">
        <v>363</v>
      </c>
      <c r="C21" s="29">
        <v>43498</v>
      </c>
      <c r="D21" s="23">
        <v>0.54</v>
      </c>
      <c r="E21" s="23">
        <v>0.35</v>
      </c>
      <c r="F21" s="27">
        <v>40</v>
      </c>
      <c r="G21" s="23">
        <v>0.74</v>
      </c>
      <c r="H21" s="27">
        <v>15</v>
      </c>
      <c r="I21" s="23">
        <v>5.3</v>
      </c>
      <c r="J21" s="27" t="s">
        <v>515</v>
      </c>
      <c r="K21" s="27" t="s">
        <v>515</v>
      </c>
      <c r="L21" s="27">
        <v>1</v>
      </c>
      <c r="M21" s="27">
        <v>6</v>
      </c>
      <c r="N21" s="27">
        <v>18</v>
      </c>
      <c r="O21" s="27">
        <v>32</v>
      </c>
      <c r="P21" s="27">
        <v>27</v>
      </c>
      <c r="Q21" s="27">
        <v>13</v>
      </c>
      <c r="R21" s="27">
        <v>3</v>
      </c>
      <c r="S21" s="27" t="s">
        <v>515</v>
      </c>
      <c r="T21" s="27" t="s">
        <v>515</v>
      </c>
      <c r="U21" s="27" t="s">
        <v>515</v>
      </c>
      <c r="V21" s="27" t="s">
        <v>515</v>
      </c>
    </row>
    <row r="22" spans="1:22" x14ac:dyDescent="0.2">
      <c r="A22" s="27">
        <v>20</v>
      </c>
      <c r="B22" s="22" t="s">
        <v>344</v>
      </c>
      <c r="C22" s="28">
        <v>36678</v>
      </c>
      <c r="D22" s="23">
        <v>0.54</v>
      </c>
      <c r="E22" s="23">
        <v>0.85</v>
      </c>
      <c r="F22" s="27">
        <v>14</v>
      </c>
      <c r="G22" s="23">
        <v>0.22</v>
      </c>
      <c r="H22" s="27">
        <v>38</v>
      </c>
      <c r="I22" s="23">
        <v>1.8</v>
      </c>
      <c r="J22" s="27">
        <v>11</v>
      </c>
      <c r="K22" s="27">
        <v>31</v>
      </c>
      <c r="L22" s="27">
        <v>34</v>
      </c>
      <c r="M22" s="27">
        <v>18</v>
      </c>
      <c r="N22" s="27">
        <v>5</v>
      </c>
      <c r="O22" s="27">
        <v>1</v>
      </c>
      <c r="P22" s="27" t="s">
        <v>515</v>
      </c>
      <c r="Q22" s="27" t="s">
        <v>515</v>
      </c>
      <c r="R22" s="27" t="s">
        <v>515</v>
      </c>
      <c r="S22" s="27" t="s">
        <v>515</v>
      </c>
      <c r="T22" s="27" t="s">
        <v>515</v>
      </c>
      <c r="U22" s="27" t="s">
        <v>515</v>
      </c>
      <c r="V22" s="27" t="s">
        <v>515</v>
      </c>
    </row>
    <row r="23" spans="1:22" x14ac:dyDescent="0.2">
      <c r="A23" s="27">
        <v>21</v>
      </c>
      <c r="B23" s="22" t="s">
        <v>447</v>
      </c>
      <c r="C23" s="29">
        <v>43526</v>
      </c>
      <c r="D23" s="23">
        <v>0.49</v>
      </c>
      <c r="E23" s="23">
        <v>0.75</v>
      </c>
      <c r="F23" s="27">
        <v>17</v>
      </c>
      <c r="G23" s="23">
        <v>0.31</v>
      </c>
      <c r="H23" s="27">
        <v>32</v>
      </c>
      <c r="I23" s="23">
        <v>4.0999999999999996</v>
      </c>
      <c r="J23" s="27" t="s">
        <v>515</v>
      </c>
      <c r="K23" s="27" t="s">
        <v>515</v>
      </c>
      <c r="L23" s="27">
        <v>6</v>
      </c>
      <c r="M23" s="27">
        <v>23</v>
      </c>
      <c r="N23" s="27">
        <v>35</v>
      </c>
      <c r="O23" s="27">
        <v>26</v>
      </c>
      <c r="P23" s="27">
        <v>9</v>
      </c>
      <c r="Q23" s="27">
        <v>1</v>
      </c>
      <c r="R23" s="27" t="s">
        <v>515</v>
      </c>
      <c r="S23" s="27" t="s">
        <v>515</v>
      </c>
      <c r="T23" s="27" t="s">
        <v>515</v>
      </c>
      <c r="U23" s="27" t="s">
        <v>515</v>
      </c>
      <c r="V23" s="27" t="s">
        <v>515</v>
      </c>
    </row>
    <row r="24" spans="1:22" x14ac:dyDescent="0.2">
      <c r="A24" s="27">
        <v>22</v>
      </c>
      <c r="B24" s="22" t="s">
        <v>111</v>
      </c>
      <c r="C24" s="29">
        <v>43556</v>
      </c>
      <c r="D24" s="23">
        <v>0.46</v>
      </c>
      <c r="E24" s="23">
        <v>0.38</v>
      </c>
      <c r="F24" s="27">
        <v>38</v>
      </c>
      <c r="G24" s="23">
        <v>0.62</v>
      </c>
      <c r="H24" s="27">
        <v>21</v>
      </c>
      <c r="I24" s="23">
        <v>2.6</v>
      </c>
      <c r="J24" s="27" t="s">
        <v>515</v>
      </c>
      <c r="K24" s="27">
        <v>13</v>
      </c>
      <c r="L24" s="27">
        <v>37</v>
      </c>
      <c r="M24" s="27">
        <v>33</v>
      </c>
      <c r="N24" s="27">
        <v>15</v>
      </c>
      <c r="O24" s="27">
        <v>2</v>
      </c>
      <c r="P24" s="27" t="s">
        <v>515</v>
      </c>
      <c r="Q24" s="27" t="s">
        <v>515</v>
      </c>
      <c r="R24" s="27" t="s">
        <v>515</v>
      </c>
      <c r="S24" s="27" t="s">
        <v>515</v>
      </c>
      <c r="T24" s="27" t="s">
        <v>515</v>
      </c>
      <c r="U24" s="27" t="s">
        <v>515</v>
      </c>
      <c r="V24" s="27" t="s">
        <v>515</v>
      </c>
    </row>
    <row r="25" spans="1:22" x14ac:dyDescent="0.2">
      <c r="A25" s="27">
        <v>23</v>
      </c>
      <c r="B25" s="22" t="s">
        <v>143</v>
      </c>
      <c r="C25" s="28">
        <v>36617</v>
      </c>
      <c r="D25" s="23">
        <v>0.45</v>
      </c>
      <c r="E25" s="23">
        <v>0.03</v>
      </c>
      <c r="F25" s="27">
        <v>72</v>
      </c>
      <c r="G25" s="23">
        <v>0.91</v>
      </c>
      <c r="H25" s="27">
        <v>9</v>
      </c>
      <c r="I25" s="23">
        <v>3.1</v>
      </c>
      <c r="J25" s="27">
        <v>1</v>
      </c>
      <c r="K25" s="27">
        <v>5</v>
      </c>
      <c r="L25" s="27">
        <v>19</v>
      </c>
      <c r="M25" s="27">
        <v>39</v>
      </c>
      <c r="N25" s="27">
        <v>28</v>
      </c>
      <c r="O25" s="27">
        <v>8</v>
      </c>
      <c r="P25" s="27" t="s">
        <v>515</v>
      </c>
      <c r="Q25" s="27" t="s">
        <v>515</v>
      </c>
      <c r="R25" s="27" t="s">
        <v>515</v>
      </c>
      <c r="S25" s="27" t="s">
        <v>515</v>
      </c>
      <c r="T25" s="27" t="s">
        <v>515</v>
      </c>
      <c r="U25" s="27" t="s">
        <v>515</v>
      </c>
      <c r="V25" s="27" t="s">
        <v>515</v>
      </c>
    </row>
    <row r="26" spans="1:22" x14ac:dyDescent="0.2">
      <c r="A26" s="27">
        <v>24</v>
      </c>
      <c r="B26" s="22" t="s">
        <v>97</v>
      </c>
      <c r="C26" s="29">
        <v>43525</v>
      </c>
      <c r="D26" s="23">
        <v>0.44</v>
      </c>
      <c r="E26" s="23">
        <v>0.66</v>
      </c>
      <c r="F26" s="27">
        <v>25</v>
      </c>
      <c r="G26" s="23">
        <v>0.43</v>
      </c>
      <c r="H26" s="27">
        <v>28</v>
      </c>
      <c r="I26" s="23">
        <v>3.2</v>
      </c>
      <c r="J26" s="27" t="s">
        <v>515</v>
      </c>
      <c r="K26" s="27">
        <v>7</v>
      </c>
      <c r="L26" s="27">
        <v>23</v>
      </c>
      <c r="M26" s="27">
        <v>33</v>
      </c>
      <c r="N26" s="27">
        <v>23</v>
      </c>
      <c r="O26" s="27">
        <v>12</v>
      </c>
      <c r="P26" s="27">
        <v>2</v>
      </c>
      <c r="Q26" s="27" t="s">
        <v>515</v>
      </c>
      <c r="R26" s="27" t="s">
        <v>515</v>
      </c>
      <c r="S26" s="27" t="s">
        <v>515</v>
      </c>
      <c r="T26" s="27" t="s">
        <v>515</v>
      </c>
      <c r="U26" s="27" t="s">
        <v>515</v>
      </c>
      <c r="V26" s="27" t="s">
        <v>515</v>
      </c>
    </row>
    <row r="27" spans="1:22" x14ac:dyDescent="0.2">
      <c r="A27" s="27">
        <v>25</v>
      </c>
      <c r="B27" s="22" t="s">
        <v>106</v>
      </c>
      <c r="C27" s="29">
        <v>43556</v>
      </c>
      <c r="D27" s="23">
        <v>0.43</v>
      </c>
      <c r="E27" s="23">
        <v>0.12</v>
      </c>
      <c r="F27" s="27">
        <v>63</v>
      </c>
      <c r="G27" s="23">
        <v>0.73</v>
      </c>
      <c r="H27" s="27">
        <v>17</v>
      </c>
      <c r="I27" s="23">
        <v>4.7</v>
      </c>
      <c r="J27" s="27" t="s">
        <v>515</v>
      </c>
      <c r="K27" s="27" t="s">
        <v>515</v>
      </c>
      <c r="L27" s="27">
        <v>2</v>
      </c>
      <c r="M27" s="27">
        <v>11</v>
      </c>
      <c r="N27" s="27">
        <v>27</v>
      </c>
      <c r="O27" s="27">
        <v>34</v>
      </c>
      <c r="P27" s="27">
        <v>19</v>
      </c>
      <c r="Q27" s="27">
        <v>6</v>
      </c>
      <c r="R27" s="27">
        <v>1</v>
      </c>
      <c r="S27" s="27" t="s">
        <v>515</v>
      </c>
      <c r="T27" s="27" t="s">
        <v>515</v>
      </c>
      <c r="U27" s="27" t="s">
        <v>515</v>
      </c>
      <c r="V27" s="27" t="s">
        <v>515</v>
      </c>
    </row>
    <row r="28" spans="1:22" x14ac:dyDescent="0.2">
      <c r="A28" s="27">
        <v>26</v>
      </c>
      <c r="B28" s="22" t="s">
        <v>307</v>
      </c>
      <c r="C28" s="29">
        <v>43526</v>
      </c>
      <c r="D28" s="23">
        <v>0.4</v>
      </c>
      <c r="E28" s="23">
        <v>0.69</v>
      </c>
      <c r="F28" s="27">
        <v>22</v>
      </c>
      <c r="G28" s="23">
        <v>0.06</v>
      </c>
      <c r="H28" s="27">
        <v>49</v>
      </c>
      <c r="I28" s="23">
        <v>5.2</v>
      </c>
      <c r="J28" s="27" t="s">
        <v>515</v>
      </c>
      <c r="K28" s="27" t="s">
        <v>515</v>
      </c>
      <c r="L28" s="27">
        <v>1</v>
      </c>
      <c r="M28" s="27">
        <v>4</v>
      </c>
      <c r="N28" s="27">
        <v>18</v>
      </c>
      <c r="O28" s="27">
        <v>34</v>
      </c>
      <c r="P28" s="27">
        <v>31</v>
      </c>
      <c r="Q28" s="27">
        <v>11</v>
      </c>
      <c r="R28" s="27">
        <v>1</v>
      </c>
      <c r="S28" s="27" t="s">
        <v>515</v>
      </c>
      <c r="T28" s="27" t="s">
        <v>515</v>
      </c>
      <c r="U28" s="27" t="s">
        <v>515</v>
      </c>
      <c r="V28" s="27" t="s">
        <v>515</v>
      </c>
    </row>
    <row r="29" spans="1:22" x14ac:dyDescent="0.2">
      <c r="A29" s="27">
        <v>27</v>
      </c>
      <c r="B29" s="22" t="s">
        <v>231</v>
      </c>
      <c r="C29" s="28">
        <v>36617</v>
      </c>
      <c r="D29" s="23">
        <v>0.38</v>
      </c>
      <c r="E29" s="23">
        <v>0.44</v>
      </c>
      <c r="F29" s="27">
        <v>33</v>
      </c>
      <c r="G29" s="23">
        <v>0.4</v>
      </c>
      <c r="H29" s="27">
        <v>29</v>
      </c>
      <c r="I29" s="23">
        <v>2.7</v>
      </c>
      <c r="J29" s="27">
        <v>4</v>
      </c>
      <c r="K29" s="27">
        <v>16</v>
      </c>
      <c r="L29" s="27">
        <v>28</v>
      </c>
      <c r="M29" s="27">
        <v>27</v>
      </c>
      <c r="N29" s="27">
        <v>18</v>
      </c>
      <c r="O29" s="27">
        <v>6</v>
      </c>
      <c r="P29" s="27">
        <v>1</v>
      </c>
      <c r="Q29" s="27" t="s">
        <v>515</v>
      </c>
      <c r="R29" s="27" t="s">
        <v>515</v>
      </c>
      <c r="S29" s="27" t="s">
        <v>515</v>
      </c>
      <c r="T29" s="27" t="s">
        <v>515</v>
      </c>
      <c r="U29" s="27" t="s">
        <v>515</v>
      </c>
      <c r="V29" s="27" t="s">
        <v>515</v>
      </c>
    </row>
    <row r="30" spans="1:22" x14ac:dyDescent="0.2">
      <c r="A30" s="27">
        <v>28</v>
      </c>
      <c r="B30" s="22" t="s">
        <v>77</v>
      </c>
      <c r="C30" s="28">
        <v>36617</v>
      </c>
      <c r="D30" s="23">
        <v>0.38</v>
      </c>
      <c r="E30" s="23">
        <v>0.13</v>
      </c>
      <c r="F30" s="27">
        <v>59</v>
      </c>
      <c r="G30" s="23">
        <v>0.56999999999999995</v>
      </c>
      <c r="H30" s="27">
        <v>23</v>
      </c>
      <c r="I30" s="23">
        <v>1.3</v>
      </c>
      <c r="J30" s="27">
        <v>23</v>
      </c>
      <c r="K30" s="27">
        <v>37</v>
      </c>
      <c r="L30" s="27">
        <v>27</v>
      </c>
      <c r="M30" s="27">
        <v>11</v>
      </c>
      <c r="N30" s="27">
        <v>2</v>
      </c>
      <c r="O30" s="27" t="s">
        <v>515</v>
      </c>
      <c r="P30" s="27" t="s">
        <v>515</v>
      </c>
      <c r="Q30" s="27" t="s">
        <v>515</v>
      </c>
      <c r="R30" s="27" t="s">
        <v>515</v>
      </c>
      <c r="S30" s="27" t="s">
        <v>515</v>
      </c>
      <c r="T30" s="27" t="s">
        <v>515</v>
      </c>
      <c r="U30" s="27" t="s">
        <v>515</v>
      </c>
      <c r="V30" s="27" t="s">
        <v>515</v>
      </c>
    </row>
    <row r="31" spans="1:22" x14ac:dyDescent="0.2">
      <c r="A31" s="27">
        <v>29</v>
      </c>
      <c r="B31" s="22" t="s">
        <v>129</v>
      </c>
      <c r="C31" s="29">
        <v>43498</v>
      </c>
      <c r="D31" s="23">
        <v>0.36</v>
      </c>
      <c r="E31" s="23">
        <v>0.23</v>
      </c>
      <c r="F31" s="27">
        <v>48</v>
      </c>
      <c r="G31" s="23">
        <v>0.48</v>
      </c>
      <c r="H31" s="27">
        <v>26</v>
      </c>
      <c r="I31" s="23">
        <v>4.7</v>
      </c>
      <c r="J31" s="27" t="s">
        <v>515</v>
      </c>
      <c r="K31" s="27" t="s">
        <v>515</v>
      </c>
      <c r="L31" s="27">
        <v>2</v>
      </c>
      <c r="M31" s="27">
        <v>12</v>
      </c>
      <c r="N31" s="27">
        <v>30</v>
      </c>
      <c r="O31" s="27">
        <v>31</v>
      </c>
      <c r="P31" s="27">
        <v>19</v>
      </c>
      <c r="Q31" s="27">
        <v>5</v>
      </c>
      <c r="R31" s="27">
        <v>1</v>
      </c>
      <c r="S31" s="27" t="s">
        <v>515</v>
      </c>
      <c r="T31" s="27" t="s">
        <v>515</v>
      </c>
      <c r="U31" s="27" t="s">
        <v>515</v>
      </c>
      <c r="V31" s="27" t="s">
        <v>515</v>
      </c>
    </row>
    <row r="32" spans="1:22" x14ac:dyDescent="0.2">
      <c r="A32" s="27">
        <v>30</v>
      </c>
      <c r="B32" s="22" t="s">
        <v>47</v>
      </c>
      <c r="C32" s="29">
        <v>43525</v>
      </c>
      <c r="D32" s="23">
        <v>0.34</v>
      </c>
      <c r="E32" s="23">
        <v>0.27</v>
      </c>
      <c r="F32" s="27">
        <v>45</v>
      </c>
      <c r="G32" s="23">
        <v>0.3</v>
      </c>
      <c r="H32" s="27">
        <v>34</v>
      </c>
      <c r="I32" s="23">
        <v>4</v>
      </c>
      <c r="J32" s="27" t="s">
        <v>515</v>
      </c>
      <c r="K32" s="27">
        <v>1</v>
      </c>
      <c r="L32" s="27">
        <v>11</v>
      </c>
      <c r="M32" s="27">
        <v>23</v>
      </c>
      <c r="N32" s="27">
        <v>29</v>
      </c>
      <c r="O32" s="27">
        <v>23</v>
      </c>
      <c r="P32" s="27">
        <v>10</v>
      </c>
      <c r="Q32" s="27">
        <v>3</v>
      </c>
      <c r="R32" s="27" t="s">
        <v>515</v>
      </c>
      <c r="S32" s="27" t="s">
        <v>515</v>
      </c>
      <c r="T32" s="27" t="s">
        <v>515</v>
      </c>
      <c r="U32" s="27" t="s">
        <v>515</v>
      </c>
      <c r="V32" s="27" t="s">
        <v>515</v>
      </c>
    </row>
    <row r="33" spans="1:22" x14ac:dyDescent="0.2">
      <c r="A33" s="24" t="s">
        <v>497</v>
      </c>
      <c r="B33" s="25" t="s">
        <v>0</v>
      </c>
      <c r="C33" s="24" t="s">
        <v>498</v>
      </c>
      <c r="D33" s="26" t="s">
        <v>496</v>
      </c>
      <c r="E33" s="26" t="s">
        <v>499</v>
      </c>
      <c r="F33" s="24" t="s">
        <v>497</v>
      </c>
      <c r="G33" s="26" t="s">
        <v>500</v>
      </c>
      <c r="H33" s="24" t="s">
        <v>497</v>
      </c>
      <c r="I33" s="26" t="s">
        <v>501</v>
      </c>
      <c r="J33" s="26" t="s">
        <v>502</v>
      </c>
      <c r="K33" s="26" t="s">
        <v>503</v>
      </c>
      <c r="L33" s="26" t="s">
        <v>504</v>
      </c>
      <c r="M33" s="26" t="s">
        <v>505</v>
      </c>
      <c r="N33" s="26" t="s">
        <v>506</v>
      </c>
      <c r="O33" s="26" t="s">
        <v>507</v>
      </c>
      <c r="P33" s="26" t="s">
        <v>508</v>
      </c>
      <c r="Q33" s="26" t="s">
        <v>509</v>
      </c>
      <c r="R33" s="26" t="s">
        <v>510</v>
      </c>
      <c r="S33" s="26" t="s">
        <v>511</v>
      </c>
      <c r="T33" s="26" t="s">
        <v>512</v>
      </c>
      <c r="U33" s="26" t="s">
        <v>513</v>
      </c>
      <c r="V33" s="26" t="s">
        <v>514</v>
      </c>
    </row>
    <row r="34" spans="1:22" x14ac:dyDescent="0.2">
      <c r="A34" s="27">
        <v>31</v>
      </c>
      <c r="B34" s="22" t="s">
        <v>256</v>
      </c>
      <c r="C34" s="29">
        <v>43526</v>
      </c>
      <c r="D34" s="23">
        <v>0.31</v>
      </c>
      <c r="E34" s="23">
        <v>0.6</v>
      </c>
      <c r="F34" s="27">
        <v>27</v>
      </c>
      <c r="G34" s="23">
        <v>0.09</v>
      </c>
      <c r="H34" s="27">
        <v>46</v>
      </c>
      <c r="I34" s="23">
        <v>5.0999999999999996</v>
      </c>
      <c r="J34" s="27" t="s">
        <v>515</v>
      </c>
      <c r="K34" s="27" t="s">
        <v>515</v>
      </c>
      <c r="L34" s="27" t="s">
        <v>515</v>
      </c>
      <c r="M34" s="27">
        <v>5</v>
      </c>
      <c r="N34" s="27">
        <v>26</v>
      </c>
      <c r="O34" s="27">
        <v>38</v>
      </c>
      <c r="P34" s="27">
        <v>24</v>
      </c>
      <c r="Q34" s="27">
        <v>6</v>
      </c>
      <c r="R34" s="27">
        <v>1</v>
      </c>
      <c r="S34" s="27" t="s">
        <v>515</v>
      </c>
      <c r="T34" s="27" t="s">
        <v>515</v>
      </c>
      <c r="U34" s="27" t="s">
        <v>515</v>
      </c>
      <c r="V34" s="27" t="s">
        <v>515</v>
      </c>
    </row>
    <row r="35" spans="1:22" x14ac:dyDescent="0.2">
      <c r="A35" s="27">
        <v>32</v>
      </c>
      <c r="B35" s="22" t="s">
        <v>99</v>
      </c>
      <c r="C35" s="29">
        <v>43526</v>
      </c>
      <c r="D35" s="23">
        <v>0.3</v>
      </c>
      <c r="E35" s="23">
        <v>0.04</v>
      </c>
      <c r="F35" s="27">
        <v>69</v>
      </c>
      <c r="G35" s="23">
        <v>0.48</v>
      </c>
      <c r="H35" s="27">
        <v>25</v>
      </c>
      <c r="I35" s="23">
        <v>4.4000000000000004</v>
      </c>
      <c r="J35" s="27" t="s">
        <v>515</v>
      </c>
      <c r="K35" s="27" t="s">
        <v>515</v>
      </c>
      <c r="L35" s="27">
        <v>3</v>
      </c>
      <c r="M35" s="27">
        <v>17</v>
      </c>
      <c r="N35" s="27">
        <v>34</v>
      </c>
      <c r="O35" s="27">
        <v>27</v>
      </c>
      <c r="P35" s="27">
        <v>15</v>
      </c>
      <c r="Q35" s="27">
        <v>4</v>
      </c>
      <c r="R35" s="27" t="s">
        <v>515</v>
      </c>
      <c r="S35" s="27" t="s">
        <v>515</v>
      </c>
      <c r="T35" s="27" t="s">
        <v>515</v>
      </c>
      <c r="U35" s="27" t="s">
        <v>515</v>
      </c>
      <c r="V35" s="27" t="s">
        <v>515</v>
      </c>
    </row>
    <row r="36" spans="1:22" x14ac:dyDescent="0.2">
      <c r="A36" s="27">
        <v>33</v>
      </c>
      <c r="B36" s="22" t="s">
        <v>253</v>
      </c>
      <c r="C36" s="28">
        <v>36617</v>
      </c>
      <c r="D36" s="23">
        <v>0.28999999999999998</v>
      </c>
      <c r="E36" s="23">
        <v>0.53</v>
      </c>
      <c r="F36" s="27">
        <v>31</v>
      </c>
      <c r="G36" s="23">
        <v>0.01</v>
      </c>
      <c r="H36" s="27">
        <v>53</v>
      </c>
      <c r="I36" s="23">
        <v>3.3</v>
      </c>
      <c r="J36" s="27" t="s">
        <v>515</v>
      </c>
      <c r="K36" s="27">
        <v>4</v>
      </c>
      <c r="L36" s="27">
        <v>19</v>
      </c>
      <c r="M36" s="27">
        <v>35</v>
      </c>
      <c r="N36" s="27">
        <v>29</v>
      </c>
      <c r="O36" s="27">
        <v>12</v>
      </c>
      <c r="P36" s="27">
        <v>1</v>
      </c>
      <c r="Q36" s="27" t="s">
        <v>515</v>
      </c>
      <c r="R36" s="27" t="s">
        <v>515</v>
      </c>
      <c r="S36" s="27" t="s">
        <v>515</v>
      </c>
      <c r="T36" s="27" t="s">
        <v>515</v>
      </c>
      <c r="U36" s="27" t="s">
        <v>515</v>
      </c>
      <c r="V36" s="27" t="s">
        <v>515</v>
      </c>
    </row>
    <row r="37" spans="1:22" x14ac:dyDescent="0.2">
      <c r="A37" s="27">
        <v>34</v>
      </c>
      <c r="B37" s="22" t="s">
        <v>35</v>
      </c>
      <c r="C37" s="28">
        <v>36586</v>
      </c>
      <c r="D37" s="23">
        <v>0.28999999999999998</v>
      </c>
      <c r="E37" s="23">
        <v>0.85</v>
      </c>
      <c r="F37" s="27">
        <v>15</v>
      </c>
      <c r="G37" s="23">
        <v>-0.12</v>
      </c>
      <c r="H37" s="27">
        <v>67</v>
      </c>
      <c r="I37" s="23">
        <v>1.8</v>
      </c>
      <c r="J37" s="27">
        <v>13</v>
      </c>
      <c r="K37" s="27">
        <v>31</v>
      </c>
      <c r="L37" s="27">
        <v>33</v>
      </c>
      <c r="M37" s="27">
        <v>17</v>
      </c>
      <c r="N37" s="27">
        <v>5</v>
      </c>
      <c r="O37" s="27">
        <v>1</v>
      </c>
      <c r="P37" s="27" t="s">
        <v>515</v>
      </c>
      <c r="Q37" s="27" t="s">
        <v>515</v>
      </c>
      <c r="R37" s="27" t="s">
        <v>515</v>
      </c>
      <c r="S37" s="27" t="s">
        <v>515</v>
      </c>
      <c r="T37" s="27" t="s">
        <v>515</v>
      </c>
      <c r="U37" s="27" t="s">
        <v>515</v>
      </c>
      <c r="V37" s="27" t="s">
        <v>515</v>
      </c>
    </row>
    <row r="38" spans="1:22" x14ac:dyDescent="0.2">
      <c r="A38" s="27">
        <v>35</v>
      </c>
      <c r="B38" s="22" t="s">
        <v>443</v>
      </c>
      <c r="C38" s="28">
        <v>36617</v>
      </c>
      <c r="D38" s="23">
        <v>0.28000000000000003</v>
      </c>
      <c r="E38" s="23">
        <v>0.42</v>
      </c>
      <c r="F38" s="27">
        <v>36</v>
      </c>
      <c r="G38" s="23">
        <v>0.11</v>
      </c>
      <c r="H38" s="27">
        <v>44</v>
      </c>
      <c r="I38" s="23">
        <v>2.9</v>
      </c>
      <c r="J38" s="27">
        <v>1</v>
      </c>
      <c r="K38" s="27">
        <v>9</v>
      </c>
      <c r="L38" s="27">
        <v>27</v>
      </c>
      <c r="M38" s="27">
        <v>35</v>
      </c>
      <c r="N38" s="27">
        <v>20</v>
      </c>
      <c r="O38" s="27">
        <v>7</v>
      </c>
      <c r="P38" s="27">
        <v>1</v>
      </c>
      <c r="Q38" s="27" t="s">
        <v>515</v>
      </c>
      <c r="R38" s="27" t="s">
        <v>515</v>
      </c>
      <c r="S38" s="27" t="s">
        <v>515</v>
      </c>
      <c r="T38" s="27" t="s">
        <v>515</v>
      </c>
      <c r="U38" s="27" t="s">
        <v>515</v>
      </c>
      <c r="V38" s="27" t="s">
        <v>515</v>
      </c>
    </row>
    <row r="39" spans="1:22" x14ac:dyDescent="0.2">
      <c r="A39" s="27">
        <v>36</v>
      </c>
      <c r="B39" s="22" t="s">
        <v>391</v>
      </c>
      <c r="C39" s="29">
        <v>43525</v>
      </c>
      <c r="D39" s="23">
        <v>0.28000000000000003</v>
      </c>
      <c r="E39" s="23">
        <v>0.43</v>
      </c>
      <c r="F39" s="27">
        <v>34</v>
      </c>
      <c r="G39" s="23">
        <v>-0.05</v>
      </c>
      <c r="H39" s="27">
        <v>64</v>
      </c>
      <c r="I39" s="23">
        <v>4.5</v>
      </c>
      <c r="J39" s="27" t="s">
        <v>515</v>
      </c>
      <c r="K39" s="27">
        <v>1</v>
      </c>
      <c r="L39" s="27">
        <v>5</v>
      </c>
      <c r="M39" s="27">
        <v>16</v>
      </c>
      <c r="N39" s="27">
        <v>28</v>
      </c>
      <c r="O39" s="27">
        <v>32</v>
      </c>
      <c r="P39" s="27">
        <v>15</v>
      </c>
      <c r="Q39" s="27">
        <v>3</v>
      </c>
      <c r="R39" s="27" t="s">
        <v>515</v>
      </c>
      <c r="S39" s="27" t="s">
        <v>515</v>
      </c>
      <c r="T39" s="27" t="s">
        <v>515</v>
      </c>
      <c r="U39" s="27" t="s">
        <v>515</v>
      </c>
      <c r="V39" s="27" t="s">
        <v>515</v>
      </c>
    </row>
    <row r="40" spans="1:22" x14ac:dyDescent="0.2">
      <c r="A40" s="27">
        <v>37</v>
      </c>
      <c r="B40" s="22" t="s">
        <v>38</v>
      </c>
      <c r="C40" s="29">
        <v>43527</v>
      </c>
      <c r="D40" s="23">
        <v>0.27</v>
      </c>
      <c r="E40" s="23">
        <v>0.33</v>
      </c>
      <c r="F40" s="27">
        <v>43</v>
      </c>
      <c r="G40" s="23">
        <v>0.2</v>
      </c>
      <c r="H40" s="27">
        <v>39</v>
      </c>
      <c r="I40" s="23">
        <v>5.0999999999999996</v>
      </c>
      <c r="J40" s="27" t="s">
        <v>515</v>
      </c>
      <c r="K40" s="27" t="s">
        <v>515</v>
      </c>
      <c r="L40" s="27" t="s">
        <v>515</v>
      </c>
      <c r="M40" s="27">
        <v>6</v>
      </c>
      <c r="N40" s="27">
        <v>23</v>
      </c>
      <c r="O40" s="27">
        <v>35</v>
      </c>
      <c r="P40" s="27">
        <v>27</v>
      </c>
      <c r="Q40" s="27">
        <v>8</v>
      </c>
      <c r="R40" s="27">
        <v>1</v>
      </c>
      <c r="S40" s="27" t="s">
        <v>515</v>
      </c>
      <c r="T40" s="27" t="s">
        <v>515</v>
      </c>
      <c r="U40" s="27" t="s">
        <v>515</v>
      </c>
      <c r="V40" s="27" t="s">
        <v>515</v>
      </c>
    </row>
    <row r="41" spans="1:22" x14ac:dyDescent="0.2">
      <c r="A41" s="27">
        <v>38</v>
      </c>
      <c r="B41" s="22" t="s">
        <v>420</v>
      </c>
      <c r="C41" s="29">
        <v>43526</v>
      </c>
      <c r="D41" s="23">
        <v>0.27</v>
      </c>
      <c r="E41" s="23">
        <v>0.42</v>
      </c>
      <c r="F41" s="27">
        <v>35</v>
      </c>
      <c r="G41" s="23">
        <v>0.18</v>
      </c>
      <c r="H41" s="27">
        <v>40</v>
      </c>
      <c r="I41" s="23">
        <v>5.6</v>
      </c>
      <c r="J41" s="27" t="s">
        <v>515</v>
      </c>
      <c r="K41" s="27" t="s">
        <v>515</v>
      </c>
      <c r="L41" s="27">
        <v>1</v>
      </c>
      <c r="M41" s="27">
        <v>4</v>
      </c>
      <c r="N41" s="27">
        <v>14</v>
      </c>
      <c r="O41" s="27">
        <v>28</v>
      </c>
      <c r="P41" s="27">
        <v>31</v>
      </c>
      <c r="Q41" s="27">
        <v>17</v>
      </c>
      <c r="R41" s="27">
        <v>5</v>
      </c>
      <c r="S41" s="27" t="s">
        <v>515</v>
      </c>
      <c r="T41" s="27" t="s">
        <v>515</v>
      </c>
      <c r="U41" s="27" t="s">
        <v>515</v>
      </c>
      <c r="V41" s="27" t="s">
        <v>515</v>
      </c>
    </row>
    <row r="42" spans="1:22" x14ac:dyDescent="0.2">
      <c r="A42" s="27">
        <v>39</v>
      </c>
      <c r="B42" s="22" t="s">
        <v>449</v>
      </c>
      <c r="C42" s="29">
        <v>43498</v>
      </c>
      <c r="D42" s="23">
        <v>0.25</v>
      </c>
      <c r="E42" s="23">
        <v>1</v>
      </c>
      <c r="F42" s="27">
        <v>10</v>
      </c>
      <c r="G42" s="23">
        <v>-0.56999999999999995</v>
      </c>
      <c r="H42" s="27">
        <v>101</v>
      </c>
      <c r="I42" s="23">
        <v>5.5</v>
      </c>
      <c r="J42" s="27" t="s">
        <v>515</v>
      </c>
      <c r="K42" s="27" t="s">
        <v>515</v>
      </c>
      <c r="L42" s="27">
        <v>1</v>
      </c>
      <c r="M42" s="27">
        <v>4</v>
      </c>
      <c r="N42" s="27">
        <v>16</v>
      </c>
      <c r="O42" s="27">
        <v>29</v>
      </c>
      <c r="P42" s="27">
        <v>33</v>
      </c>
      <c r="Q42" s="27">
        <v>12</v>
      </c>
      <c r="R42" s="27">
        <v>4</v>
      </c>
      <c r="S42" s="27">
        <v>1</v>
      </c>
      <c r="T42" s="27" t="s">
        <v>515</v>
      </c>
      <c r="U42" s="27" t="s">
        <v>515</v>
      </c>
      <c r="V42" s="27" t="s">
        <v>515</v>
      </c>
    </row>
    <row r="43" spans="1:22" x14ac:dyDescent="0.2">
      <c r="A43" s="27">
        <v>40</v>
      </c>
      <c r="B43" s="22" t="s">
        <v>193</v>
      </c>
      <c r="C43" s="29">
        <v>43498</v>
      </c>
      <c r="D43" s="23">
        <v>0.25</v>
      </c>
      <c r="E43" s="23">
        <v>-0.06</v>
      </c>
      <c r="F43" s="27">
        <v>79</v>
      </c>
      <c r="G43" s="23">
        <v>0.49</v>
      </c>
      <c r="H43" s="27">
        <v>24</v>
      </c>
      <c r="I43" s="23">
        <v>5.9</v>
      </c>
      <c r="J43" s="27" t="s">
        <v>515</v>
      </c>
      <c r="K43" s="27" t="s">
        <v>515</v>
      </c>
      <c r="L43" s="27" t="s">
        <v>515</v>
      </c>
      <c r="M43" s="27">
        <v>2</v>
      </c>
      <c r="N43" s="27">
        <v>10</v>
      </c>
      <c r="O43" s="27">
        <v>25</v>
      </c>
      <c r="P43" s="27">
        <v>32</v>
      </c>
      <c r="Q43" s="27">
        <v>23</v>
      </c>
      <c r="R43" s="27">
        <v>7</v>
      </c>
      <c r="S43" s="27">
        <v>1</v>
      </c>
      <c r="T43" s="27" t="s">
        <v>515</v>
      </c>
      <c r="U43" s="27" t="s">
        <v>515</v>
      </c>
      <c r="V43" s="27" t="s">
        <v>515</v>
      </c>
    </row>
    <row r="44" spans="1:22" x14ac:dyDescent="0.2">
      <c r="A44" s="27">
        <v>41</v>
      </c>
      <c r="B44" s="22" t="s">
        <v>326</v>
      </c>
      <c r="C44" s="29">
        <v>43526</v>
      </c>
      <c r="D44" s="23">
        <v>0.24</v>
      </c>
      <c r="E44" s="23">
        <v>-0.11</v>
      </c>
      <c r="F44" s="27">
        <v>85</v>
      </c>
      <c r="G44" s="23">
        <v>0.74</v>
      </c>
      <c r="H44" s="27">
        <v>16</v>
      </c>
      <c r="I44" s="23">
        <v>3.8</v>
      </c>
      <c r="J44" s="27" t="s">
        <v>515</v>
      </c>
      <c r="K44" s="27" t="s">
        <v>515</v>
      </c>
      <c r="L44" s="27">
        <v>11</v>
      </c>
      <c r="M44" s="27">
        <v>34</v>
      </c>
      <c r="N44" s="27">
        <v>31</v>
      </c>
      <c r="O44" s="27">
        <v>18</v>
      </c>
      <c r="P44" s="27">
        <v>5</v>
      </c>
      <c r="Q44" s="27">
        <v>1</v>
      </c>
      <c r="R44" s="27" t="s">
        <v>515</v>
      </c>
      <c r="S44" s="27" t="s">
        <v>515</v>
      </c>
      <c r="T44" s="27" t="s">
        <v>515</v>
      </c>
      <c r="U44" s="27" t="s">
        <v>515</v>
      </c>
      <c r="V44" s="27" t="s">
        <v>515</v>
      </c>
    </row>
    <row r="45" spans="1:22" x14ac:dyDescent="0.2">
      <c r="A45" s="27">
        <v>42</v>
      </c>
      <c r="B45" s="22" t="s">
        <v>69</v>
      </c>
      <c r="C45" s="29">
        <v>43498</v>
      </c>
      <c r="D45" s="23">
        <v>0.22</v>
      </c>
      <c r="E45" s="23">
        <v>0.63</v>
      </c>
      <c r="F45" s="27">
        <v>26</v>
      </c>
      <c r="G45" s="23">
        <v>-0.44</v>
      </c>
      <c r="H45" s="27">
        <v>90</v>
      </c>
      <c r="I45" s="23">
        <v>5.0999999999999996</v>
      </c>
      <c r="J45" s="27" t="s">
        <v>515</v>
      </c>
      <c r="K45" s="27" t="s">
        <v>515</v>
      </c>
      <c r="L45" s="27">
        <v>1</v>
      </c>
      <c r="M45" s="27">
        <v>7</v>
      </c>
      <c r="N45" s="27">
        <v>24</v>
      </c>
      <c r="O45" s="27">
        <v>31</v>
      </c>
      <c r="P45" s="27">
        <v>26</v>
      </c>
      <c r="Q45" s="27">
        <v>9</v>
      </c>
      <c r="R45" s="27">
        <v>2</v>
      </c>
      <c r="S45" s="27" t="s">
        <v>515</v>
      </c>
      <c r="T45" s="27" t="s">
        <v>515</v>
      </c>
      <c r="U45" s="27" t="s">
        <v>515</v>
      </c>
      <c r="V45" s="27" t="s">
        <v>515</v>
      </c>
    </row>
    <row r="46" spans="1:22" x14ac:dyDescent="0.2">
      <c r="A46" s="27">
        <v>43</v>
      </c>
      <c r="B46" s="22" t="s">
        <v>262</v>
      </c>
      <c r="C46" s="29">
        <v>43497</v>
      </c>
      <c r="D46" s="23">
        <v>0.21</v>
      </c>
      <c r="E46" s="23">
        <v>0.68</v>
      </c>
      <c r="F46" s="27">
        <v>24</v>
      </c>
      <c r="G46" s="23">
        <v>-0.04</v>
      </c>
      <c r="H46" s="27">
        <v>62</v>
      </c>
      <c r="I46" s="23">
        <v>4.3</v>
      </c>
      <c r="J46" s="27" t="s">
        <v>515</v>
      </c>
      <c r="K46" s="27">
        <v>1</v>
      </c>
      <c r="L46" s="27">
        <v>7</v>
      </c>
      <c r="M46" s="27">
        <v>17</v>
      </c>
      <c r="N46" s="27">
        <v>29</v>
      </c>
      <c r="O46" s="27">
        <v>28</v>
      </c>
      <c r="P46" s="27">
        <v>14</v>
      </c>
      <c r="Q46" s="27">
        <v>4</v>
      </c>
      <c r="R46" s="27" t="s">
        <v>515</v>
      </c>
      <c r="S46" s="27" t="s">
        <v>515</v>
      </c>
      <c r="T46" s="27" t="s">
        <v>515</v>
      </c>
      <c r="U46" s="27" t="s">
        <v>515</v>
      </c>
      <c r="V46" s="27" t="s">
        <v>515</v>
      </c>
    </row>
    <row r="47" spans="1:22" x14ac:dyDescent="0.2">
      <c r="A47" s="27">
        <v>44</v>
      </c>
      <c r="B47" s="22" t="s">
        <v>258</v>
      </c>
      <c r="C47" s="29">
        <v>43499</v>
      </c>
      <c r="D47" s="23">
        <v>0.2</v>
      </c>
      <c r="E47" s="23">
        <v>0.19</v>
      </c>
      <c r="F47" s="27">
        <v>54</v>
      </c>
      <c r="G47" s="23">
        <v>0.27</v>
      </c>
      <c r="H47" s="27">
        <v>36</v>
      </c>
      <c r="I47" s="23">
        <v>6.5</v>
      </c>
      <c r="J47" s="27" t="s">
        <v>515</v>
      </c>
      <c r="K47" s="27" t="s">
        <v>515</v>
      </c>
      <c r="L47" s="27" t="s">
        <v>515</v>
      </c>
      <c r="M47" s="27" t="s">
        <v>515</v>
      </c>
      <c r="N47" s="27">
        <v>2</v>
      </c>
      <c r="O47" s="27">
        <v>12</v>
      </c>
      <c r="P47" s="27">
        <v>31</v>
      </c>
      <c r="Q47" s="27">
        <v>38</v>
      </c>
      <c r="R47" s="27">
        <v>16</v>
      </c>
      <c r="S47" s="27">
        <v>1</v>
      </c>
      <c r="T47" s="27" t="s">
        <v>515</v>
      </c>
      <c r="U47" s="27" t="s">
        <v>515</v>
      </c>
      <c r="V47" s="27" t="s">
        <v>515</v>
      </c>
    </row>
    <row r="48" spans="1:22" x14ac:dyDescent="0.2">
      <c r="A48" s="27">
        <v>45</v>
      </c>
      <c r="B48" s="22" t="s">
        <v>42</v>
      </c>
      <c r="C48" s="29">
        <v>43525</v>
      </c>
      <c r="D48" s="23">
        <v>0.19</v>
      </c>
      <c r="E48" s="23">
        <v>0.36</v>
      </c>
      <c r="F48" s="27">
        <v>39</v>
      </c>
      <c r="G48" s="23">
        <v>-0.02</v>
      </c>
      <c r="H48" s="27">
        <v>58</v>
      </c>
      <c r="I48" s="23">
        <v>4.9000000000000004</v>
      </c>
      <c r="J48" s="27" t="s">
        <v>515</v>
      </c>
      <c r="K48" s="27" t="s">
        <v>515</v>
      </c>
      <c r="L48" s="27">
        <v>2</v>
      </c>
      <c r="M48" s="27">
        <v>11</v>
      </c>
      <c r="N48" s="27">
        <v>23</v>
      </c>
      <c r="O48" s="27">
        <v>31</v>
      </c>
      <c r="P48" s="27">
        <v>23</v>
      </c>
      <c r="Q48" s="27">
        <v>8</v>
      </c>
      <c r="R48" s="27">
        <v>2</v>
      </c>
      <c r="S48" s="27" t="s">
        <v>515</v>
      </c>
      <c r="T48" s="27" t="s">
        <v>515</v>
      </c>
      <c r="U48" s="27" t="s">
        <v>515</v>
      </c>
      <c r="V48" s="27" t="s">
        <v>515</v>
      </c>
    </row>
    <row r="49" spans="1:22" x14ac:dyDescent="0.2">
      <c r="A49" s="24" t="s">
        <v>497</v>
      </c>
      <c r="B49" s="25" t="s">
        <v>0</v>
      </c>
      <c r="C49" s="24" t="s">
        <v>498</v>
      </c>
      <c r="D49" s="26" t="s">
        <v>496</v>
      </c>
      <c r="E49" s="26" t="s">
        <v>499</v>
      </c>
      <c r="F49" s="24" t="s">
        <v>497</v>
      </c>
      <c r="G49" s="26" t="s">
        <v>500</v>
      </c>
      <c r="H49" s="24" t="s">
        <v>497</v>
      </c>
      <c r="I49" s="26" t="s">
        <v>501</v>
      </c>
      <c r="J49" s="26" t="s">
        <v>502</v>
      </c>
      <c r="K49" s="26" t="s">
        <v>503</v>
      </c>
      <c r="L49" s="26" t="s">
        <v>504</v>
      </c>
      <c r="M49" s="26" t="s">
        <v>505</v>
      </c>
      <c r="N49" s="26" t="s">
        <v>506</v>
      </c>
      <c r="O49" s="26" t="s">
        <v>507</v>
      </c>
      <c r="P49" s="26" t="s">
        <v>508</v>
      </c>
      <c r="Q49" s="26" t="s">
        <v>509</v>
      </c>
      <c r="R49" s="26" t="s">
        <v>510</v>
      </c>
      <c r="S49" s="26" t="s">
        <v>511</v>
      </c>
      <c r="T49" s="26" t="s">
        <v>512</v>
      </c>
      <c r="U49" s="26" t="s">
        <v>513</v>
      </c>
      <c r="V49" s="26" t="s">
        <v>514</v>
      </c>
    </row>
    <row r="50" spans="1:22" x14ac:dyDescent="0.2">
      <c r="A50" s="27">
        <v>46</v>
      </c>
      <c r="B50" s="22" t="s">
        <v>58</v>
      </c>
      <c r="C50" s="29">
        <v>43498</v>
      </c>
      <c r="D50" s="23">
        <v>0.17</v>
      </c>
      <c r="E50" s="23">
        <v>0.22</v>
      </c>
      <c r="F50" s="27">
        <v>49</v>
      </c>
      <c r="G50" s="23">
        <v>7.0000000000000007E-2</v>
      </c>
      <c r="H50" s="27">
        <v>47</v>
      </c>
      <c r="I50" s="23">
        <v>4.3</v>
      </c>
      <c r="J50" s="27" t="s">
        <v>515</v>
      </c>
      <c r="K50" s="27" t="s">
        <v>515</v>
      </c>
      <c r="L50" s="27">
        <v>2</v>
      </c>
      <c r="M50" s="27">
        <v>22</v>
      </c>
      <c r="N50" s="27">
        <v>33</v>
      </c>
      <c r="O50" s="27">
        <v>29</v>
      </c>
      <c r="P50" s="27">
        <v>12</v>
      </c>
      <c r="Q50" s="27">
        <v>2</v>
      </c>
      <c r="R50" s="27" t="s">
        <v>515</v>
      </c>
      <c r="S50" s="27" t="s">
        <v>515</v>
      </c>
      <c r="T50" s="27" t="s">
        <v>515</v>
      </c>
      <c r="U50" s="27" t="s">
        <v>515</v>
      </c>
      <c r="V50" s="27" t="s">
        <v>515</v>
      </c>
    </row>
    <row r="51" spans="1:22" x14ac:dyDescent="0.2">
      <c r="A51" s="27">
        <v>47</v>
      </c>
      <c r="B51" s="22" t="s">
        <v>116</v>
      </c>
      <c r="C51" s="29">
        <v>43468</v>
      </c>
      <c r="D51" s="23">
        <v>0.17</v>
      </c>
      <c r="E51" s="23">
        <v>-0.3</v>
      </c>
      <c r="F51" s="27">
        <v>96</v>
      </c>
      <c r="G51" s="23">
        <v>0.56999999999999995</v>
      </c>
      <c r="H51" s="27">
        <v>22</v>
      </c>
      <c r="I51" s="23">
        <v>7</v>
      </c>
      <c r="J51" s="27" t="s">
        <v>515</v>
      </c>
      <c r="K51" s="27" t="s">
        <v>515</v>
      </c>
      <c r="L51" s="27" t="s">
        <v>515</v>
      </c>
      <c r="M51" s="27" t="s">
        <v>515</v>
      </c>
      <c r="N51" s="27">
        <v>1</v>
      </c>
      <c r="O51" s="27">
        <v>8</v>
      </c>
      <c r="P51" s="27">
        <v>27</v>
      </c>
      <c r="Q51" s="27">
        <v>32</v>
      </c>
      <c r="R51" s="27">
        <v>24</v>
      </c>
      <c r="S51" s="27">
        <v>7</v>
      </c>
      <c r="T51" s="27">
        <v>1</v>
      </c>
      <c r="U51" s="27" t="s">
        <v>515</v>
      </c>
      <c r="V51" s="27" t="s">
        <v>515</v>
      </c>
    </row>
    <row r="52" spans="1:22" x14ac:dyDescent="0.2">
      <c r="A52" s="27">
        <v>48</v>
      </c>
      <c r="B52" s="22" t="s">
        <v>337</v>
      </c>
      <c r="C52" s="29">
        <v>43525</v>
      </c>
      <c r="D52" s="23">
        <v>0.15</v>
      </c>
      <c r="E52" s="23">
        <v>-0.41</v>
      </c>
      <c r="F52" s="27">
        <v>102</v>
      </c>
      <c r="G52" s="23">
        <v>0.67</v>
      </c>
      <c r="H52" s="27">
        <v>18</v>
      </c>
      <c r="I52" s="23">
        <v>2.8</v>
      </c>
      <c r="J52" s="27" t="s">
        <v>515</v>
      </c>
      <c r="K52" s="27">
        <v>12</v>
      </c>
      <c r="L52" s="27">
        <v>33</v>
      </c>
      <c r="M52" s="27">
        <v>30</v>
      </c>
      <c r="N52" s="27">
        <v>18</v>
      </c>
      <c r="O52" s="27">
        <v>6</v>
      </c>
      <c r="P52" s="27">
        <v>1</v>
      </c>
      <c r="Q52" s="27" t="s">
        <v>515</v>
      </c>
      <c r="R52" s="27" t="s">
        <v>515</v>
      </c>
      <c r="S52" s="27" t="s">
        <v>515</v>
      </c>
      <c r="T52" s="27" t="s">
        <v>515</v>
      </c>
      <c r="U52" s="27" t="s">
        <v>515</v>
      </c>
      <c r="V52" s="27" t="s">
        <v>515</v>
      </c>
    </row>
    <row r="53" spans="1:22" x14ac:dyDescent="0.2">
      <c r="A53" s="27">
        <v>49</v>
      </c>
      <c r="B53" s="22" t="s">
        <v>375</v>
      </c>
      <c r="C53" s="29">
        <v>43498</v>
      </c>
      <c r="D53" s="23">
        <v>0.13</v>
      </c>
      <c r="E53" s="23">
        <v>0.16</v>
      </c>
      <c r="F53" s="27">
        <v>56</v>
      </c>
      <c r="G53" s="23">
        <v>0.05</v>
      </c>
      <c r="H53" s="27">
        <v>50</v>
      </c>
      <c r="I53" s="23">
        <v>6.5</v>
      </c>
      <c r="J53" s="27" t="s">
        <v>515</v>
      </c>
      <c r="K53" s="27" t="s">
        <v>515</v>
      </c>
      <c r="L53" s="27" t="s">
        <v>515</v>
      </c>
      <c r="M53" s="27" t="s">
        <v>515</v>
      </c>
      <c r="N53" s="27">
        <v>1</v>
      </c>
      <c r="O53" s="27">
        <v>12</v>
      </c>
      <c r="P53" s="27">
        <v>37</v>
      </c>
      <c r="Q53" s="27">
        <v>38</v>
      </c>
      <c r="R53" s="27">
        <v>12</v>
      </c>
      <c r="S53" s="27" t="s">
        <v>515</v>
      </c>
      <c r="T53" s="27" t="s">
        <v>515</v>
      </c>
      <c r="U53" s="27" t="s">
        <v>515</v>
      </c>
      <c r="V53" s="27" t="s">
        <v>515</v>
      </c>
    </row>
    <row r="54" spans="1:22" x14ac:dyDescent="0.2">
      <c r="A54" s="27">
        <v>50</v>
      </c>
      <c r="B54" s="22" t="s">
        <v>142</v>
      </c>
      <c r="C54" s="29">
        <v>43468</v>
      </c>
      <c r="D54" s="23">
        <v>0.12</v>
      </c>
      <c r="E54" s="23">
        <v>0.01</v>
      </c>
      <c r="F54" s="27">
        <v>73</v>
      </c>
      <c r="G54" s="23">
        <v>0.24</v>
      </c>
      <c r="H54" s="27">
        <v>37</v>
      </c>
      <c r="I54" s="23">
        <v>6.2</v>
      </c>
      <c r="J54" s="27" t="s">
        <v>515</v>
      </c>
      <c r="K54" s="27" t="s">
        <v>515</v>
      </c>
      <c r="L54" s="27" t="s">
        <v>515</v>
      </c>
      <c r="M54" s="27">
        <v>1</v>
      </c>
      <c r="N54" s="27">
        <v>7</v>
      </c>
      <c r="O54" s="27">
        <v>22</v>
      </c>
      <c r="P54" s="27">
        <v>32</v>
      </c>
      <c r="Q54" s="27">
        <v>24</v>
      </c>
      <c r="R54" s="27">
        <v>12</v>
      </c>
      <c r="S54" s="27">
        <v>2</v>
      </c>
      <c r="T54" s="27" t="s">
        <v>515</v>
      </c>
      <c r="U54" s="27" t="s">
        <v>515</v>
      </c>
      <c r="V54" s="27" t="s">
        <v>515</v>
      </c>
    </row>
    <row r="55" spans="1:22" x14ac:dyDescent="0.2">
      <c r="A55" s="27">
        <v>51</v>
      </c>
      <c r="B55" s="22" t="s">
        <v>204</v>
      </c>
      <c r="C55" s="29">
        <v>43525</v>
      </c>
      <c r="D55" s="23">
        <v>0.12</v>
      </c>
      <c r="E55" s="23">
        <v>-0.02</v>
      </c>
      <c r="F55" s="27">
        <v>75</v>
      </c>
      <c r="G55" s="23">
        <v>0.3</v>
      </c>
      <c r="H55" s="27">
        <v>33</v>
      </c>
      <c r="I55" s="23">
        <v>3.9</v>
      </c>
      <c r="J55" s="27" t="s">
        <v>515</v>
      </c>
      <c r="K55" s="27">
        <v>2</v>
      </c>
      <c r="L55" s="27">
        <v>11</v>
      </c>
      <c r="M55" s="27">
        <v>22</v>
      </c>
      <c r="N55" s="27">
        <v>34</v>
      </c>
      <c r="O55" s="27">
        <v>21</v>
      </c>
      <c r="P55" s="27">
        <v>8</v>
      </c>
      <c r="Q55" s="27">
        <v>2</v>
      </c>
      <c r="R55" s="27" t="s">
        <v>515</v>
      </c>
      <c r="S55" s="27" t="s">
        <v>515</v>
      </c>
      <c r="T55" s="27" t="s">
        <v>515</v>
      </c>
      <c r="U55" s="27" t="s">
        <v>515</v>
      </c>
      <c r="V55" s="27" t="s">
        <v>515</v>
      </c>
    </row>
    <row r="56" spans="1:22" x14ac:dyDescent="0.2">
      <c r="A56" s="27">
        <v>52</v>
      </c>
      <c r="B56" s="22" t="s">
        <v>19</v>
      </c>
      <c r="C56" s="29">
        <v>43498</v>
      </c>
      <c r="D56" s="23">
        <v>0.11</v>
      </c>
      <c r="E56" s="23">
        <v>0.25</v>
      </c>
      <c r="F56" s="27">
        <v>47</v>
      </c>
      <c r="G56" s="23">
        <v>-0.19</v>
      </c>
      <c r="H56" s="27">
        <v>72</v>
      </c>
      <c r="I56" s="23">
        <v>4.5</v>
      </c>
      <c r="J56" s="27" t="s">
        <v>515</v>
      </c>
      <c r="K56" s="27" t="s">
        <v>515</v>
      </c>
      <c r="L56" s="27">
        <v>4</v>
      </c>
      <c r="M56" s="27">
        <v>17</v>
      </c>
      <c r="N56" s="27">
        <v>29</v>
      </c>
      <c r="O56" s="27">
        <v>29</v>
      </c>
      <c r="P56" s="27">
        <v>16</v>
      </c>
      <c r="Q56" s="27">
        <v>4</v>
      </c>
      <c r="R56" s="27">
        <v>1</v>
      </c>
      <c r="S56" s="27" t="s">
        <v>515</v>
      </c>
      <c r="T56" s="27" t="s">
        <v>515</v>
      </c>
      <c r="U56" s="27" t="s">
        <v>515</v>
      </c>
      <c r="V56" s="27" t="s">
        <v>515</v>
      </c>
    </row>
    <row r="57" spans="1:22" x14ac:dyDescent="0.2">
      <c r="A57" s="27">
        <v>53</v>
      </c>
      <c r="B57" s="22" t="s">
        <v>171</v>
      </c>
      <c r="C57" s="29">
        <v>43468</v>
      </c>
      <c r="D57" s="23">
        <v>0.11</v>
      </c>
      <c r="E57" s="23">
        <v>0.71</v>
      </c>
      <c r="F57" s="27">
        <v>19</v>
      </c>
      <c r="G57" s="23">
        <v>-0.46</v>
      </c>
      <c r="H57" s="27">
        <v>93</v>
      </c>
      <c r="I57" s="23">
        <v>6.8</v>
      </c>
      <c r="J57" s="27" t="s">
        <v>515</v>
      </c>
      <c r="K57" s="27" t="s">
        <v>515</v>
      </c>
      <c r="L57" s="27" t="s">
        <v>515</v>
      </c>
      <c r="M57" s="27" t="s">
        <v>515</v>
      </c>
      <c r="N57" s="27">
        <v>2</v>
      </c>
      <c r="O57" s="27">
        <v>10</v>
      </c>
      <c r="P57" s="27">
        <v>28</v>
      </c>
      <c r="Q57" s="27">
        <v>32</v>
      </c>
      <c r="R57" s="27">
        <v>22</v>
      </c>
      <c r="S57" s="27">
        <v>6</v>
      </c>
      <c r="T57" s="27" t="s">
        <v>515</v>
      </c>
      <c r="U57" s="27" t="s">
        <v>515</v>
      </c>
      <c r="V57" s="27" t="s">
        <v>515</v>
      </c>
    </row>
    <row r="58" spans="1:22" x14ac:dyDescent="0.2">
      <c r="A58" s="27">
        <v>54</v>
      </c>
      <c r="B58" s="22" t="s">
        <v>516</v>
      </c>
      <c r="C58" s="29">
        <v>43525</v>
      </c>
      <c r="D58" s="23">
        <v>0.1</v>
      </c>
      <c r="E58" s="23">
        <v>0.7</v>
      </c>
      <c r="F58" s="27">
        <v>20</v>
      </c>
      <c r="G58" s="23">
        <v>-0.4</v>
      </c>
      <c r="H58" s="27">
        <v>85</v>
      </c>
      <c r="I58" s="23">
        <v>3.2</v>
      </c>
      <c r="J58" s="27" t="s">
        <v>515</v>
      </c>
      <c r="K58" s="27">
        <v>6</v>
      </c>
      <c r="L58" s="27">
        <v>21</v>
      </c>
      <c r="M58" s="27">
        <v>34</v>
      </c>
      <c r="N58" s="27">
        <v>27</v>
      </c>
      <c r="O58" s="27">
        <v>9</v>
      </c>
      <c r="P58" s="27">
        <v>3</v>
      </c>
      <c r="Q58" s="27" t="s">
        <v>515</v>
      </c>
      <c r="R58" s="27" t="s">
        <v>515</v>
      </c>
      <c r="S58" s="27" t="s">
        <v>515</v>
      </c>
      <c r="T58" s="27" t="s">
        <v>515</v>
      </c>
      <c r="U58" s="27" t="s">
        <v>515</v>
      </c>
      <c r="V58" s="27" t="s">
        <v>515</v>
      </c>
    </row>
    <row r="59" spans="1:22" x14ac:dyDescent="0.2">
      <c r="A59" s="27">
        <v>55</v>
      </c>
      <c r="B59" s="22" t="s">
        <v>224</v>
      </c>
      <c r="C59" s="29">
        <v>43498</v>
      </c>
      <c r="D59" s="23">
        <v>0.1</v>
      </c>
      <c r="E59" s="23">
        <v>0.18</v>
      </c>
      <c r="F59" s="27">
        <v>55</v>
      </c>
      <c r="G59" s="23">
        <v>-0.03</v>
      </c>
      <c r="H59" s="27">
        <v>60</v>
      </c>
      <c r="I59" s="23">
        <v>6.9</v>
      </c>
      <c r="J59" s="27" t="s">
        <v>515</v>
      </c>
      <c r="K59" s="27" t="s">
        <v>515</v>
      </c>
      <c r="L59" s="27" t="s">
        <v>515</v>
      </c>
      <c r="M59" s="27" t="s">
        <v>515</v>
      </c>
      <c r="N59" s="27">
        <v>1</v>
      </c>
      <c r="O59" s="27">
        <v>8</v>
      </c>
      <c r="P59" s="27">
        <v>26</v>
      </c>
      <c r="Q59" s="27">
        <v>33</v>
      </c>
      <c r="R59" s="27">
        <v>25</v>
      </c>
      <c r="S59" s="27">
        <v>7</v>
      </c>
      <c r="T59" s="27" t="s">
        <v>515</v>
      </c>
      <c r="U59" s="27" t="s">
        <v>515</v>
      </c>
      <c r="V59" s="27" t="s">
        <v>515</v>
      </c>
    </row>
    <row r="60" spans="1:22" x14ac:dyDescent="0.2">
      <c r="A60" s="27">
        <v>56</v>
      </c>
      <c r="B60" s="22" t="s">
        <v>146</v>
      </c>
      <c r="C60" s="29">
        <v>43498</v>
      </c>
      <c r="D60" s="23">
        <v>0.09</v>
      </c>
      <c r="E60" s="23">
        <v>0.1</v>
      </c>
      <c r="F60" s="27">
        <v>64</v>
      </c>
      <c r="G60" s="23">
        <v>0</v>
      </c>
      <c r="H60" s="27">
        <v>54</v>
      </c>
      <c r="I60" s="23">
        <v>3.6</v>
      </c>
      <c r="J60" s="27" t="s">
        <v>515</v>
      </c>
      <c r="K60" s="27" t="s">
        <v>515</v>
      </c>
      <c r="L60" s="27">
        <v>15</v>
      </c>
      <c r="M60" s="27">
        <v>36</v>
      </c>
      <c r="N60" s="27">
        <v>32</v>
      </c>
      <c r="O60" s="27">
        <v>13</v>
      </c>
      <c r="P60" s="27">
        <v>3</v>
      </c>
      <c r="Q60" s="27">
        <v>1</v>
      </c>
      <c r="R60" s="27" t="s">
        <v>515</v>
      </c>
      <c r="S60" s="27" t="s">
        <v>515</v>
      </c>
      <c r="T60" s="27" t="s">
        <v>515</v>
      </c>
      <c r="U60" s="27" t="s">
        <v>515</v>
      </c>
      <c r="V60" s="27" t="s">
        <v>515</v>
      </c>
    </row>
    <row r="61" spans="1:22" x14ac:dyDescent="0.2">
      <c r="A61" s="27">
        <v>57</v>
      </c>
      <c r="B61" s="22" t="s">
        <v>22</v>
      </c>
      <c r="C61" s="29">
        <v>43526</v>
      </c>
      <c r="D61" s="23">
        <v>0.05</v>
      </c>
      <c r="E61" s="23">
        <v>0.75</v>
      </c>
      <c r="F61" s="27">
        <v>18</v>
      </c>
      <c r="G61" s="23">
        <v>-0.67</v>
      </c>
      <c r="H61" s="27">
        <v>107</v>
      </c>
      <c r="I61" s="23">
        <v>6.3</v>
      </c>
      <c r="J61" s="27" t="s">
        <v>515</v>
      </c>
      <c r="K61" s="27" t="s">
        <v>515</v>
      </c>
      <c r="L61" s="27" t="s">
        <v>515</v>
      </c>
      <c r="M61" s="27">
        <v>1</v>
      </c>
      <c r="N61" s="27">
        <v>7</v>
      </c>
      <c r="O61" s="27">
        <v>19</v>
      </c>
      <c r="P61" s="27">
        <v>26</v>
      </c>
      <c r="Q61" s="27">
        <v>29</v>
      </c>
      <c r="R61" s="27">
        <v>16</v>
      </c>
      <c r="S61" s="27">
        <v>2</v>
      </c>
      <c r="T61" s="27" t="s">
        <v>515</v>
      </c>
      <c r="U61" s="27" t="s">
        <v>515</v>
      </c>
      <c r="V61" s="27" t="s">
        <v>515</v>
      </c>
    </row>
    <row r="62" spans="1:22" x14ac:dyDescent="0.2">
      <c r="A62" s="27">
        <v>58</v>
      </c>
      <c r="B62" s="22" t="s">
        <v>118</v>
      </c>
      <c r="C62" s="29">
        <v>43498</v>
      </c>
      <c r="D62" s="23">
        <v>0.05</v>
      </c>
      <c r="E62" s="23">
        <v>0.55000000000000004</v>
      </c>
      <c r="F62" s="27">
        <v>29</v>
      </c>
      <c r="G62" s="23">
        <v>-0.56000000000000005</v>
      </c>
      <c r="H62" s="27">
        <v>100</v>
      </c>
      <c r="I62" s="23">
        <v>4.2</v>
      </c>
      <c r="J62" s="27" t="s">
        <v>515</v>
      </c>
      <c r="K62" s="27" t="s">
        <v>515</v>
      </c>
      <c r="L62" s="27">
        <v>7</v>
      </c>
      <c r="M62" s="27">
        <v>23</v>
      </c>
      <c r="N62" s="27">
        <v>34</v>
      </c>
      <c r="O62" s="27">
        <v>25</v>
      </c>
      <c r="P62" s="27">
        <v>9</v>
      </c>
      <c r="Q62" s="27">
        <v>2</v>
      </c>
      <c r="R62" s="27" t="s">
        <v>515</v>
      </c>
      <c r="S62" s="27" t="s">
        <v>515</v>
      </c>
      <c r="T62" s="27" t="s">
        <v>515</v>
      </c>
      <c r="U62" s="27" t="s">
        <v>515</v>
      </c>
      <c r="V62" s="27" t="s">
        <v>515</v>
      </c>
    </row>
    <row r="63" spans="1:22" x14ac:dyDescent="0.2">
      <c r="A63" s="27">
        <v>59</v>
      </c>
      <c r="B63" s="22" t="s">
        <v>456</v>
      </c>
      <c r="C63" s="29">
        <v>43499</v>
      </c>
      <c r="D63" s="23">
        <v>0.05</v>
      </c>
      <c r="E63" s="23">
        <v>0.54</v>
      </c>
      <c r="F63" s="27">
        <v>30</v>
      </c>
      <c r="G63" s="23">
        <v>-0.43</v>
      </c>
      <c r="H63" s="27">
        <v>89</v>
      </c>
      <c r="I63" s="23">
        <v>4.5</v>
      </c>
      <c r="J63" s="27" t="s">
        <v>515</v>
      </c>
      <c r="K63" s="27" t="s">
        <v>515</v>
      </c>
      <c r="L63" s="27" t="s">
        <v>515</v>
      </c>
      <c r="M63" s="27">
        <v>14</v>
      </c>
      <c r="N63" s="27">
        <v>34</v>
      </c>
      <c r="O63" s="27">
        <v>33</v>
      </c>
      <c r="P63" s="27">
        <v>17</v>
      </c>
      <c r="Q63" s="27">
        <v>2</v>
      </c>
      <c r="R63" s="27" t="s">
        <v>515</v>
      </c>
      <c r="S63" s="27" t="s">
        <v>515</v>
      </c>
      <c r="T63" s="27" t="s">
        <v>515</v>
      </c>
      <c r="U63" s="27" t="s">
        <v>515</v>
      </c>
      <c r="V63" s="27" t="s">
        <v>515</v>
      </c>
    </row>
    <row r="64" spans="1:22" x14ac:dyDescent="0.2">
      <c r="A64" s="27">
        <v>60</v>
      </c>
      <c r="B64" s="22" t="s">
        <v>149</v>
      </c>
      <c r="C64" s="29">
        <v>43526</v>
      </c>
      <c r="D64" s="23">
        <v>0.05</v>
      </c>
      <c r="E64" s="23">
        <v>0.21</v>
      </c>
      <c r="F64" s="27">
        <v>50</v>
      </c>
      <c r="G64" s="23">
        <v>-0.02</v>
      </c>
      <c r="H64" s="27">
        <v>57</v>
      </c>
      <c r="I64" s="23">
        <v>5.5</v>
      </c>
      <c r="J64" s="27" t="s">
        <v>515</v>
      </c>
      <c r="K64" s="27" t="s">
        <v>515</v>
      </c>
      <c r="L64" s="27" t="s">
        <v>515</v>
      </c>
      <c r="M64" s="27">
        <v>1</v>
      </c>
      <c r="N64" s="27">
        <v>14</v>
      </c>
      <c r="O64" s="27">
        <v>33</v>
      </c>
      <c r="P64" s="27">
        <v>34</v>
      </c>
      <c r="Q64" s="27">
        <v>14</v>
      </c>
      <c r="R64" s="27">
        <v>4</v>
      </c>
      <c r="S64" s="27" t="s">
        <v>515</v>
      </c>
      <c r="T64" s="27" t="s">
        <v>515</v>
      </c>
      <c r="U64" s="27" t="s">
        <v>515</v>
      </c>
      <c r="V64" s="27" t="s">
        <v>515</v>
      </c>
    </row>
    <row r="65" spans="1:22" x14ac:dyDescent="0.2">
      <c r="A65" s="24" t="s">
        <v>497</v>
      </c>
      <c r="B65" s="25" t="s">
        <v>0</v>
      </c>
      <c r="C65" s="24" t="s">
        <v>498</v>
      </c>
      <c r="D65" s="26" t="s">
        <v>496</v>
      </c>
      <c r="E65" s="26" t="s">
        <v>499</v>
      </c>
      <c r="F65" s="24" t="s">
        <v>497</v>
      </c>
      <c r="G65" s="26" t="s">
        <v>500</v>
      </c>
      <c r="H65" s="24" t="s">
        <v>497</v>
      </c>
      <c r="I65" s="26" t="s">
        <v>501</v>
      </c>
      <c r="J65" s="26" t="s">
        <v>502</v>
      </c>
      <c r="K65" s="26" t="s">
        <v>503</v>
      </c>
      <c r="L65" s="26" t="s">
        <v>504</v>
      </c>
      <c r="M65" s="26" t="s">
        <v>505</v>
      </c>
      <c r="N65" s="26" t="s">
        <v>506</v>
      </c>
      <c r="O65" s="26" t="s">
        <v>507</v>
      </c>
      <c r="P65" s="26" t="s">
        <v>508</v>
      </c>
      <c r="Q65" s="26" t="s">
        <v>509</v>
      </c>
      <c r="R65" s="26" t="s">
        <v>510</v>
      </c>
      <c r="S65" s="26" t="s">
        <v>511</v>
      </c>
      <c r="T65" s="26" t="s">
        <v>512</v>
      </c>
      <c r="U65" s="26" t="s">
        <v>513</v>
      </c>
      <c r="V65" s="26" t="s">
        <v>514</v>
      </c>
    </row>
    <row r="66" spans="1:22" x14ac:dyDescent="0.2">
      <c r="A66" s="27">
        <v>61</v>
      </c>
      <c r="B66" s="22" t="s">
        <v>395</v>
      </c>
      <c r="C66" s="29">
        <v>43499</v>
      </c>
      <c r="D66" s="23">
        <v>0.04</v>
      </c>
      <c r="E66" s="23">
        <v>7.0000000000000007E-2</v>
      </c>
      <c r="F66" s="27">
        <v>67</v>
      </c>
      <c r="G66" s="23">
        <v>0.11</v>
      </c>
      <c r="H66" s="27">
        <v>45</v>
      </c>
      <c r="I66" s="23">
        <v>7</v>
      </c>
      <c r="J66" s="27" t="s">
        <v>515</v>
      </c>
      <c r="K66" s="27" t="s">
        <v>515</v>
      </c>
      <c r="L66" s="27" t="s">
        <v>515</v>
      </c>
      <c r="M66" s="27" t="s">
        <v>515</v>
      </c>
      <c r="N66" s="27">
        <v>1</v>
      </c>
      <c r="O66" s="27">
        <v>8</v>
      </c>
      <c r="P66" s="27">
        <v>24</v>
      </c>
      <c r="Q66" s="27">
        <v>34</v>
      </c>
      <c r="R66" s="27">
        <v>24</v>
      </c>
      <c r="S66" s="27">
        <v>8</v>
      </c>
      <c r="T66" s="27">
        <v>1</v>
      </c>
      <c r="U66" s="27" t="s">
        <v>515</v>
      </c>
      <c r="V66" s="27" t="s">
        <v>515</v>
      </c>
    </row>
    <row r="67" spans="1:22" x14ac:dyDescent="0.2">
      <c r="A67" s="27">
        <v>62</v>
      </c>
      <c r="B67" s="22" t="s">
        <v>294</v>
      </c>
      <c r="C67" s="29">
        <v>43469</v>
      </c>
      <c r="D67" s="23">
        <v>0.04</v>
      </c>
      <c r="E67" s="23">
        <v>-0.84</v>
      </c>
      <c r="F67" s="27">
        <v>119</v>
      </c>
      <c r="G67" s="23">
        <v>0.92</v>
      </c>
      <c r="H67" s="27">
        <v>8</v>
      </c>
      <c r="I67" s="23">
        <v>7.6</v>
      </c>
      <c r="J67" s="27" t="s">
        <v>515</v>
      </c>
      <c r="K67" s="27" t="s">
        <v>515</v>
      </c>
      <c r="L67" s="27" t="s">
        <v>515</v>
      </c>
      <c r="M67" s="27" t="s">
        <v>515</v>
      </c>
      <c r="N67" s="27" t="s">
        <v>515</v>
      </c>
      <c r="O67" s="27">
        <v>2</v>
      </c>
      <c r="P67" s="27">
        <v>12</v>
      </c>
      <c r="Q67" s="27">
        <v>29</v>
      </c>
      <c r="R67" s="27">
        <v>35</v>
      </c>
      <c r="S67" s="27">
        <v>19</v>
      </c>
      <c r="T67" s="27">
        <v>3</v>
      </c>
      <c r="U67" s="27" t="s">
        <v>515</v>
      </c>
      <c r="V67" s="27" t="s">
        <v>515</v>
      </c>
    </row>
    <row r="68" spans="1:22" x14ac:dyDescent="0.2">
      <c r="A68" s="27">
        <v>63</v>
      </c>
      <c r="B68" s="22" t="s">
        <v>367</v>
      </c>
      <c r="C68" s="29">
        <v>43525</v>
      </c>
      <c r="D68" s="23">
        <v>0</v>
      </c>
      <c r="E68" s="23">
        <v>-0.67</v>
      </c>
      <c r="F68" s="27">
        <v>113</v>
      </c>
      <c r="G68" s="23">
        <v>0.63</v>
      </c>
      <c r="H68" s="27">
        <v>20</v>
      </c>
      <c r="I68" s="23">
        <v>5</v>
      </c>
      <c r="J68" s="27" t="s">
        <v>515</v>
      </c>
      <c r="K68" s="27" t="s">
        <v>515</v>
      </c>
      <c r="L68" s="27">
        <v>1</v>
      </c>
      <c r="M68" s="27">
        <v>7</v>
      </c>
      <c r="N68" s="27">
        <v>22</v>
      </c>
      <c r="O68" s="27">
        <v>37</v>
      </c>
      <c r="P68" s="27">
        <v>27</v>
      </c>
      <c r="Q68" s="27">
        <v>6</v>
      </c>
      <c r="R68" s="27" t="s">
        <v>515</v>
      </c>
      <c r="S68" s="27" t="s">
        <v>515</v>
      </c>
      <c r="T68" s="27" t="s">
        <v>515</v>
      </c>
      <c r="U68" s="27" t="s">
        <v>515</v>
      </c>
      <c r="V68" s="27" t="s">
        <v>515</v>
      </c>
    </row>
    <row r="69" spans="1:22" x14ac:dyDescent="0.2">
      <c r="A69" s="27">
        <v>64</v>
      </c>
      <c r="B69" s="22" t="s">
        <v>217</v>
      </c>
      <c r="C69" s="29">
        <v>43498</v>
      </c>
      <c r="D69" s="23">
        <v>0</v>
      </c>
      <c r="E69" s="23">
        <v>0.34</v>
      </c>
      <c r="F69" s="27">
        <v>41</v>
      </c>
      <c r="G69" s="23">
        <v>-0.41</v>
      </c>
      <c r="H69" s="27">
        <v>86</v>
      </c>
      <c r="I69" s="23">
        <v>6.2</v>
      </c>
      <c r="J69" s="27" t="s">
        <v>515</v>
      </c>
      <c r="K69" s="27" t="s">
        <v>515</v>
      </c>
      <c r="L69" s="27" t="s">
        <v>515</v>
      </c>
      <c r="M69" s="27">
        <v>1</v>
      </c>
      <c r="N69" s="27">
        <v>6</v>
      </c>
      <c r="O69" s="27">
        <v>22</v>
      </c>
      <c r="P69" s="27">
        <v>30</v>
      </c>
      <c r="Q69" s="27">
        <v>26</v>
      </c>
      <c r="R69" s="27">
        <v>13</v>
      </c>
      <c r="S69" s="27">
        <v>2</v>
      </c>
      <c r="T69" s="27" t="s">
        <v>515</v>
      </c>
      <c r="U69" s="27" t="s">
        <v>515</v>
      </c>
      <c r="V69" s="27" t="s">
        <v>515</v>
      </c>
    </row>
    <row r="70" spans="1:22" x14ac:dyDescent="0.2">
      <c r="A70" s="27">
        <v>65</v>
      </c>
      <c r="B70" s="22" t="s">
        <v>199</v>
      </c>
      <c r="C70" s="29">
        <v>43499</v>
      </c>
      <c r="D70" s="23">
        <v>-0.01</v>
      </c>
      <c r="E70" s="23">
        <v>0.03</v>
      </c>
      <c r="F70" s="27">
        <v>70</v>
      </c>
      <c r="G70" s="23">
        <v>-0.01</v>
      </c>
      <c r="H70" s="27">
        <v>55</v>
      </c>
      <c r="I70" s="23">
        <v>6.1</v>
      </c>
      <c r="J70" s="27" t="s">
        <v>515</v>
      </c>
      <c r="K70" s="27" t="s">
        <v>515</v>
      </c>
      <c r="L70" s="27" t="s">
        <v>515</v>
      </c>
      <c r="M70" s="27" t="s">
        <v>515</v>
      </c>
      <c r="N70" s="27">
        <v>5</v>
      </c>
      <c r="O70" s="27">
        <v>24</v>
      </c>
      <c r="P70" s="27">
        <v>40</v>
      </c>
      <c r="Q70" s="27">
        <v>23</v>
      </c>
      <c r="R70" s="27">
        <v>7</v>
      </c>
      <c r="S70" s="27">
        <v>1</v>
      </c>
      <c r="T70" s="27" t="s">
        <v>515</v>
      </c>
      <c r="U70" s="27" t="s">
        <v>515</v>
      </c>
      <c r="V70" s="27" t="s">
        <v>515</v>
      </c>
    </row>
    <row r="71" spans="1:22" x14ac:dyDescent="0.2">
      <c r="A71" s="27">
        <v>66</v>
      </c>
      <c r="B71" s="22" t="s">
        <v>286</v>
      </c>
      <c r="C71" s="29">
        <v>43468</v>
      </c>
      <c r="D71" s="23">
        <v>-0.03</v>
      </c>
      <c r="E71" s="23">
        <v>0.15</v>
      </c>
      <c r="F71" s="27">
        <v>58</v>
      </c>
      <c r="G71" s="23">
        <v>-0.24</v>
      </c>
      <c r="H71" s="27">
        <v>75</v>
      </c>
      <c r="I71" s="23">
        <v>5.2</v>
      </c>
      <c r="J71" s="27" t="s">
        <v>515</v>
      </c>
      <c r="K71" s="27" t="s">
        <v>515</v>
      </c>
      <c r="L71" s="27" t="s">
        <v>515</v>
      </c>
      <c r="M71" s="27">
        <v>6</v>
      </c>
      <c r="N71" s="27">
        <v>23</v>
      </c>
      <c r="O71" s="27">
        <v>30</v>
      </c>
      <c r="P71" s="27">
        <v>28</v>
      </c>
      <c r="Q71" s="27">
        <v>11</v>
      </c>
      <c r="R71" s="27">
        <v>2</v>
      </c>
      <c r="S71" s="27" t="s">
        <v>515</v>
      </c>
      <c r="T71" s="27" t="s">
        <v>515</v>
      </c>
      <c r="U71" s="27" t="s">
        <v>515</v>
      </c>
      <c r="V71" s="27" t="s">
        <v>515</v>
      </c>
    </row>
    <row r="72" spans="1:22" x14ac:dyDescent="0.2">
      <c r="A72" s="27">
        <v>67</v>
      </c>
      <c r="B72" s="22" t="s">
        <v>398</v>
      </c>
      <c r="C72" s="29">
        <v>43525</v>
      </c>
      <c r="D72" s="23">
        <v>-0.04</v>
      </c>
      <c r="E72" s="23">
        <v>0.13</v>
      </c>
      <c r="F72" s="27">
        <v>62</v>
      </c>
      <c r="G72" s="23">
        <v>-0.04</v>
      </c>
      <c r="H72" s="27">
        <v>61</v>
      </c>
      <c r="I72" s="23">
        <v>2.9</v>
      </c>
      <c r="J72" s="27" t="s">
        <v>515</v>
      </c>
      <c r="K72" s="27">
        <v>8</v>
      </c>
      <c r="L72" s="27">
        <v>27</v>
      </c>
      <c r="M72" s="27">
        <v>39</v>
      </c>
      <c r="N72" s="27">
        <v>20</v>
      </c>
      <c r="O72" s="27">
        <v>5</v>
      </c>
      <c r="P72" s="27">
        <v>1</v>
      </c>
      <c r="Q72" s="27" t="s">
        <v>515</v>
      </c>
      <c r="R72" s="27" t="s">
        <v>515</v>
      </c>
      <c r="S72" s="27" t="s">
        <v>515</v>
      </c>
      <c r="T72" s="27" t="s">
        <v>515</v>
      </c>
      <c r="U72" s="27" t="s">
        <v>515</v>
      </c>
      <c r="V72" s="27" t="s">
        <v>515</v>
      </c>
    </row>
    <row r="73" spans="1:22" x14ac:dyDescent="0.2">
      <c r="A73" s="27">
        <v>68</v>
      </c>
      <c r="B73" s="22" t="s">
        <v>153</v>
      </c>
      <c r="C73" s="29">
        <v>43467</v>
      </c>
      <c r="D73" s="23">
        <v>-0.04</v>
      </c>
      <c r="E73" s="23">
        <v>-0.18</v>
      </c>
      <c r="F73" s="27">
        <v>87</v>
      </c>
      <c r="G73" s="23">
        <v>0.16</v>
      </c>
      <c r="H73" s="27">
        <v>41</v>
      </c>
      <c r="I73" s="23">
        <v>4.9000000000000004</v>
      </c>
      <c r="J73" s="27" t="s">
        <v>515</v>
      </c>
      <c r="K73" s="27" t="s">
        <v>515</v>
      </c>
      <c r="L73" s="27">
        <v>1</v>
      </c>
      <c r="M73" s="27">
        <v>11</v>
      </c>
      <c r="N73" s="27">
        <v>24</v>
      </c>
      <c r="O73" s="27">
        <v>33</v>
      </c>
      <c r="P73" s="27">
        <v>22</v>
      </c>
      <c r="Q73" s="27">
        <v>7</v>
      </c>
      <c r="R73" s="27">
        <v>2</v>
      </c>
      <c r="S73" s="27" t="s">
        <v>515</v>
      </c>
      <c r="T73" s="27" t="s">
        <v>515</v>
      </c>
      <c r="U73" s="27" t="s">
        <v>515</v>
      </c>
      <c r="V73" s="27" t="s">
        <v>515</v>
      </c>
    </row>
    <row r="74" spans="1:22" x14ac:dyDescent="0.2">
      <c r="A74" s="27">
        <v>69</v>
      </c>
      <c r="B74" s="22" t="s">
        <v>462</v>
      </c>
      <c r="C74" s="29">
        <v>43525</v>
      </c>
      <c r="D74" s="23">
        <v>-0.04</v>
      </c>
      <c r="E74" s="23">
        <v>-0.02</v>
      </c>
      <c r="F74" s="27">
        <v>76</v>
      </c>
      <c r="G74" s="23">
        <v>-0.01</v>
      </c>
      <c r="H74" s="27">
        <v>56</v>
      </c>
      <c r="I74" s="23">
        <v>4</v>
      </c>
      <c r="J74" s="27" t="s">
        <v>515</v>
      </c>
      <c r="K74" s="27">
        <v>1</v>
      </c>
      <c r="L74" s="27">
        <v>7</v>
      </c>
      <c r="M74" s="27">
        <v>25</v>
      </c>
      <c r="N74" s="27">
        <v>35</v>
      </c>
      <c r="O74" s="27">
        <v>24</v>
      </c>
      <c r="P74" s="27">
        <v>7</v>
      </c>
      <c r="Q74" s="27">
        <v>1</v>
      </c>
      <c r="R74" s="27" t="s">
        <v>515</v>
      </c>
      <c r="S74" s="27" t="s">
        <v>515</v>
      </c>
      <c r="T74" s="27" t="s">
        <v>515</v>
      </c>
      <c r="U74" s="27" t="s">
        <v>515</v>
      </c>
      <c r="V74" s="27" t="s">
        <v>515</v>
      </c>
    </row>
    <row r="75" spans="1:22" x14ac:dyDescent="0.2">
      <c r="A75" s="27">
        <v>70</v>
      </c>
      <c r="B75" s="22" t="s">
        <v>359</v>
      </c>
      <c r="C75" s="29">
        <v>43527</v>
      </c>
      <c r="D75" s="23">
        <v>-0.05</v>
      </c>
      <c r="E75" s="23">
        <v>0.06</v>
      </c>
      <c r="F75" s="27">
        <v>68</v>
      </c>
      <c r="G75" s="23">
        <v>-0.27</v>
      </c>
      <c r="H75" s="27">
        <v>78</v>
      </c>
      <c r="I75" s="23">
        <v>6.7</v>
      </c>
      <c r="J75" s="27" t="s">
        <v>515</v>
      </c>
      <c r="K75" s="27" t="s">
        <v>515</v>
      </c>
      <c r="L75" s="27" t="s">
        <v>515</v>
      </c>
      <c r="M75" s="27" t="s">
        <v>515</v>
      </c>
      <c r="N75" s="27">
        <v>2</v>
      </c>
      <c r="O75" s="27">
        <v>11</v>
      </c>
      <c r="P75" s="27">
        <v>28</v>
      </c>
      <c r="Q75" s="27">
        <v>35</v>
      </c>
      <c r="R75" s="27">
        <v>19</v>
      </c>
      <c r="S75" s="27">
        <v>5</v>
      </c>
      <c r="T75" s="27" t="s">
        <v>515</v>
      </c>
      <c r="U75" s="27" t="s">
        <v>515</v>
      </c>
      <c r="V75" s="27" t="s">
        <v>515</v>
      </c>
    </row>
    <row r="76" spans="1:22" x14ac:dyDescent="0.2">
      <c r="A76" s="27">
        <v>71</v>
      </c>
      <c r="B76" s="22" t="s">
        <v>214</v>
      </c>
      <c r="C76" s="29">
        <v>43525</v>
      </c>
      <c r="D76" s="23">
        <v>-0.05</v>
      </c>
      <c r="E76" s="23">
        <v>-0.08</v>
      </c>
      <c r="F76" s="27">
        <v>82</v>
      </c>
      <c r="G76" s="23">
        <v>-0.15</v>
      </c>
      <c r="H76" s="27">
        <v>68</v>
      </c>
      <c r="I76" s="23">
        <v>2.8</v>
      </c>
      <c r="J76" s="27" t="s">
        <v>515</v>
      </c>
      <c r="K76" s="27">
        <v>11</v>
      </c>
      <c r="L76" s="27">
        <v>31</v>
      </c>
      <c r="M76" s="27">
        <v>36</v>
      </c>
      <c r="N76" s="27">
        <v>19</v>
      </c>
      <c r="O76" s="27">
        <v>3</v>
      </c>
      <c r="P76" s="27" t="s">
        <v>515</v>
      </c>
      <c r="Q76" s="27" t="s">
        <v>515</v>
      </c>
      <c r="R76" s="27" t="s">
        <v>515</v>
      </c>
      <c r="S76" s="27" t="s">
        <v>515</v>
      </c>
      <c r="T76" s="27" t="s">
        <v>515</v>
      </c>
      <c r="U76" s="27" t="s">
        <v>515</v>
      </c>
      <c r="V76" s="27" t="s">
        <v>515</v>
      </c>
    </row>
    <row r="77" spans="1:22" x14ac:dyDescent="0.2">
      <c r="A77" s="27">
        <v>72</v>
      </c>
      <c r="B77" s="22" t="s">
        <v>381</v>
      </c>
      <c r="C77" s="29">
        <v>43498</v>
      </c>
      <c r="D77" s="23">
        <v>-0.06</v>
      </c>
      <c r="E77" s="23">
        <v>0.13</v>
      </c>
      <c r="F77" s="27">
        <v>61</v>
      </c>
      <c r="G77" s="23">
        <v>-0.28999999999999998</v>
      </c>
      <c r="H77" s="27">
        <v>80</v>
      </c>
      <c r="I77" s="23">
        <v>7</v>
      </c>
      <c r="J77" s="27" t="s">
        <v>515</v>
      </c>
      <c r="K77" s="27" t="s">
        <v>515</v>
      </c>
      <c r="L77" s="27" t="s">
        <v>515</v>
      </c>
      <c r="M77" s="27" t="s">
        <v>515</v>
      </c>
      <c r="N77" s="27">
        <v>2</v>
      </c>
      <c r="O77" s="27">
        <v>7</v>
      </c>
      <c r="P77" s="27">
        <v>22</v>
      </c>
      <c r="Q77" s="27">
        <v>34</v>
      </c>
      <c r="R77" s="27">
        <v>28</v>
      </c>
      <c r="S77" s="27">
        <v>7</v>
      </c>
      <c r="T77" s="27" t="s">
        <v>515</v>
      </c>
      <c r="U77" s="27" t="s">
        <v>515</v>
      </c>
      <c r="V77" s="27" t="s">
        <v>515</v>
      </c>
    </row>
    <row r="78" spans="1:22" x14ac:dyDescent="0.2">
      <c r="A78" s="27">
        <v>73</v>
      </c>
      <c r="B78" s="22" t="s">
        <v>517</v>
      </c>
      <c r="C78" s="29">
        <v>43498</v>
      </c>
      <c r="D78" s="23">
        <v>-7.0000000000000007E-2</v>
      </c>
      <c r="E78" s="23">
        <v>-0.09</v>
      </c>
      <c r="F78" s="27">
        <v>83</v>
      </c>
      <c r="G78" s="23">
        <v>-0.05</v>
      </c>
      <c r="H78" s="27">
        <v>63</v>
      </c>
      <c r="I78" s="23">
        <v>6</v>
      </c>
      <c r="J78" s="27" t="s">
        <v>515</v>
      </c>
      <c r="K78" s="27" t="s">
        <v>515</v>
      </c>
      <c r="L78" s="27" t="s">
        <v>515</v>
      </c>
      <c r="M78" s="27">
        <v>2</v>
      </c>
      <c r="N78" s="27">
        <v>9</v>
      </c>
      <c r="O78" s="27">
        <v>23</v>
      </c>
      <c r="P78" s="27">
        <v>33</v>
      </c>
      <c r="Q78" s="27">
        <v>23</v>
      </c>
      <c r="R78" s="27">
        <v>9</v>
      </c>
      <c r="S78" s="27">
        <v>1</v>
      </c>
      <c r="T78" s="27" t="s">
        <v>515</v>
      </c>
      <c r="U78" s="27" t="s">
        <v>515</v>
      </c>
      <c r="V78" s="27" t="s">
        <v>515</v>
      </c>
    </row>
    <row r="79" spans="1:22" x14ac:dyDescent="0.2">
      <c r="A79" s="27">
        <v>74</v>
      </c>
      <c r="B79" s="22" t="s">
        <v>430</v>
      </c>
      <c r="C79" s="29">
        <v>43498</v>
      </c>
      <c r="D79" s="23">
        <v>-0.08</v>
      </c>
      <c r="E79" s="23">
        <v>-0.36</v>
      </c>
      <c r="F79" s="27">
        <v>98</v>
      </c>
      <c r="G79" s="23">
        <v>0.12</v>
      </c>
      <c r="H79" s="27">
        <v>43</v>
      </c>
      <c r="I79" s="23">
        <v>5.0999999999999996</v>
      </c>
      <c r="J79" s="27" t="s">
        <v>515</v>
      </c>
      <c r="K79" s="27" t="s">
        <v>515</v>
      </c>
      <c r="L79" s="27">
        <v>1</v>
      </c>
      <c r="M79" s="27">
        <v>8</v>
      </c>
      <c r="N79" s="27">
        <v>23</v>
      </c>
      <c r="O79" s="27">
        <v>29</v>
      </c>
      <c r="P79" s="27">
        <v>27</v>
      </c>
      <c r="Q79" s="27">
        <v>10</v>
      </c>
      <c r="R79" s="27">
        <v>2</v>
      </c>
      <c r="S79" s="27" t="s">
        <v>515</v>
      </c>
      <c r="T79" s="27" t="s">
        <v>515</v>
      </c>
      <c r="U79" s="27" t="s">
        <v>515</v>
      </c>
      <c r="V79" s="27" t="s">
        <v>515</v>
      </c>
    </row>
    <row r="80" spans="1:22" x14ac:dyDescent="0.2">
      <c r="A80" s="27">
        <v>75</v>
      </c>
      <c r="B80" s="22" t="s">
        <v>269</v>
      </c>
      <c r="C80" s="29">
        <v>43557</v>
      </c>
      <c r="D80" s="23">
        <v>-0.08</v>
      </c>
      <c r="E80" s="23">
        <v>-0.16</v>
      </c>
      <c r="F80" s="27">
        <v>86</v>
      </c>
      <c r="G80" s="23">
        <v>0.15</v>
      </c>
      <c r="H80" s="27">
        <v>42</v>
      </c>
      <c r="I80" s="23">
        <v>6</v>
      </c>
      <c r="J80" s="27" t="s">
        <v>515</v>
      </c>
      <c r="K80" s="27" t="s">
        <v>515</v>
      </c>
      <c r="L80" s="27" t="s">
        <v>515</v>
      </c>
      <c r="M80" s="27">
        <v>1</v>
      </c>
      <c r="N80" s="27">
        <v>9</v>
      </c>
      <c r="O80" s="27">
        <v>21</v>
      </c>
      <c r="P80" s="27">
        <v>35</v>
      </c>
      <c r="Q80" s="27">
        <v>26</v>
      </c>
      <c r="R80" s="27">
        <v>8</v>
      </c>
      <c r="S80" s="27" t="s">
        <v>515</v>
      </c>
      <c r="T80" s="27" t="s">
        <v>515</v>
      </c>
      <c r="U80" s="27" t="s">
        <v>515</v>
      </c>
      <c r="V80" s="27" t="s">
        <v>515</v>
      </c>
    </row>
    <row r="81" spans="1:22" x14ac:dyDescent="0.2">
      <c r="A81" s="24" t="s">
        <v>497</v>
      </c>
      <c r="B81" s="25" t="s">
        <v>0</v>
      </c>
      <c r="C81" s="24" t="s">
        <v>498</v>
      </c>
      <c r="D81" s="26" t="s">
        <v>496</v>
      </c>
      <c r="E81" s="26" t="s">
        <v>499</v>
      </c>
      <c r="F81" s="24" t="s">
        <v>497</v>
      </c>
      <c r="G81" s="26" t="s">
        <v>500</v>
      </c>
      <c r="H81" s="24" t="s">
        <v>497</v>
      </c>
      <c r="I81" s="26" t="s">
        <v>501</v>
      </c>
      <c r="J81" s="26" t="s">
        <v>502</v>
      </c>
      <c r="K81" s="26" t="s">
        <v>503</v>
      </c>
      <c r="L81" s="26" t="s">
        <v>504</v>
      </c>
      <c r="M81" s="26" t="s">
        <v>505</v>
      </c>
      <c r="N81" s="26" t="s">
        <v>506</v>
      </c>
      <c r="O81" s="26" t="s">
        <v>507</v>
      </c>
      <c r="P81" s="26" t="s">
        <v>508</v>
      </c>
      <c r="Q81" s="26" t="s">
        <v>509</v>
      </c>
      <c r="R81" s="26" t="s">
        <v>510</v>
      </c>
      <c r="S81" s="26" t="s">
        <v>511</v>
      </c>
      <c r="T81" s="26" t="s">
        <v>512</v>
      </c>
      <c r="U81" s="26" t="s">
        <v>513</v>
      </c>
      <c r="V81" s="26" t="s">
        <v>514</v>
      </c>
    </row>
    <row r="82" spans="1:22" x14ac:dyDescent="0.2">
      <c r="A82" s="27">
        <v>76</v>
      </c>
      <c r="B82" s="22" t="s">
        <v>453</v>
      </c>
      <c r="C82" s="29">
        <v>43525</v>
      </c>
      <c r="D82" s="23">
        <v>-0.08</v>
      </c>
      <c r="E82" s="23">
        <v>-0.57999999999999996</v>
      </c>
      <c r="F82" s="27">
        <v>112</v>
      </c>
      <c r="G82" s="23">
        <v>0.31</v>
      </c>
      <c r="H82" s="27">
        <v>31</v>
      </c>
      <c r="I82" s="23">
        <v>3.8</v>
      </c>
      <c r="J82" s="27" t="s">
        <v>515</v>
      </c>
      <c r="K82" s="27">
        <v>2</v>
      </c>
      <c r="L82" s="27">
        <v>13</v>
      </c>
      <c r="M82" s="27">
        <v>28</v>
      </c>
      <c r="N82" s="27">
        <v>26</v>
      </c>
      <c r="O82" s="27">
        <v>21</v>
      </c>
      <c r="P82" s="27">
        <v>9</v>
      </c>
      <c r="Q82" s="27">
        <v>1</v>
      </c>
      <c r="R82" s="27" t="s">
        <v>515</v>
      </c>
      <c r="S82" s="27" t="s">
        <v>515</v>
      </c>
      <c r="T82" s="27" t="s">
        <v>515</v>
      </c>
      <c r="U82" s="27" t="s">
        <v>515</v>
      </c>
      <c r="V82" s="27" t="s">
        <v>515</v>
      </c>
    </row>
    <row r="83" spans="1:22" x14ac:dyDescent="0.2">
      <c r="A83" s="27">
        <v>77</v>
      </c>
      <c r="B83" s="22" t="s">
        <v>167</v>
      </c>
      <c r="C83" s="29">
        <v>43525</v>
      </c>
      <c r="D83" s="23">
        <v>-0.09</v>
      </c>
      <c r="E83" s="23">
        <v>0.42</v>
      </c>
      <c r="F83" s="27">
        <v>37</v>
      </c>
      <c r="G83" s="23">
        <v>-0.5</v>
      </c>
      <c r="H83" s="27">
        <v>98</v>
      </c>
      <c r="I83" s="23">
        <v>4.5</v>
      </c>
      <c r="J83" s="27" t="s">
        <v>515</v>
      </c>
      <c r="K83" s="27">
        <v>1</v>
      </c>
      <c r="L83" s="27">
        <v>6</v>
      </c>
      <c r="M83" s="27">
        <v>17</v>
      </c>
      <c r="N83" s="27">
        <v>30</v>
      </c>
      <c r="O83" s="27">
        <v>25</v>
      </c>
      <c r="P83" s="27">
        <v>15</v>
      </c>
      <c r="Q83" s="27">
        <v>5</v>
      </c>
      <c r="R83" s="27">
        <v>1</v>
      </c>
      <c r="S83" s="27" t="s">
        <v>515</v>
      </c>
      <c r="T83" s="27" t="s">
        <v>515</v>
      </c>
      <c r="U83" s="27" t="s">
        <v>515</v>
      </c>
      <c r="V83" s="27" t="s">
        <v>515</v>
      </c>
    </row>
    <row r="84" spans="1:22" x14ac:dyDescent="0.2">
      <c r="A84" s="27">
        <v>78</v>
      </c>
      <c r="B84" s="22" t="s">
        <v>327</v>
      </c>
      <c r="C84" s="29">
        <v>43469</v>
      </c>
      <c r="D84" s="23">
        <v>-0.13</v>
      </c>
      <c r="E84" s="23">
        <v>-0.06</v>
      </c>
      <c r="F84" s="27">
        <v>80</v>
      </c>
      <c r="G84" s="23">
        <v>-0.23</v>
      </c>
      <c r="H84" s="27">
        <v>74</v>
      </c>
      <c r="I84" s="23">
        <v>8.4</v>
      </c>
      <c r="J84" s="27" t="s">
        <v>515</v>
      </c>
      <c r="K84" s="27" t="s">
        <v>515</v>
      </c>
      <c r="L84" s="27" t="s">
        <v>515</v>
      </c>
      <c r="M84" s="27" t="s">
        <v>515</v>
      </c>
      <c r="N84" s="27" t="s">
        <v>515</v>
      </c>
      <c r="O84" s="27" t="s">
        <v>515</v>
      </c>
      <c r="P84" s="27">
        <v>5</v>
      </c>
      <c r="Q84" s="27">
        <v>18</v>
      </c>
      <c r="R84" s="27">
        <v>33</v>
      </c>
      <c r="S84" s="27">
        <v>29</v>
      </c>
      <c r="T84" s="27">
        <v>13</v>
      </c>
      <c r="U84" s="27">
        <v>2</v>
      </c>
      <c r="V84" s="27" t="s">
        <v>515</v>
      </c>
    </row>
    <row r="85" spans="1:22" x14ac:dyDescent="0.2">
      <c r="A85" s="27">
        <v>79</v>
      </c>
      <c r="B85" s="22" t="s">
        <v>227</v>
      </c>
      <c r="C85" s="29">
        <v>43498</v>
      </c>
      <c r="D85" s="23">
        <v>-0.14000000000000001</v>
      </c>
      <c r="E85" s="23">
        <v>-0.01</v>
      </c>
      <c r="F85" s="27">
        <v>74</v>
      </c>
      <c r="G85" s="23">
        <v>-0.25</v>
      </c>
      <c r="H85" s="27">
        <v>76</v>
      </c>
      <c r="I85" s="23">
        <v>7</v>
      </c>
      <c r="J85" s="27" t="s">
        <v>515</v>
      </c>
      <c r="K85" s="27" t="s">
        <v>515</v>
      </c>
      <c r="L85" s="27" t="s">
        <v>515</v>
      </c>
      <c r="M85" s="27" t="s">
        <v>515</v>
      </c>
      <c r="N85" s="27">
        <v>2</v>
      </c>
      <c r="O85" s="27">
        <v>8</v>
      </c>
      <c r="P85" s="27">
        <v>23</v>
      </c>
      <c r="Q85" s="27">
        <v>35</v>
      </c>
      <c r="R85" s="27">
        <v>25</v>
      </c>
      <c r="S85" s="27">
        <v>7</v>
      </c>
      <c r="T85" s="27" t="s">
        <v>515</v>
      </c>
      <c r="U85" s="27" t="s">
        <v>515</v>
      </c>
      <c r="V85" s="27" t="s">
        <v>515</v>
      </c>
    </row>
    <row r="86" spans="1:22" x14ac:dyDescent="0.2">
      <c r="A86" s="27">
        <v>80</v>
      </c>
      <c r="B86" s="22" t="s">
        <v>27</v>
      </c>
      <c r="C86" s="29">
        <v>43468</v>
      </c>
      <c r="D86" s="23">
        <v>-0.18</v>
      </c>
      <c r="E86" s="23">
        <v>-0.06</v>
      </c>
      <c r="F86" s="27">
        <v>81</v>
      </c>
      <c r="G86" s="23">
        <v>-0.39</v>
      </c>
      <c r="H86" s="27">
        <v>83</v>
      </c>
      <c r="I86" s="23">
        <v>5.0999999999999996</v>
      </c>
      <c r="J86" s="27" t="s">
        <v>515</v>
      </c>
      <c r="K86" s="27" t="s">
        <v>515</v>
      </c>
      <c r="L86" s="27" t="s">
        <v>515</v>
      </c>
      <c r="M86" s="27">
        <v>7</v>
      </c>
      <c r="N86" s="27">
        <v>26</v>
      </c>
      <c r="O86" s="27">
        <v>33</v>
      </c>
      <c r="P86" s="27">
        <v>24</v>
      </c>
      <c r="Q86" s="27">
        <v>8</v>
      </c>
      <c r="R86" s="27">
        <v>2</v>
      </c>
      <c r="S86" s="27" t="s">
        <v>515</v>
      </c>
      <c r="T86" s="27" t="s">
        <v>515</v>
      </c>
      <c r="U86" s="27" t="s">
        <v>515</v>
      </c>
      <c r="V86" s="27" t="s">
        <v>515</v>
      </c>
    </row>
    <row r="87" spans="1:22" x14ac:dyDescent="0.2">
      <c r="A87" s="27">
        <v>81</v>
      </c>
      <c r="B87" s="22" t="s">
        <v>91</v>
      </c>
      <c r="C87" s="29">
        <v>43469</v>
      </c>
      <c r="D87" s="23">
        <v>-0.19</v>
      </c>
      <c r="E87" s="23">
        <v>-0.25</v>
      </c>
      <c r="F87" s="27">
        <v>91</v>
      </c>
      <c r="G87" s="23">
        <v>0.02</v>
      </c>
      <c r="H87" s="27">
        <v>52</v>
      </c>
      <c r="I87" s="23">
        <v>5.7</v>
      </c>
      <c r="J87" s="27" t="s">
        <v>515</v>
      </c>
      <c r="K87" s="27" t="s">
        <v>515</v>
      </c>
      <c r="L87" s="27" t="s">
        <v>515</v>
      </c>
      <c r="M87" s="27" t="s">
        <v>515</v>
      </c>
      <c r="N87" s="27">
        <v>11</v>
      </c>
      <c r="O87" s="27">
        <v>31</v>
      </c>
      <c r="P87" s="27">
        <v>38</v>
      </c>
      <c r="Q87" s="27">
        <v>16</v>
      </c>
      <c r="R87" s="27">
        <v>4</v>
      </c>
      <c r="S87" s="27" t="s">
        <v>515</v>
      </c>
      <c r="T87" s="27" t="s">
        <v>515</v>
      </c>
      <c r="U87" s="27" t="s">
        <v>515</v>
      </c>
      <c r="V87" s="27" t="s">
        <v>515</v>
      </c>
    </row>
    <row r="88" spans="1:22" x14ac:dyDescent="0.2">
      <c r="A88" s="27">
        <v>82</v>
      </c>
      <c r="B88" s="22" t="s">
        <v>388</v>
      </c>
      <c r="C88" s="29">
        <v>43468</v>
      </c>
      <c r="D88" s="23">
        <v>-0.2</v>
      </c>
      <c r="E88" s="23">
        <v>0.26</v>
      </c>
      <c r="F88" s="27">
        <v>46</v>
      </c>
      <c r="G88" s="23">
        <v>-0.63</v>
      </c>
      <c r="H88" s="27">
        <v>106</v>
      </c>
      <c r="I88" s="23">
        <v>6.2</v>
      </c>
      <c r="J88" s="27" t="s">
        <v>515</v>
      </c>
      <c r="K88" s="27" t="s">
        <v>515</v>
      </c>
      <c r="L88" s="27" t="s">
        <v>515</v>
      </c>
      <c r="M88" s="27">
        <v>1</v>
      </c>
      <c r="N88" s="27">
        <v>4</v>
      </c>
      <c r="O88" s="27">
        <v>20</v>
      </c>
      <c r="P88" s="27">
        <v>33</v>
      </c>
      <c r="Q88" s="27">
        <v>28</v>
      </c>
      <c r="R88" s="27">
        <v>10</v>
      </c>
      <c r="S88" s="27">
        <v>3</v>
      </c>
      <c r="T88" s="27">
        <v>1</v>
      </c>
      <c r="U88" s="27" t="s">
        <v>515</v>
      </c>
      <c r="V88" s="27" t="s">
        <v>515</v>
      </c>
    </row>
    <row r="89" spans="1:22" x14ac:dyDescent="0.2">
      <c r="A89" s="27">
        <v>83</v>
      </c>
      <c r="B89" s="22" t="s">
        <v>405</v>
      </c>
      <c r="C89" s="29">
        <v>43470</v>
      </c>
      <c r="D89" s="23">
        <v>-0.2</v>
      </c>
      <c r="E89" s="23">
        <v>0.13</v>
      </c>
      <c r="F89" s="27">
        <v>60</v>
      </c>
      <c r="G89" s="23">
        <v>-0.47</v>
      </c>
      <c r="H89" s="27">
        <v>95</v>
      </c>
      <c r="I89" s="23">
        <v>9.1999999999999993</v>
      </c>
      <c r="J89" s="27" t="s">
        <v>515</v>
      </c>
      <c r="K89" s="27" t="s">
        <v>515</v>
      </c>
      <c r="L89" s="27" t="s">
        <v>515</v>
      </c>
      <c r="M89" s="27" t="s">
        <v>515</v>
      </c>
      <c r="N89" s="27" t="s">
        <v>515</v>
      </c>
      <c r="O89" s="27" t="s">
        <v>515</v>
      </c>
      <c r="P89" s="27">
        <v>1</v>
      </c>
      <c r="Q89" s="27">
        <v>5</v>
      </c>
      <c r="R89" s="27">
        <v>18</v>
      </c>
      <c r="S89" s="27">
        <v>35</v>
      </c>
      <c r="T89" s="27">
        <v>30</v>
      </c>
      <c r="U89" s="27">
        <v>11</v>
      </c>
      <c r="V89" s="27" t="s">
        <v>515</v>
      </c>
    </row>
    <row r="90" spans="1:22" x14ac:dyDescent="0.2">
      <c r="A90" s="27">
        <v>84</v>
      </c>
      <c r="B90" s="22" t="s">
        <v>385</v>
      </c>
      <c r="C90" s="29">
        <v>43525</v>
      </c>
      <c r="D90" s="23">
        <v>-0.21</v>
      </c>
      <c r="E90" s="23">
        <v>0.03</v>
      </c>
      <c r="F90" s="27">
        <v>71</v>
      </c>
      <c r="G90" s="23">
        <v>-0.45</v>
      </c>
      <c r="H90" s="27">
        <v>91</v>
      </c>
      <c r="I90" s="23">
        <v>3.5</v>
      </c>
      <c r="J90" s="27" t="s">
        <v>515</v>
      </c>
      <c r="K90" s="27">
        <v>3</v>
      </c>
      <c r="L90" s="27">
        <v>18</v>
      </c>
      <c r="M90" s="27">
        <v>30</v>
      </c>
      <c r="N90" s="27">
        <v>29</v>
      </c>
      <c r="O90" s="27">
        <v>16</v>
      </c>
      <c r="P90" s="27">
        <v>4</v>
      </c>
      <c r="Q90" s="27" t="s">
        <v>515</v>
      </c>
      <c r="R90" s="27" t="s">
        <v>515</v>
      </c>
      <c r="S90" s="27" t="s">
        <v>515</v>
      </c>
      <c r="T90" s="27" t="s">
        <v>515</v>
      </c>
      <c r="U90" s="27" t="s">
        <v>515</v>
      </c>
      <c r="V90" s="27" t="s">
        <v>515</v>
      </c>
    </row>
    <row r="91" spans="1:22" x14ac:dyDescent="0.2">
      <c r="A91" s="27">
        <v>85</v>
      </c>
      <c r="B91" s="22" t="s">
        <v>83</v>
      </c>
      <c r="C91" s="29">
        <v>43499</v>
      </c>
      <c r="D91" s="23">
        <v>-0.21</v>
      </c>
      <c r="E91" s="23">
        <v>7.0000000000000007E-2</v>
      </c>
      <c r="F91" s="27">
        <v>66</v>
      </c>
      <c r="G91" s="23">
        <v>-0.46</v>
      </c>
      <c r="H91" s="27">
        <v>94</v>
      </c>
      <c r="I91" s="23">
        <v>7.3</v>
      </c>
      <c r="J91" s="27" t="s">
        <v>515</v>
      </c>
      <c r="K91" s="27" t="s">
        <v>515</v>
      </c>
      <c r="L91" s="27" t="s">
        <v>515</v>
      </c>
      <c r="M91" s="27" t="s">
        <v>515</v>
      </c>
      <c r="N91" s="27" t="s">
        <v>515</v>
      </c>
      <c r="O91" s="27">
        <v>2</v>
      </c>
      <c r="P91" s="27">
        <v>18</v>
      </c>
      <c r="Q91" s="27">
        <v>35</v>
      </c>
      <c r="R91" s="27">
        <v>34</v>
      </c>
      <c r="S91" s="27">
        <v>11</v>
      </c>
      <c r="T91" s="27" t="s">
        <v>515</v>
      </c>
      <c r="U91" s="27" t="s">
        <v>515</v>
      </c>
      <c r="V91" s="27" t="s">
        <v>515</v>
      </c>
    </row>
    <row r="92" spans="1:22" x14ac:dyDescent="0.2">
      <c r="A92" s="27">
        <v>86</v>
      </c>
      <c r="B92" s="22" t="s">
        <v>319</v>
      </c>
      <c r="C92" s="29">
        <v>43468</v>
      </c>
      <c r="D92" s="23">
        <v>-0.24</v>
      </c>
      <c r="E92" s="23">
        <v>0.89</v>
      </c>
      <c r="F92" s="27">
        <v>13</v>
      </c>
      <c r="G92" s="23">
        <v>-1.46</v>
      </c>
      <c r="H92" s="27">
        <v>128</v>
      </c>
      <c r="I92" s="23">
        <v>8.6</v>
      </c>
      <c r="J92" s="27" t="s">
        <v>515</v>
      </c>
      <c r="K92" s="27" t="s">
        <v>515</v>
      </c>
      <c r="L92" s="27" t="s">
        <v>515</v>
      </c>
      <c r="M92" s="27" t="s">
        <v>515</v>
      </c>
      <c r="N92" s="27" t="s">
        <v>515</v>
      </c>
      <c r="O92" s="27">
        <v>1</v>
      </c>
      <c r="P92" s="27">
        <v>2</v>
      </c>
      <c r="Q92" s="27">
        <v>11</v>
      </c>
      <c r="R92" s="27">
        <v>28</v>
      </c>
      <c r="S92" s="27">
        <v>39</v>
      </c>
      <c r="T92" s="27">
        <v>19</v>
      </c>
      <c r="U92" s="27" t="s">
        <v>515</v>
      </c>
      <c r="V92" s="27" t="s">
        <v>515</v>
      </c>
    </row>
    <row r="93" spans="1:22" x14ac:dyDescent="0.2">
      <c r="A93" s="27">
        <v>87</v>
      </c>
      <c r="B93" s="22" t="s">
        <v>361</v>
      </c>
      <c r="C93" s="29">
        <v>43498</v>
      </c>
      <c r="D93" s="23">
        <v>-0.25</v>
      </c>
      <c r="E93" s="23">
        <v>-0.37</v>
      </c>
      <c r="F93" s="27">
        <v>99</v>
      </c>
      <c r="G93" s="23">
        <v>-0.12</v>
      </c>
      <c r="H93" s="27">
        <v>66</v>
      </c>
      <c r="I93" s="23">
        <v>6.7</v>
      </c>
      <c r="J93" s="27" t="s">
        <v>515</v>
      </c>
      <c r="K93" s="27" t="s">
        <v>515</v>
      </c>
      <c r="L93" s="27" t="s">
        <v>515</v>
      </c>
      <c r="M93" s="27" t="s">
        <v>515</v>
      </c>
      <c r="N93" s="27">
        <v>3</v>
      </c>
      <c r="O93" s="27">
        <v>10</v>
      </c>
      <c r="P93" s="27">
        <v>22</v>
      </c>
      <c r="Q93" s="27">
        <v>34</v>
      </c>
      <c r="R93" s="27">
        <v>24</v>
      </c>
      <c r="S93" s="27">
        <v>7</v>
      </c>
      <c r="T93" s="27" t="s">
        <v>515</v>
      </c>
      <c r="U93" s="27" t="s">
        <v>515</v>
      </c>
      <c r="V93" s="27" t="s">
        <v>515</v>
      </c>
    </row>
    <row r="94" spans="1:22" x14ac:dyDescent="0.2">
      <c r="A94" s="27">
        <v>88</v>
      </c>
      <c r="B94" s="22" t="s">
        <v>54</v>
      </c>
      <c r="C94" s="29">
        <v>43499</v>
      </c>
      <c r="D94" s="23">
        <v>-0.25</v>
      </c>
      <c r="E94" s="23">
        <v>-0.02</v>
      </c>
      <c r="F94" s="27">
        <v>77</v>
      </c>
      <c r="G94" s="23">
        <v>-0.45</v>
      </c>
      <c r="H94" s="27">
        <v>92</v>
      </c>
      <c r="I94" s="23">
        <v>5.5</v>
      </c>
      <c r="J94" s="27" t="s">
        <v>515</v>
      </c>
      <c r="K94" s="27" t="s">
        <v>515</v>
      </c>
      <c r="L94" s="27" t="s">
        <v>515</v>
      </c>
      <c r="M94" s="27">
        <v>3</v>
      </c>
      <c r="N94" s="27">
        <v>16</v>
      </c>
      <c r="O94" s="27">
        <v>32</v>
      </c>
      <c r="P94" s="27">
        <v>31</v>
      </c>
      <c r="Q94" s="27">
        <v>15</v>
      </c>
      <c r="R94" s="27">
        <v>3</v>
      </c>
      <c r="S94" s="27" t="s">
        <v>515</v>
      </c>
      <c r="T94" s="27" t="s">
        <v>515</v>
      </c>
      <c r="U94" s="27" t="s">
        <v>515</v>
      </c>
      <c r="V94" s="27" t="s">
        <v>515</v>
      </c>
    </row>
    <row r="95" spans="1:22" x14ac:dyDescent="0.2">
      <c r="A95" s="27">
        <v>89</v>
      </c>
      <c r="B95" s="22" t="s">
        <v>519</v>
      </c>
      <c r="C95" s="29">
        <v>43468</v>
      </c>
      <c r="D95" s="23">
        <v>-0.26</v>
      </c>
      <c r="E95" s="23">
        <v>0.08</v>
      </c>
      <c r="F95" s="27">
        <v>65</v>
      </c>
      <c r="G95" s="23">
        <v>-0.61</v>
      </c>
      <c r="H95" s="27">
        <v>105</v>
      </c>
      <c r="I95" s="23">
        <v>5.8</v>
      </c>
      <c r="J95" s="27" t="s">
        <v>515</v>
      </c>
      <c r="K95" s="27" t="s">
        <v>515</v>
      </c>
      <c r="L95" s="27" t="s">
        <v>515</v>
      </c>
      <c r="M95" s="27">
        <v>1</v>
      </c>
      <c r="N95" s="27">
        <v>10</v>
      </c>
      <c r="O95" s="27">
        <v>29</v>
      </c>
      <c r="P95" s="27">
        <v>32</v>
      </c>
      <c r="Q95" s="27">
        <v>20</v>
      </c>
      <c r="R95" s="27">
        <v>7</v>
      </c>
      <c r="S95" s="27">
        <v>1</v>
      </c>
      <c r="T95" s="27" t="s">
        <v>515</v>
      </c>
      <c r="U95" s="27" t="s">
        <v>515</v>
      </c>
      <c r="V95" s="27" t="s">
        <v>515</v>
      </c>
    </row>
    <row r="96" spans="1:22" x14ac:dyDescent="0.2">
      <c r="A96" s="27">
        <v>90</v>
      </c>
      <c r="B96" s="22" t="s">
        <v>439</v>
      </c>
      <c r="C96" s="29">
        <v>43498</v>
      </c>
      <c r="D96" s="23">
        <v>-0.26</v>
      </c>
      <c r="E96" s="23">
        <v>-0.05</v>
      </c>
      <c r="F96" s="27">
        <v>78</v>
      </c>
      <c r="G96" s="23">
        <v>-0.49</v>
      </c>
      <c r="H96" s="27">
        <v>96</v>
      </c>
      <c r="I96" s="23">
        <v>6.3</v>
      </c>
      <c r="J96" s="27" t="s">
        <v>515</v>
      </c>
      <c r="K96" s="27" t="s">
        <v>515</v>
      </c>
      <c r="L96" s="27" t="s">
        <v>515</v>
      </c>
      <c r="M96" s="27" t="s">
        <v>515</v>
      </c>
      <c r="N96" s="27">
        <v>5</v>
      </c>
      <c r="O96" s="27">
        <v>16</v>
      </c>
      <c r="P96" s="27">
        <v>32</v>
      </c>
      <c r="Q96" s="27">
        <v>35</v>
      </c>
      <c r="R96" s="27">
        <v>12</v>
      </c>
      <c r="S96" s="27" t="s">
        <v>515</v>
      </c>
      <c r="T96" s="27" t="s">
        <v>515</v>
      </c>
      <c r="U96" s="27" t="s">
        <v>515</v>
      </c>
      <c r="V96" s="27" t="s">
        <v>515</v>
      </c>
    </row>
    <row r="97" spans="1:22" x14ac:dyDescent="0.2">
      <c r="A97" s="24" t="s">
        <v>497</v>
      </c>
      <c r="B97" s="25" t="s">
        <v>0</v>
      </c>
      <c r="C97" s="24" t="s">
        <v>498</v>
      </c>
      <c r="D97" s="26" t="s">
        <v>496</v>
      </c>
      <c r="E97" s="26" t="s">
        <v>499</v>
      </c>
      <c r="F97" s="24" t="s">
        <v>497</v>
      </c>
      <c r="G97" s="26" t="s">
        <v>500</v>
      </c>
      <c r="H97" s="24" t="s">
        <v>497</v>
      </c>
      <c r="I97" s="26" t="s">
        <v>501</v>
      </c>
      <c r="J97" s="26" t="s">
        <v>502</v>
      </c>
      <c r="K97" s="26" t="s">
        <v>503</v>
      </c>
      <c r="L97" s="26" t="s">
        <v>504</v>
      </c>
      <c r="M97" s="26" t="s">
        <v>505</v>
      </c>
      <c r="N97" s="26" t="s">
        <v>506</v>
      </c>
      <c r="O97" s="26" t="s">
        <v>507</v>
      </c>
      <c r="P97" s="26" t="s">
        <v>508</v>
      </c>
      <c r="Q97" s="26" t="s">
        <v>509</v>
      </c>
      <c r="R97" s="26" t="s">
        <v>510</v>
      </c>
      <c r="S97" s="26" t="s">
        <v>511</v>
      </c>
      <c r="T97" s="26" t="s">
        <v>512</v>
      </c>
      <c r="U97" s="26" t="s">
        <v>513</v>
      </c>
      <c r="V97" s="26" t="s">
        <v>514</v>
      </c>
    </row>
    <row r="98" spans="1:22" x14ac:dyDescent="0.2">
      <c r="A98" s="27">
        <v>91</v>
      </c>
      <c r="B98" s="22" t="s">
        <v>103</v>
      </c>
      <c r="C98" s="29">
        <v>43499</v>
      </c>
      <c r="D98" s="23">
        <v>-0.28000000000000003</v>
      </c>
      <c r="E98" s="23">
        <v>-0.44</v>
      </c>
      <c r="F98" s="27">
        <v>105</v>
      </c>
      <c r="G98" s="23">
        <v>-0.18</v>
      </c>
      <c r="H98" s="27">
        <v>71</v>
      </c>
      <c r="I98" s="23">
        <v>5.2</v>
      </c>
      <c r="J98" s="27" t="s">
        <v>515</v>
      </c>
      <c r="K98" s="27" t="s">
        <v>515</v>
      </c>
      <c r="L98" s="27" t="s">
        <v>515</v>
      </c>
      <c r="M98" s="27">
        <v>4</v>
      </c>
      <c r="N98" s="27">
        <v>21</v>
      </c>
      <c r="O98" s="27">
        <v>38</v>
      </c>
      <c r="P98" s="27">
        <v>26</v>
      </c>
      <c r="Q98" s="27">
        <v>10</v>
      </c>
      <c r="R98" s="27">
        <v>1</v>
      </c>
      <c r="S98" s="27" t="s">
        <v>515</v>
      </c>
      <c r="T98" s="27" t="s">
        <v>515</v>
      </c>
      <c r="U98" s="27" t="s">
        <v>515</v>
      </c>
      <c r="V98" s="27" t="s">
        <v>515</v>
      </c>
    </row>
    <row r="99" spans="1:22" x14ac:dyDescent="0.2">
      <c r="A99" s="27">
        <v>92</v>
      </c>
      <c r="B99" s="22" t="s">
        <v>137</v>
      </c>
      <c r="C99" s="29">
        <v>43498</v>
      </c>
      <c r="D99" s="23">
        <v>-0.28000000000000003</v>
      </c>
      <c r="E99" s="23">
        <v>-0.11</v>
      </c>
      <c r="F99" s="27">
        <v>84</v>
      </c>
      <c r="G99" s="23">
        <v>-0.53</v>
      </c>
      <c r="H99" s="27">
        <v>99</v>
      </c>
      <c r="I99" s="23">
        <v>5</v>
      </c>
      <c r="J99" s="27" t="s">
        <v>515</v>
      </c>
      <c r="K99" s="27" t="s">
        <v>515</v>
      </c>
      <c r="L99" s="27">
        <v>1</v>
      </c>
      <c r="M99" s="27">
        <v>10</v>
      </c>
      <c r="N99" s="27">
        <v>25</v>
      </c>
      <c r="O99" s="27">
        <v>30</v>
      </c>
      <c r="P99" s="27">
        <v>24</v>
      </c>
      <c r="Q99" s="27">
        <v>8</v>
      </c>
      <c r="R99" s="27">
        <v>2</v>
      </c>
      <c r="S99" s="27" t="s">
        <v>515</v>
      </c>
      <c r="T99" s="27" t="s">
        <v>515</v>
      </c>
      <c r="U99" s="27" t="s">
        <v>515</v>
      </c>
      <c r="V99" s="27" t="s">
        <v>515</v>
      </c>
    </row>
    <row r="100" spans="1:22" x14ac:dyDescent="0.2">
      <c r="A100" s="27">
        <v>93</v>
      </c>
      <c r="B100" s="22" t="s">
        <v>173</v>
      </c>
      <c r="C100" s="29">
        <v>43499</v>
      </c>
      <c r="D100" s="23">
        <v>-0.28000000000000003</v>
      </c>
      <c r="E100" s="23">
        <v>-0.38</v>
      </c>
      <c r="F100" s="27">
        <v>100</v>
      </c>
      <c r="G100" s="23">
        <v>-0.26</v>
      </c>
      <c r="H100" s="27">
        <v>77</v>
      </c>
      <c r="I100" s="23">
        <v>8</v>
      </c>
      <c r="J100" s="27" t="s">
        <v>515</v>
      </c>
      <c r="K100" s="27" t="s">
        <v>515</v>
      </c>
      <c r="L100" s="27" t="s">
        <v>515</v>
      </c>
      <c r="M100" s="27" t="s">
        <v>515</v>
      </c>
      <c r="N100" s="27" t="s">
        <v>515</v>
      </c>
      <c r="O100" s="27">
        <v>1</v>
      </c>
      <c r="P100" s="27">
        <v>4</v>
      </c>
      <c r="Q100" s="27">
        <v>22</v>
      </c>
      <c r="R100" s="27">
        <v>40</v>
      </c>
      <c r="S100" s="27">
        <v>30</v>
      </c>
      <c r="T100" s="27">
        <v>3</v>
      </c>
      <c r="U100" s="27" t="s">
        <v>515</v>
      </c>
      <c r="V100" s="27" t="s">
        <v>515</v>
      </c>
    </row>
    <row r="101" spans="1:22" x14ac:dyDescent="0.2">
      <c r="A101" s="27">
        <v>94</v>
      </c>
      <c r="B101" s="22" t="s">
        <v>189</v>
      </c>
      <c r="C101" s="29">
        <v>43469</v>
      </c>
      <c r="D101" s="23">
        <v>-0.28999999999999998</v>
      </c>
      <c r="E101" s="23">
        <v>-0.24</v>
      </c>
      <c r="F101" s="27">
        <v>90</v>
      </c>
      <c r="G101" s="23">
        <v>-0.43</v>
      </c>
      <c r="H101" s="27">
        <v>87</v>
      </c>
      <c r="I101" s="23">
        <v>8.9</v>
      </c>
      <c r="J101" s="27" t="s">
        <v>515</v>
      </c>
      <c r="K101" s="27" t="s">
        <v>515</v>
      </c>
      <c r="L101" s="27" t="s">
        <v>515</v>
      </c>
      <c r="M101" s="27" t="s">
        <v>515</v>
      </c>
      <c r="N101" s="27" t="s">
        <v>515</v>
      </c>
      <c r="O101" s="27" t="s">
        <v>515</v>
      </c>
      <c r="P101" s="27">
        <v>1</v>
      </c>
      <c r="Q101" s="27">
        <v>5</v>
      </c>
      <c r="R101" s="27">
        <v>25</v>
      </c>
      <c r="S101" s="27">
        <v>43</v>
      </c>
      <c r="T101" s="27">
        <v>26</v>
      </c>
      <c r="U101" s="27" t="s">
        <v>515</v>
      </c>
      <c r="V101" s="27" t="s">
        <v>515</v>
      </c>
    </row>
    <row r="102" spans="1:22" x14ac:dyDescent="0.2">
      <c r="A102" s="27">
        <v>95</v>
      </c>
      <c r="B102" s="22" t="s">
        <v>518</v>
      </c>
      <c r="C102" s="29">
        <v>43498</v>
      </c>
      <c r="D102" s="23">
        <v>-0.3</v>
      </c>
      <c r="E102" s="23">
        <v>0.2</v>
      </c>
      <c r="F102" s="27">
        <v>51</v>
      </c>
      <c r="G102" s="23">
        <v>-0.87</v>
      </c>
      <c r="H102" s="27">
        <v>116</v>
      </c>
      <c r="I102" s="23">
        <v>5.7</v>
      </c>
      <c r="J102" s="27" t="s">
        <v>515</v>
      </c>
      <c r="K102" s="27" t="s">
        <v>515</v>
      </c>
      <c r="L102" s="27" t="s">
        <v>515</v>
      </c>
      <c r="M102" s="27">
        <v>3</v>
      </c>
      <c r="N102" s="27">
        <v>12</v>
      </c>
      <c r="O102" s="27">
        <v>27</v>
      </c>
      <c r="P102" s="27">
        <v>32</v>
      </c>
      <c r="Q102" s="27">
        <v>20</v>
      </c>
      <c r="R102" s="27">
        <v>5</v>
      </c>
      <c r="S102" s="27">
        <v>1</v>
      </c>
      <c r="T102" s="27" t="s">
        <v>515</v>
      </c>
      <c r="U102" s="27" t="s">
        <v>515</v>
      </c>
      <c r="V102" s="27" t="s">
        <v>515</v>
      </c>
    </row>
    <row r="103" spans="1:22" x14ac:dyDescent="0.2">
      <c r="A103" s="27">
        <v>96</v>
      </c>
      <c r="B103" s="22" t="s">
        <v>201</v>
      </c>
      <c r="C103" s="29">
        <v>43526</v>
      </c>
      <c r="D103" s="23">
        <v>-0.31</v>
      </c>
      <c r="E103" s="23">
        <v>-0.56999999999999995</v>
      </c>
      <c r="F103" s="27">
        <v>110</v>
      </c>
      <c r="G103" s="23">
        <v>-0.02</v>
      </c>
      <c r="H103" s="27">
        <v>59</v>
      </c>
      <c r="I103" s="23">
        <v>3.8</v>
      </c>
      <c r="J103" s="27" t="s">
        <v>515</v>
      </c>
      <c r="K103" s="27" t="s">
        <v>515</v>
      </c>
      <c r="L103" s="27">
        <v>6</v>
      </c>
      <c r="M103" s="27">
        <v>30</v>
      </c>
      <c r="N103" s="27">
        <v>42</v>
      </c>
      <c r="O103" s="27">
        <v>18</v>
      </c>
      <c r="P103" s="27">
        <v>4</v>
      </c>
      <c r="Q103" s="27" t="s">
        <v>515</v>
      </c>
      <c r="R103" s="27" t="s">
        <v>515</v>
      </c>
      <c r="S103" s="27" t="s">
        <v>515</v>
      </c>
      <c r="T103" s="27" t="s">
        <v>515</v>
      </c>
      <c r="U103" s="27" t="s">
        <v>515</v>
      </c>
      <c r="V103" s="27" t="s">
        <v>515</v>
      </c>
    </row>
    <row r="104" spans="1:22" x14ac:dyDescent="0.2">
      <c r="A104" s="27">
        <v>97</v>
      </c>
      <c r="B104" s="22" t="s">
        <v>495</v>
      </c>
      <c r="C104" s="29">
        <v>43468</v>
      </c>
      <c r="D104" s="23">
        <v>-0.32</v>
      </c>
      <c r="E104" s="23">
        <v>0.52</v>
      </c>
      <c r="F104" s="27">
        <v>32</v>
      </c>
      <c r="G104" s="23">
        <v>-0.96</v>
      </c>
      <c r="H104" s="27">
        <v>120</v>
      </c>
      <c r="I104" s="23">
        <v>6.7</v>
      </c>
      <c r="J104" s="27" t="s">
        <v>515</v>
      </c>
      <c r="K104" s="27" t="s">
        <v>515</v>
      </c>
      <c r="L104" s="27" t="s">
        <v>515</v>
      </c>
      <c r="M104" s="27" t="s">
        <v>515</v>
      </c>
      <c r="N104" s="27">
        <v>2</v>
      </c>
      <c r="O104" s="27">
        <v>12</v>
      </c>
      <c r="P104" s="27">
        <v>28</v>
      </c>
      <c r="Q104" s="27">
        <v>34</v>
      </c>
      <c r="R104" s="27">
        <v>18</v>
      </c>
      <c r="S104" s="27">
        <v>5</v>
      </c>
      <c r="T104" s="27">
        <v>1</v>
      </c>
      <c r="U104" s="27" t="s">
        <v>515</v>
      </c>
      <c r="V104" s="27" t="s">
        <v>515</v>
      </c>
    </row>
    <row r="105" spans="1:22" x14ac:dyDescent="0.2">
      <c r="A105" s="27">
        <v>98</v>
      </c>
      <c r="B105" s="22" t="s">
        <v>94</v>
      </c>
      <c r="C105" s="29">
        <v>43499</v>
      </c>
      <c r="D105" s="23">
        <v>-0.34</v>
      </c>
      <c r="E105" s="23">
        <v>-0.4</v>
      </c>
      <c r="F105" s="27">
        <v>101</v>
      </c>
      <c r="G105" s="23">
        <v>-0.15</v>
      </c>
      <c r="H105" s="27">
        <v>69</v>
      </c>
      <c r="I105" s="23">
        <v>6.2</v>
      </c>
      <c r="J105" s="27" t="s">
        <v>515</v>
      </c>
      <c r="K105" s="27" t="s">
        <v>515</v>
      </c>
      <c r="L105" s="27" t="s">
        <v>515</v>
      </c>
      <c r="M105" s="27">
        <v>1</v>
      </c>
      <c r="N105" s="27">
        <v>5</v>
      </c>
      <c r="O105" s="27">
        <v>19</v>
      </c>
      <c r="P105" s="27">
        <v>35</v>
      </c>
      <c r="Q105" s="27">
        <v>32</v>
      </c>
      <c r="R105" s="27">
        <v>8</v>
      </c>
      <c r="S105" s="27" t="s">
        <v>515</v>
      </c>
      <c r="T105" s="27" t="s">
        <v>515</v>
      </c>
      <c r="U105" s="27" t="s">
        <v>515</v>
      </c>
      <c r="V105" s="27" t="s">
        <v>515</v>
      </c>
    </row>
    <row r="106" spans="1:22" x14ac:dyDescent="0.2">
      <c r="A106" s="27">
        <v>99</v>
      </c>
      <c r="B106" s="22" t="s">
        <v>433</v>
      </c>
      <c r="C106" s="29">
        <v>43469</v>
      </c>
      <c r="D106" s="23">
        <v>-0.35</v>
      </c>
      <c r="E106" s="23">
        <v>-0.22</v>
      </c>
      <c r="F106" s="27">
        <v>89</v>
      </c>
      <c r="G106" s="23">
        <v>-0.59</v>
      </c>
      <c r="H106" s="27">
        <v>102</v>
      </c>
      <c r="I106" s="23">
        <v>8.1</v>
      </c>
      <c r="J106" s="27" t="s">
        <v>515</v>
      </c>
      <c r="K106" s="27" t="s">
        <v>515</v>
      </c>
      <c r="L106" s="27" t="s">
        <v>515</v>
      </c>
      <c r="M106" s="27" t="s">
        <v>515</v>
      </c>
      <c r="N106" s="27" t="s">
        <v>515</v>
      </c>
      <c r="O106" s="27" t="s">
        <v>515</v>
      </c>
      <c r="P106" s="27">
        <v>5</v>
      </c>
      <c r="Q106" s="27">
        <v>22</v>
      </c>
      <c r="R106" s="27">
        <v>37</v>
      </c>
      <c r="S106" s="27">
        <v>30</v>
      </c>
      <c r="T106" s="27">
        <v>6</v>
      </c>
      <c r="U106" s="27" t="s">
        <v>515</v>
      </c>
      <c r="V106" s="27" t="s">
        <v>515</v>
      </c>
    </row>
    <row r="107" spans="1:22" x14ac:dyDescent="0.2">
      <c r="A107" s="27">
        <v>100</v>
      </c>
      <c r="B107" s="22" t="s">
        <v>108</v>
      </c>
      <c r="C107" s="29">
        <v>43468</v>
      </c>
      <c r="D107" s="23">
        <v>-0.36</v>
      </c>
      <c r="E107" s="23">
        <v>0.15</v>
      </c>
      <c r="F107" s="27">
        <v>57</v>
      </c>
      <c r="G107" s="23">
        <v>-0.96</v>
      </c>
      <c r="H107" s="27">
        <v>119</v>
      </c>
      <c r="I107" s="23">
        <v>6.2</v>
      </c>
      <c r="J107" s="27" t="s">
        <v>515</v>
      </c>
      <c r="K107" s="27" t="s">
        <v>515</v>
      </c>
      <c r="L107" s="27" t="s">
        <v>515</v>
      </c>
      <c r="M107" s="27">
        <v>1</v>
      </c>
      <c r="N107" s="27">
        <v>8</v>
      </c>
      <c r="O107" s="27">
        <v>21</v>
      </c>
      <c r="P107" s="27">
        <v>33</v>
      </c>
      <c r="Q107" s="27">
        <v>25</v>
      </c>
      <c r="R107" s="27">
        <v>10</v>
      </c>
      <c r="S107" s="27">
        <v>2</v>
      </c>
      <c r="T107" s="27" t="s">
        <v>515</v>
      </c>
      <c r="U107" s="27" t="s">
        <v>515</v>
      </c>
      <c r="V107" s="27" t="s">
        <v>515</v>
      </c>
    </row>
    <row r="108" spans="1:22" x14ac:dyDescent="0.2">
      <c r="A108" s="27">
        <v>101</v>
      </c>
      <c r="B108" s="22" t="s">
        <v>50</v>
      </c>
      <c r="C108" s="29">
        <v>43468</v>
      </c>
      <c r="D108" s="23">
        <v>-0.36</v>
      </c>
      <c r="E108" s="23">
        <v>-0.22</v>
      </c>
      <c r="F108" s="27">
        <v>88</v>
      </c>
      <c r="G108" s="23">
        <v>-0.49</v>
      </c>
      <c r="H108" s="27">
        <v>97</v>
      </c>
      <c r="I108" s="23">
        <v>8.9</v>
      </c>
      <c r="J108" s="27" t="s">
        <v>515</v>
      </c>
      <c r="K108" s="27" t="s">
        <v>515</v>
      </c>
      <c r="L108" s="27" t="s">
        <v>515</v>
      </c>
      <c r="M108" s="27" t="s">
        <v>515</v>
      </c>
      <c r="N108" s="27" t="s">
        <v>515</v>
      </c>
      <c r="O108" s="27" t="s">
        <v>515</v>
      </c>
      <c r="P108" s="27">
        <v>1</v>
      </c>
      <c r="Q108" s="27">
        <v>6</v>
      </c>
      <c r="R108" s="27">
        <v>23</v>
      </c>
      <c r="S108" s="27">
        <v>44</v>
      </c>
      <c r="T108" s="27">
        <v>26</v>
      </c>
      <c r="U108" s="27" t="s">
        <v>515</v>
      </c>
      <c r="V108" s="27" t="s">
        <v>515</v>
      </c>
    </row>
    <row r="109" spans="1:22" x14ac:dyDescent="0.2">
      <c r="A109" s="27">
        <v>102</v>
      </c>
      <c r="B109" s="22" t="s">
        <v>352</v>
      </c>
      <c r="C109" s="29">
        <v>43468</v>
      </c>
      <c r="D109" s="23">
        <v>-0.38</v>
      </c>
      <c r="E109" s="23">
        <v>-0.69</v>
      </c>
      <c r="F109" s="27">
        <v>114</v>
      </c>
      <c r="G109" s="23">
        <v>-0.17</v>
      </c>
      <c r="H109" s="27">
        <v>70</v>
      </c>
      <c r="I109" s="23">
        <v>8</v>
      </c>
      <c r="J109" s="27" t="s">
        <v>515</v>
      </c>
      <c r="K109" s="27" t="s">
        <v>515</v>
      </c>
      <c r="L109" s="27" t="s">
        <v>515</v>
      </c>
      <c r="M109" s="27" t="s">
        <v>515</v>
      </c>
      <c r="N109" s="27" t="s">
        <v>515</v>
      </c>
      <c r="O109" s="27">
        <v>1</v>
      </c>
      <c r="P109" s="27">
        <v>6</v>
      </c>
      <c r="Q109" s="27">
        <v>22</v>
      </c>
      <c r="R109" s="27">
        <v>39</v>
      </c>
      <c r="S109" s="27">
        <v>25</v>
      </c>
      <c r="T109" s="27">
        <v>7</v>
      </c>
      <c r="U109" s="27" t="s">
        <v>515</v>
      </c>
      <c r="V109" s="27" t="s">
        <v>515</v>
      </c>
    </row>
    <row r="110" spans="1:22" x14ac:dyDescent="0.2">
      <c r="A110" s="27">
        <v>103</v>
      </c>
      <c r="B110" s="22" t="s">
        <v>239</v>
      </c>
      <c r="C110" s="29">
        <v>43468</v>
      </c>
      <c r="D110" s="23">
        <v>-0.4</v>
      </c>
      <c r="E110" s="23">
        <v>-0.43</v>
      </c>
      <c r="F110" s="27">
        <v>104</v>
      </c>
      <c r="G110" s="23">
        <v>-0.35</v>
      </c>
      <c r="H110" s="27">
        <v>82</v>
      </c>
      <c r="I110" s="23">
        <v>6</v>
      </c>
      <c r="J110" s="27" t="s">
        <v>515</v>
      </c>
      <c r="K110" s="27" t="s">
        <v>515</v>
      </c>
      <c r="L110" s="27" t="s">
        <v>515</v>
      </c>
      <c r="M110" s="27">
        <v>1</v>
      </c>
      <c r="N110" s="27">
        <v>8</v>
      </c>
      <c r="O110" s="27">
        <v>26</v>
      </c>
      <c r="P110" s="27">
        <v>35</v>
      </c>
      <c r="Q110" s="27">
        <v>22</v>
      </c>
      <c r="R110" s="27">
        <v>7</v>
      </c>
      <c r="S110" s="27">
        <v>1</v>
      </c>
      <c r="T110" s="27" t="s">
        <v>515</v>
      </c>
      <c r="U110" s="27" t="s">
        <v>515</v>
      </c>
      <c r="V110" s="27" t="s">
        <v>515</v>
      </c>
    </row>
    <row r="111" spans="1:22" x14ac:dyDescent="0.2">
      <c r="A111" s="27">
        <v>104</v>
      </c>
      <c r="B111" s="22" t="s">
        <v>164</v>
      </c>
      <c r="C111" s="29">
        <v>43468</v>
      </c>
      <c r="D111" s="23">
        <v>-0.4</v>
      </c>
      <c r="E111" s="23">
        <v>-0.32</v>
      </c>
      <c r="F111" s="27">
        <v>97</v>
      </c>
      <c r="G111" s="23">
        <v>-0.39</v>
      </c>
      <c r="H111" s="27">
        <v>84</v>
      </c>
      <c r="I111" s="23">
        <v>8.3000000000000007</v>
      </c>
      <c r="J111" s="27" t="s">
        <v>515</v>
      </c>
      <c r="K111" s="27" t="s">
        <v>515</v>
      </c>
      <c r="L111" s="27" t="s">
        <v>515</v>
      </c>
      <c r="M111" s="27" t="s">
        <v>515</v>
      </c>
      <c r="N111" s="27" t="s">
        <v>515</v>
      </c>
      <c r="O111" s="27" t="s">
        <v>515</v>
      </c>
      <c r="P111" s="27">
        <v>4</v>
      </c>
      <c r="Q111" s="27">
        <v>15</v>
      </c>
      <c r="R111" s="27">
        <v>32</v>
      </c>
      <c r="S111" s="27">
        <v>36</v>
      </c>
      <c r="T111" s="27">
        <v>13</v>
      </c>
      <c r="U111" s="27" t="s">
        <v>515</v>
      </c>
      <c r="V111" s="27" t="s">
        <v>515</v>
      </c>
    </row>
    <row r="112" spans="1:22" x14ac:dyDescent="0.2">
      <c r="A112" s="27">
        <v>105</v>
      </c>
      <c r="B112" s="22" t="s">
        <v>232</v>
      </c>
      <c r="C112" s="27" t="s">
        <v>520</v>
      </c>
      <c r="D112" s="23">
        <v>-0.41</v>
      </c>
      <c r="E112" s="23">
        <v>-0.48</v>
      </c>
      <c r="F112" s="27">
        <v>106</v>
      </c>
      <c r="G112" s="23">
        <v>-0.43</v>
      </c>
      <c r="H112" s="27">
        <v>88</v>
      </c>
      <c r="I112" s="23">
        <v>9.4</v>
      </c>
      <c r="J112" s="27" t="s">
        <v>515</v>
      </c>
      <c r="K112" s="27" t="s">
        <v>515</v>
      </c>
      <c r="L112" s="27" t="s">
        <v>515</v>
      </c>
      <c r="M112" s="27" t="s">
        <v>515</v>
      </c>
      <c r="N112" s="27" t="s">
        <v>515</v>
      </c>
      <c r="O112" s="27" t="s">
        <v>515</v>
      </c>
      <c r="P112" s="27">
        <v>1</v>
      </c>
      <c r="Q112" s="27">
        <v>4</v>
      </c>
      <c r="R112" s="27">
        <v>15</v>
      </c>
      <c r="S112" s="27">
        <v>32</v>
      </c>
      <c r="T112" s="27">
        <v>36</v>
      </c>
      <c r="U112" s="27">
        <v>12</v>
      </c>
      <c r="V112" s="27" t="s">
        <v>515</v>
      </c>
    </row>
    <row r="113" spans="1:22" x14ac:dyDescent="0.2">
      <c r="A113" s="24" t="s">
        <v>497</v>
      </c>
      <c r="B113" s="25" t="s">
        <v>0</v>
      </c>
      <c r="C113" s="24" t="s">
        <v>498</v>
      </c>
      <c r="D113" s="26" t="s">
        <v>496</v>
      </c>
      <c r="E113" s="26" t="s">
        <v>499</v>
      </c>
      <c r="F113" s="24" t="s">
        <v>497</v>
      </c>
      <c r="G113" s="26" t="s">
        <v>500</v>
      </c>
      <c r="H113" s="24" t="s">
        <v>497</v>
      </c>
      <c r="I113" s="26" t="s">
        <v>501</v>
      </c>
      <c r="J113" s="26" t="s">
        <v>502</v>
      </c>
      <c r="K113" s="26" t="s">
        <v>503</v>
      </c>
      <c r="L113" s="26" t="s">
        <v>504</v>
      </c>
      <c r="M113" s="26" t="s">
        <v>505</v>
      </c>
      <c r="N113" s="26" t="s">
        <v>506</v>
      </c>
      <c r="O113" s="26" t="s">
        <v>507</v>
      </c>
      <c r="P113" s="26" t="s">
        <v>508</v>
      </c>
      <c r="Q113" s="26" t="s">
        <v>509</v>
      </c>
      <c r="R113" s="26" t="s">
        <v>510</v>
      </c>
      <c r="S113" s="26" t="s">
        <v>511</v>
      </c>
      <c r="T113" s="26" t="s">
        <v>512</v>
      </c>
      <c r="U113" s="26" t="s">
        <v>513</v>
      </c>
      <c r="V113" s="26" t="s">
        <v>514</v>
      </c>
    </row>
    <row r="114" spans="1:22" x14ac:dyDescent="0.2">
      <c r="A114" s="27">
        <v>106</v>
      </c>
      <c r="B114" s="22" t="s">
        <v>161</v>
      </c>
      <c r="C114" s="29">
        <v>43498</v>
      </c>
      <c r="D114" s="23">
        <v>-0.49</v>
      </c>
      <c r="E114" s="23">
        <v>0.31</v>
      </c>
      <c r="F114" s="27">
        <v>44</v>
      </c>
      <c r="G114" s="23">
        <v>-1.1200000000000001</v>
      </c>
      <c r="H114" s="27">
        <v>123</v>
      </c>
      <c r="I114" s="23">
        <v>6.2</v>
      </c>
      <c r="J114" s="27" t="s">
        <v>515</v>
      </c>
      <c r="K114" s="27" t="s">
        <v>515</v>
      </c>
      <c r="L114" s="27" t="s">
        <v>515</v>
      </c>
      <c r="M114" s="27">
        <v>1</v>
      </c>
      <c r="N114" s="27">
        <v>7</v>
      </c>
      <c r="O114" s="27">
        <v>18</v>
      </c>
      <c r="P114" s="27">
        <v>32</v>
      </c>
      <c r="Q114" s="27">
        <v>28</v>
      </c>
      <c r="R114" s="27">
        <v>12</v>
      </c>
      <c r="S114" s="27">
        <v>2</v>
      </c>
      <c r="T114" s="27" t="s">
        <v>515</v>
      </c>
      <c r="U114" s="27" t="s">
        <v>515</v>
      </c>
      <c r="V114" s="27" t="s">
        <v>515</v>
      </c>
    </row>
    <row r="115" spans="1:22" x14ac:dyDescent="0.2">
      <c r="A115" s="27">
        <v>107</v>
      </c>
      <c r="B115" s="22" t="s">
        <v>66</v>
      </c>
      <c r="C115" s="29">
        <v>43468</v>
      </c>
      <c r="D115" s="23">
        <v>-0.52</v>
      </c>
      <c r="E115" s="23">
        <v>-0.77</v>
      </c>
      <c r="F115" s="27">
        <v>118</v>
      </c>
      <c r="G115" s="23">
        <v>-0.21</v>
      </c>
      <c r="H115" s="27">
        <v>73</v>
      </c>
      <c r="I115" s="23">
        <v>7.2</v>
      </c>
      <c r="J115" s="27" t="s">
        <v>515</v>
      </c>
      <c r="K115" s="27" t="s">
        <v>515</v>
      </c>
      <c r="L115" s="27" t="s">
        <v>515</v>
      </c>
      <c r="M115" s="27">
        <v>1</v>
      </c>
      <c r="N115" s="27">
        <v>1</v>
      </c>
      <c r="O115" s="27">
        <v>8</v>
      </c>
      <c r="P115" s="27">
        <v>20</v>
      </c>
      <c r="Q115" s="27">
        <v>29</v>
      </c>
      <c r="R115" s="27">
        <v>26</v>
      </c>
      <c r="S115" s="27">
        <v>12</v>
      </c>
      <c r="T115" s="27">
        <v>3</v>
      </c>
      <c r="U115" s="27" t="s">
        <v>515</v>
      </c>
      <c r="V115" s="27" t="s">
        <v>515</v>
      </c>
    </row>
    <row r="116" spans="1:22" x14ac:dyDescent="0.2">
      <c r="A116" s="27">
        <v>108</v>
      </c>
      <c r="B116" s="22" t="s">
        <v>290</v>
      </c>
      <c r="C116" s="27" t="s">
        <v>520</v>
      </c>
      <c r="D116" s="23">
        <v>-0.53</v>
      </c>
      <c r="E116" s="23">
        <v>-0.77</v>
      </c>
      <c r="F116" s="27">
        <v>117</v>
      </c>
      <c r="G116" s="23">
        <v>-0.32</v>
      </c>
      <c r="H116" s="27">
        <v>81</v>
      </c>
      <c r="I116" s="23">
        <v>8.3000000000000007</v>
      </c>
      <c r="J116" s="27" t="s">
        <v>515</v>
      </c>
      <c r="K116" s="27" t="s">
        <v>515</v>
      </c>
      <c r="L116" s="27" t="s">
        <v>515</v>
      </c>
      <c r="M116" s="27" t="s">
        <v>515</v>
      </c>
      <c r="N116" s="27" t="s">
        <v>515</v>
      </c>
      <c r="O116" s="27">
        <v>2</v>
      </c>
      <c r="P116" s="27">
        <v>6</v>
      </c>
      <c r="Q116" s="27">
        <v>20</v>
      </c>
      <c r="R116" s="27">
        <v>28</v>
      </c>
      <c r="S116" s="27">
        <v>28</v>
      </c>
      <c r="T116" s="27">
        <v>14</v>
      </c>
      <c r="U116" s="27">
        <v>2</v>
      </c>
      <c r="V116" s="27" t="s">
        <v>515</v>
      </c>
    </row>
    <row r="117" spans="1:22" x14ac:dyDescent="0.2">
      <c r="A117" s="27">
        <v>109</v>
      </c>
      <c r="B117" s="22" t="s">
        <v>378</v>
      </c>
      <c r="C117" s="29">
        <v>43468</v>
      </c>
      <c r="D117" s="23">
        <v>-0.53</v>
      </c>
      <c r="E117" s="23">
        <v>-1</v>
      </c>
      <c r="F117" s="27">
        <v>121</v>
      </c>
      <c r="G117" s="23">
        <v>-0.1</v>
      </c>
      <c r="H117" s="27">
        <v>65</v>
      </c>
      <c r="I117" s="23">
        <v>7.8</v>
      </c>
      <c r="J117" s="27" t="s">
        <v>515</v>
      </c>
      <c r="K117" s="27" t="s">
        <v>515</v>
      </c>
      <c r="L117" s="27" t="s">
        <v>515</v>
      </c>
      <c r="M117" s="27" t="s">
        <v>515</v>
      </c>
      <c r="N117" s="27" t="s">
        <v>515</v>
      </c>
      <c r="O117" s="27">
        <v>2</v>
      </c>
      <c r="P117" s="27">
        <v>12</v>
      </c>
      <c r="Q117" s="27">
        <v>23</v>
      </c>
      <c r="R117" s="27">
        <v>36</v>
      </c>
      <c r="S117" s="27">
        <v>23</v>
      </c>
      <c r="T117" s="27">
        <v>4</v>
      </c>
      <c r="U117" s="27" t="s">
        <v>515</v>
      </c>
      <c r="V117" s="27" t="s">
        <v>515</v>
      </c>
    </row>
    <row r="118" spans="1:22" x14ac:dyDescent="0.2">
      <c r="A118" s="27">
        <v>110</v>
      </c>
      <c r="B118" s="22" t="s">
        <v>221</v>
      </c>
      <c r="C118" s="29">
        <v>43468</v>
      </c>
      <c r="D118" s="23">
        <v>-0.56999999999999995</v>
      </c>
      <c r="E118" s="23">
        <v>-0.5</v>
      </c>
      <c r="F118" s="27">
        <v>107</v>
      </c>
      <c r="G118" s="23">
        <v>-0.78</v>
      </c>
      <c r="H118" s="27">
        <v>110</v>
      </c>
      <c r="I118" s="23">
        <v>7.5</v>
      </c>
      <c r="J118" s="27" t="s">
        <v>515</v>
      </c>
      <c r="K118" s="27" t="s">
        <v>515</v>
      </c>
      <c r="L118" s="27" t="s">
        <v>515</v>
      </c>
      <c r="M118" s="27" t="s">
        <v>515</v>
      </c>
      <c r="N118" s="27" t="s">
        <v>515</v>
      </c>
      <c r="O118" s="27">
        <v>5</v>
      </c>
      <c r="P118" s="27">
        <v>15</v>
      </c>
      <c r="Q118" s="27">
        <v>29</v>
      </c>
      <c r="R118" s="27">
        <v>28</v>
      </c>
      <c r="S118" s="27">
        <v>18</v>
      </c>
      <c r="T118" s="27">
        <v>5</v>
      </c>
      <c r="U118" s="27" t="s">
        <v>515</v>
      </c>
      <c r="V118" s="27" t="s">
        <v>515</v>
      </c>
    </row>
    <row r="119" spans="1:22" x14ac:dyDescent="0.2">
      <c r="A119" s="27">
        <v>111</v>
      </c>
      <c r="B119" s="22" t="s">
        <v>125</v>
      </c>
      <c r="C119" s="27" t="s">
        <v>494</v>
      </c>
      <c r="D119" s="23">
        <v>-0.57999999999999996</v>
      </c>
      <c r="E119" s="23">
        <v>-0.3</v>
      </c>
      <c r="F119" s="27">
        <v>95</v>
      </c>
      <c r="G119" s="23">
        <v>-0.75</v>
      </c>
      <c r="H119" s="27">
        <v>109</v>
      </c>
      <c r="I119" s="23">
        <v>9</v>
      </c>
      <c r="J119" s="27" t="s">
        <v>515</v>
      </c>
      <c r="K119" s="27" t="s">
        <v>515</v>
      </c>
      <c r="L119" s="27" t="s">
        <v>515</v>
      </c>
      <c r="M119" s="27" t="s">
        <v>515</v>
      </c>
      <c r="N119" s="27" t="s">
        <v>515</v>
      </c>
      <c r="O119" s="27" t="s">
        <v>515</v>
      </c>
      <c r="P119" s="27">
        <v>1</v>
      </c>
      <c r="Q119" s="27">
        <v>7</v>
      </c>
      <c r="R119" s="27">
        <v>24</v>
      </c>
      <c r="S119" s="27">
        <v>35</v>
      </c>
      <c r="T119" s="27">
        <v>27</v>
      </c>
      <c r="U119" s="27">
        <v>6</v>
      </c>
      <c r="V119" s="27" t="s">
        <v>515</v>
      </c>
    </row>
    <row r="120" spans="1:22" x14ac:dyDescent="0.2">
      <c r="A120" s="27">
        <v>112</v>
      </c>
      <c r="B120" s="22" t="s">
        <v>249</v>
      </c>
      <c r="C120" s="29">
        <v>43468</v>
      </c>
      <c r="D120" s="23">
        <v>-0.62</v>
      </c>
      <c r="E120" s="23">
        <v>-0.28999999999999998</v>
      </c>
      <c r="F120" s="27">
        <v>94</v>
      </c>
      <c r="G120" s="23">
        <v>-0.82</v>
      </c>
      <c r="H120" s="27">
        <v>114</v>
      </c>
      <c r="I120" s="23">
        <v>7.5</v>
      </c>
      <c r="J120" s="27" t="s">
        <v>515</v>
      </c>
      <c r="K120" s="27" t="s">
        <v>515</v>
      </c>
      <c r="L120" s="27" t="s">
        <v>515</v>
      </c>
      <c r="M120" s="27" t="s">
        <v>515</v>
      </c>
      <c r="N120" s="27">
        <v>1</v>
      </c>
      <c r="O120" s="27">
        <v>5</v>
      </c>
      <c r="P120" s="27">
        <v>15</v>
      </c>
      <c r="Q120" s="27">
        <v>26</v>
      </c>
      <c r="R120" s="27">
        <v>36</v>
      </c>
      <c r="S120" s="27">
        <v>15</v>
      </c>
      <c r="T120" s="27">
        <v>2</v>
      </c>
      <c r="U120" s="27" t="s">
        <v>515</v>
      </c>
      <c r="V120" s="27" t="s">
        <v>515</v>
      </c>
    </row>
    <row r="121" spans="1:22" x14ac:dyDescent="0.2">
      <c r="A121" s="27">
        <v>113</v>
      </c>
      <c r="B121" s="22" t="s">
        <v>195</v>
      </c>
      <c r="C121" s="29">
        <v>43468</v>
      </c>
      <c r="D121" s="23">
        <v>-0.64</v>
      </c>
      <c r="E121" s="23">
        <v>-0.28999999999999998</v>
      </c>
      <c r="F121" s="27">
        <v>93</v>
      </c>
      <c r="G121" s="23">
        <v>-0.88</v>
      </c>
      <c r="H121" s="27">
        <v>117</v>
      </c>
      <c r="I121" s="23">
        <v>7.3</v>
      </c>
      <c r="J121" s="27" t="s">
        <v>515</v>
      </c>
      <c r="K121" s="27" t="s">
        <v>515</v>
      </c>
      <c r="L121" s="27" t="s">
        <v>515</v>
      </c>
      <c r="M121" s="27" t="s">
        <v>515</v>
      </c>
      <c r="N121" s="27">
        <v>1</v>
      </c>
      <c r="O121" s="27">
        <v>5</v>
      </c>
      <c r="P121" s="27">
        <v>19</v>
      </c>
      <c r="Q121" s="27">
        <v>29</v>
      </c>
      <c r="R121" s="27">
        <v>31</v>
      </c>
      <c r="S121" s="27">
        <v>13</v>
      </c>
      <c r="T121" s="27">
        <v>2</v>
      </c>
      <c r="U121" s="27" t="s">
        <v>515</v>
      </c>
      <c r="V121" s="27" t="s">
        <v>515</v>
      </c>
    </row>
    <row r="122" spans="1:22" x14ac:dyDescent="0.2">
      <c r="A122" s="27">
        <v>114</v>
      </c>
      <c r="B122" s="22" t="s">
        <v>310</v>
      </c>
      <c r="C122" s="27" t="s">
        <v>520</v>
      </c>
      <c r="D122" s="23">
        <v>-0.64</v>
      </c>
      <c r="E122" s="23">
        <v>-1.01</v>
      </c>
      <c r="F122" s="27">
        <v>122</v>
      </c>
      <c r="G122" s="23">
        <v>-0.28000000000000003</v>
      </c>
      <c r="H122" s="27">
        <v>79</v>
      </c>
      <c r="I122" s="23">
        <v>8.3000000000000007</v>
      </c>
      <c r="J122" s="27" t="s">
        <v>515</v>
      </c>
      <c r="K122" s="27" t="s">
        <v>515</v>
      </c>
      <c r="L122" s="27" t="s">
        <v>515</v>
      </c>
      <c r="M122" s="27" t="s">
        <v>515</v>
      </c>
      <c r="N122" s="27" t="s">
        <v>515</v>
      </c>
      <c r="O122" s="27">
        <v>1</v>
      </c>
      <c r="P122" s="27">
        <v>6</v>
      </c>
      <c r="Q122" s="27">
        <v>17</v>
      </c>
      <c r="R122" s="27">
        <v>30</v>
      </c>
      <c r="S122" s="27">
        <v>30</v>
      </c>
      <c r="T122" s="27">
        <v>15</v>
      </c>
      <c r="U122" s="27">
        <v>1</v>
      </c>
      <c r="V122" s="27" t="s">
        <v>515</v>
      </c>
    </row>
    <row r="123" spans="1:22" x14ac:dyDescent="0.2">
      <c r="A123" s="27">
        <v>115</v>
      </c>
      <c r="B123" s="22" t="s">
        <v>341</v>
      </c>
      <c r="C123" s="29">
        <v>43498</v>
      </c>
      <c r="D123" s="23">
        <v>-0.68</v>
      </c>
      <c r="E123" s="23">
        <v>-0.51</v>
      </c>
      <c r="F123" s="27">
        <v>108</v>
      </c>
      <c r="G123" s="23">
        <v>-0.82</v>
      </c>
      <c r="H123" s="27">
        <v>113</v>
      </c>
      <c r="I123" s="23">
        <v>7.2</v>
      </c>
      <c r="J123" s="27" t="s">
        <v>515</v>
      </c>
      <c r="K123" s="27" t="s">
        <v>515</v>
      </c>
      <c r="L123" s="27" t="s">
        <v>515</v>
      </c>
      <c r="M123" s="27" t="s">
        <v>515</v>
      </c>
      <c r="N123" s="27">
        <v>1</v>
      </c>
      <c r="O123" s="27">
        <v>4</v>
      </c>
      <c r="P123" s="27">
        <v>17</v>
      </c>
      <c r="Q123" s="27">
        <v>36</v>
      </c>
      <c r="R123" s="27">
        <v>31</v>
      </c>
      <c r="S123" s="27">
        <v>11</v>
      </c>
      <c r="T123" s="27" t="s">
        <v>515</v>
      </c>
      <c r="U123" s="27" t="s">
        <v>515</v>
      </c>
      <c r="V123" s="27" t="s">
        <v>515</v>
      </c>
    </row>
    <row r="124" spans="1:22" x14ac:dyDescent="0.2">
      <c r="A124" s="27">
        <v>116</v>
      </c>
      <c r="B124" s="22" t="s">
        <v>330</v>
      </c>
      <c r="C124" s="27" t="s">
        <v>493</v>
      </c>
      <c r="D124" s="23">
        <v>-0.72</v>
      </c>
      <c r="E124" s="23">
        <v>-0.76</v>
      </c>
      <c r="F124" s="27">
        <v>116</v>
      </c>
      <c r="G124" s="23">
        <v>-0.6</v>
      </c>
      <c r="H124" s="27">
        <v>104</v>
      </c>
      <c r="I124" s="23">
        <v>9.1</v>
      </c>
      <c r="J124" s="27" t="s">
        <v>515</v>
      </c>
      <c r="K124" s="27" t="s">
        <v>515</v>
      </c>
      <c r="L124" s="27" t="s">
        <v>515</v>
      </c>
      <c r="M124" s="27" t="s">
        <v>515</v>
      </c>
      <c r="N124" s="27" t="s">
        <v>515</v>
      </c>
      <c r="O124" s="27" t="s">
        <v>515</v>
      </c>
      <c r="P124" s="27">
        <v>1</v>
      </c>
      <c r="Q124" s="27">
        <v>7</v>
      </c>
      <c r="R124" s="27">
        <v>20</v>
      </c>
      <c r="S124" s="27">
        <v>36</v>
      </c>
      <c r="T124" s="27">
        <v>26</v>
      </c>
      <c r="U124" s="27">
        <v>9</v>
      </c>
      <c r="V124" s="27">
        <v>1</v>
      </c>
    </row>
    <row r="125" spans="1:22" x14ac:dyDescent="0.2">
      <c r="A125" s="27">
        <v>117</v>
      </c>
      <c r="B125" s="22" t="s">
        <v>277</v>
      </c>
      <c r="C125" s="29">
        <v>43468</v>
      </c>
      <c r="D125" s="23">
        <v>-0.72</v>
      </c>
      <c r="E125" s="23">
        <v>-0.27</v>
      </c>
      <c r="F125" s="27">
        <v>92</v>
      </c>
      <c r="G125" s="23">
        <v>-1.21</v>
      </c>
      <c r="H125" s="27">
        <v>125</v>
      </c>
      <c r="I125" s="23">
        <v>8.1999999999999993</v>
      </c>
      <c r="J125" s="27" t="s">
        <v>515</v>
      </c>
      <c r="K125" s="27" t="s">
        <v>515</v>
      </c>
      <c r="L125" s="27" t="s">
        <v>515</v>
      </c>
      <c r="M125" s="27" t="s">
        <v>515</v>
      </c>
      <c r="N125" s="27" t="s">
        <v>515</v>
      </c>
      <c r="O125" s="27">
        <v>1</v>
      </c>
      <c r="P125" s="27">
        <v>5</v>
      </c>
      <c r="Q125" s="27">
        <v>19</v>
      </c>
      <c r="R125" s="27">
        <v>34</v>
      </c>
      <c r="S125" s="27">
        <v>30</v>
      </c>
      <c r="T125" s="27">
        <v>11</v>
      </c>
      <c r="U125" s="27" t="s">
        <v>515</v>
      </c>
      <c r="V125" s="27" t="s">
        <v>515</v>
      </c>
    </row>
    <row r="126" spans="1:22" x14ac:dyDescent="0.2">
      <c r="A126" s="27">
        <v>118</v>
      </c>
      <c r="B126" s="22" t="s">
        <v>417</v>
      </c>
      <c r="C126" s="27" t="s">
        <v>520</v>
      </c>
      <c r="D126" s="23">
        <v>-0.75</v>
      </c>
      <c r="E126" s="23">
        <v>-0.53</v>
      </c>
      <c r="F126" s="27">
        <v>109</v>
      </c>
      <c r="G126" s="23">
        <v>-0.81</v>
      </c>
      <c r="H126" s="27">
        <v>112</v>
      </c>
      <c r="I126" s="23">
        <v>8.8000000000000007</v>
      </c>
      <c r="J126" s="27" t="s">
        <v>515</v>
      </c>
      <c r="K126" s="27" t="s">
        <v>515</v>
      </c>
      <c r="L126" s="27" t="s">
        <v>515</v>
      </c>
      <c r="M126" s="27" t="s">
        <v>515</v>
      </c>
      <c r="N126" s="27" t="s">
        <v>515</v>
      </c>
      <c r="O126" s="27" t="s">
        <v>515</v>
      </c>
      <c r="P126" s="27">
        <v>2</v>
      </c>
      <c r="Q126" s="27">
        <v>11</v>
      </c>
      <c r="R126" s="27">
        <v>25</v>
      </c>
      <c r="S126" s="27">
        <v>32</v>
      </c>
      <c r="T126" s="27">
        <v>24</v>
      </c>
      <c r="U126" s="27">
        <v>6</v>
      </c>
      <c r="V126" s="27" t="s">
        <v>515</v>
      </c>
    </row>
    <row r="127" spans="1:22" x14ac:dyDescent="0.2">
      <c r="A127" s="27">
        <v>119</v>
      </c>
      <c r="B127" s="22" t="s">
        <v>159</v>
      </c>
      <c r="C127" s="29">
        <v>43468</v>
      </c>
      <c r="D127" s="23">
        <v>-0.76</v>
      </c>
      <c r="E127" s="23">
        <v>-0.92</v>
      </c>
      <c r="F127" s="27">
        <v>120</v>
      </c>
      <c r="G127" s="23">
        <v>-0.71</v>
      </c>
      <c r="H127" s="27">
        <v>108</v>
      </c>
      <c r="I127" s="23">
        <v>8.1999999999999993</v>
      </c>
      <c r="J127" s="27" t="s">
        <v>515</v>
      </c>
      <c r="K127" s="27" t="s">
        <v>515</v>
      </c>
      <c r="L127" s="27" t="s">
        <v>515</v>
      </c>
      <c r="M127" s="27" t="s">
        <v>515</v>
      </c>
      <c r="N127" s="27" t="s">
        <v>515</v>
      </c>
      <c r="O127" s="27">
        <v>1</v>
      </c>
      <c r="P127" s="27">
        <v>5</v>
      </c>
      <c r="Q127" s="27">
        <v>18</v>
      </c>
      <c r="R127" s="27">
        <v>33</v>
      </c>
      <c r="S127" s="27">
        <v>32</v>
      </c>
      <c r="T127" s="27">
        <v>11</v>
      </c>
      <c r="U127" s="27" t="s">
        <v>515</v>
      </c>
      <c r="V127" s="27" t="s">
        <v>515</v>
      </c>
    </row>
    <row r="128" spans="1:22" x14ac:dyDescent="0.2">
      <c r="A128" s="27">
        <v>120</v>
      </c>
      <c r="B128" s="22" t="s">
        <v>273</v>
      </c>
      <c r="C128" s="29">
        <v>43498</v>
      </c>
      <c r="D128" s="23">
        <v>-0.79</v>
      </c>
      <c r="E128" s="23">
        <v>-0.57999999999999996</v>
      </c>
      <c r="F128" s="27">
        <v>111</v>
      </c>
      <c r="G128" s="23">
        <v>-1.19</v>
      </c>
      <c r="H128" s="27">
        <v>124</v>
      </c>
      <c r="I128" s="23">
        <v>7.1</v>
      </c>
      <c r="J128" s="27" t="s">
        <v>515</v>
      </c>
      <c r="K128" s="27" t="s">
        <v>515</v>
      </c>
      <c r="L128" s="27" t="s">
        <v>515</v>
      </c>
      <c r="M128" s="27" t="s">
        <v>515</v>
      </c>
      <c r="N128" s="27">
        <v>1</v>
      </c>
      <c r="O128" s="27">
        <v>6</v>
      </c>
      <c r="P128" s="27">
        <v>22</v>
      </c>
      <c r="Q128" s="27">
        <v>35</v>
      </c>
      <c r="R128" s="27">
        <v>29</v>
      </c>
      <c r="S128" s="27">
        <v>7</v>
      </c>
      <c r="T128" s="27" t="s">
        <v>515</v>
      </c>
      <c r="U128" s="27" t="s">
        <v>515</v>
      </c>
      <c r="V128" s="27" t="s">
        <v>515</v>
      </c>
    </row>
    <row r="129" spans="1:22" x14ac:dyDescent="0.2">
      <c r="A129" s="24" t="s">
        <v>497</v>
      </c>
      <c r="B129" s="25" t="s">
        <v>0</v>
      </c>
      <c r="C129" s="24" t="s">
        <v>498</v>
      </c>
      <c r="D129" s="26" t="s">
        <v>496</v>
      </c>
      <c r="E129" s="26" t="s">
        <v>499</v>
      </c>
      <c r="F129" s="24" t="s">
        <v>497</v>
      </c>
      <c r="G129" s="26" t="s">
        <v>500</v>
      </c>
      <c r="H129" s="24" t="s">
        <v>497</v>
      </c>
      <c r="I129" s="26" t="s">
        <v>501</v>
      </c>
      <c r="J129" s="26" t="s">
        <v>502</v>
      </c>
      <c r="K129" s="26" t="s">
        <v>503</v>
      </c>
      <c r="L129" s="26" t="s">
        <v>504</v>
      </c>
      <c r="M129" s="26" t="s">
        <v>505</v>
      </c>
      <c r="N129" s="26" t="s">
        <v>506</v>
      </c>
      <c r="O129" s="26" t="s">
        <v>507</v>
      </c>
      <c r="P129" s="26" t="s">
        <v>508</v>
      </c>
      <c r="Q129" s="26" t="s">
        <v>509</v>
      </c>
      <c r="R129" s="26" t="s">
        <v>510</v>
      </c>
      <c r="S129" s="26" t="s">
        <v>511</v>
      </c>
      <c r="T129" s="26" t="s">
        <v>512</v>
      </c>
      <c r="U129" s="26" t="s">
        <v>513</v>
      </c>
      <c r="V129" s="26" t="s">
        <v>514</v>
      </c>
    </row>
    <row r="130" spans="1:22" x14ac:dyDescent="0.2">
      <c r="A130" s="27">
        <v>121</v>
      </c>
      <c r="B130" s="22" t="s">
        <v>133</v>
      </c>
      <c r="C130" s="29">
        <v>43468</v>
      </c>
      <c r="D130" s="23">
        <v>-0.82</v>
      </c>
      <c r="E130" s="23">
        <v>-0.74</v>
      </c>
      <c r="F130" s="27">
        <v>115</v>
      </c>
      <c r="G130" s="23">
        <v>-0.81</v>
      </c>
      <c r="H130" s="27">
        <v>111</v>
      </c>
      <c r="I130" s="23">
        <v>7.8</v>
      </c>
      <c r="J130" s="27" t="s">
        <v>515</v>
      </c>
      <c r="K130" s="27" t="s">
        <v>515</v>
      </c>
      <c r="L130" s="27" t="s">
        <v>515</v>
      </c>
      <c r="M130" s="27" t="s">
        <v>515</v>
      </c>
      <c r="N130" s="27" t="s">
        <v>515</v>
      </c>
      <c r="O130" s="27" t="s">
        <v>515</v>
      </c>
      <c r="P130" s="27">
        <v>4</v>
      </c>
      <c r="Q130" s="27">
        <v>28</v>
      </c>
      <c r="R130" s="27">
        <v>49</v>
      </c>
      <c r="S130" s="27">
        <v>19</v>
      </c>
      <c r="T130" s="27" t="s">
        <v>515</v>
      </c>
      <c r="U130" s="27" t="s">
        <v>515</v>
      </c>
      <c r="V130" s="27" t="s">
        <v>515</v>
      </c>
    </row>
    <row r="131" spans="1:22" x14ac:dyDescent="0.2">
      <c r="A131" s="27">
        <v>122</v>
      </c>
      <c r="B131" s="22" t="s">
        <v>280</v>
      </c>
      <c r="C131" s="27" t="s">
        <v>493</v>
      </c>
      <c r="D131" s="23">
        <v>-0.83</v>
      </c>
      <c r="E131" s="23">
        <v>-0.41</v>
      </c>
      <c r="F131" s="27">
        <v>103</v>
      </c>
      <c r="G131" s="23">
        <v>-1.06</v>
      </c>
      <c r="H131" s="27">
        <v>121</v>
      </c>
      <c r="I131" s="23">
        <v>9.3000000000000007</v>
      </c>
      <c r="J131" s="27" t="s">
        <v>515</v>
      </c>
      <c r="K131" s="27" t="s">
        <v>515</v>
      </c>
      <c r="L131" s="27" t="s">
        <v>515</v>
      </c>
      <c r="M131" s="27" t="s">
        <v>515</v>
      </c>
      <c r="N131" s="27" t="s">
        <v>515</v>
      </c>
      <c r="O131" s="27" t="s">
        <v>515</v>
      </c>
      <c r="P131" s="27" t="s">
        <v>515</v>
      </c>
      <c r="Q131" s="27">
        <v>2</v>
      </c>
      <c r="R131" s="27">
        <v>16</v>
      </c>
      <c r="S131" s="27">
        <v>39</v>
      </c>
      <c r="T131" s="27">
        <v>35</v>
      </c>
      <c r="U131" s="27">
        <v>8</v>
      </c>
      <c r="V131" s="27" t="s">
        <v>515</v>
      </c>
    </row>
    <row r="132" spans="1:22" x14ac:dyDescent="0.2">
      <c r="A132" s="27">
        <v>123</v>
      </c>
      <c r="B132" s="22" t="s">
        <v>347</v>
      </c>
      <c r="C132" s="27" t="s">
        <v>494</v>
      </c>
      <c r="D132" s="23">
        <v>-0.88</v>
      </c>
      <c r="E132" s="23">
        <v>-1.1399999999999999</v>
      </c>
      <c r="F132" s="27">
        <v>128</v>
      </c>
      <c r="G132" s="23">
        <v>-0.59</v>
      </c>
      <c r="H132" s="27">
        <v>103</v>
      </c>
      <c r="I132" s="23">
        <v>9.9</v>
      </c>
      <c r="J132" s="27" t="s">
        <v>515</v>
      </c>
      <c r="K132" s="27" t="s">
        <v>515</v>
      </c>
      <c r="L132" s="27" t="s">
        <v>515</v>
      </c>
      <c r="M132" s="27" t="s">
        <v>515</v>
      </c>
      <c r="N132" s="27" t="s">
        <v>515</v>
      </c>
      <c r="O132" s="27" t="s">
        <v>515</v>
      </c>
      <c r="P132" s="27" t="s">
        <v>515</v>
      </c>
      <c r="Q132" s="27">
        <v>1</v>
      </c>
      <c r="R132" s="27">
        <v>6</v>
      </c>
      <c r="S132" s="27">
        <v>23</v>
      </c>
      <c r="T132" s="27">
        <v>40</v>
      </c>
      <c r="U132" s="27">
        <v>30</v>
      </c>
      <c r="V132" s="27" t="s">
        <v>515</v>
      </c>
    </row>
    <row r="133" spans="1:22" x14ac:dyDescent="0.2">
      <c r="A133" s="27">
        <v>124</v>
      </c>
      <c r="B133" s="22" t="s">
        <v>332</v>
      </c>
      <c r="C133" s="29">
        <v>43469</v>
      </c>
      <c r="D133" s="23">
        <v>-1</v>
      </c>
      <c r="E133" s="23">
        <v>-1.05</v>
      </c>
      <c r="F133" s="27">
        <v>125</v>
      </c>
      <c r="G133" s="23">
        <v>-0.85</v>
      </c>
      <c r="H133" s="27">
        <v>115</v>
      </c>
      <c r="I133" s="23">
        <v>10.5</v>
      </c>
      <c r="J133" s="27" t="s">
        <v>515</v>
      </c>
      <c r="K133" s="27" t="s">
        <v>515</v>
      </c>
      <c r="L133" s="27" t="s">
        <v>515</v>
      </c>
      <c r="M133" s="27" t="s">
        <v>515</v>
      </c>
      <c r="N133" s="27" t="s">
        <v>515</v>
      </c>
      <c r="O133" s="27" t="s">
        <v>515</v>
      </c>
      <c r="P133" s="27" t="s">
        <v>515</v>
      </c>
      <c r="Q133" s="27" t="s">
        <v>515</v>
      </c>
      <c r="R133" s="27">
        <v>1</v>
      </c>
      <c r="S133" s="27">
        <v>6</v>
      </c>
      <c r="T133" s="27">
        <v>35</v>
      </c>
      <c r="U133" s="27">
        <v>58</v>
      </c>
      <c r="V133" s="27" t="s">
        <v>515</v>
      </c>
    </row>
    <row r="134" spans="1:22" x14ac:dyDescent="0.2">
      <c r="A134" s="27">
        <v>125</v>
      </c>
      <c r="B134" s="22" t="s">
        <v>25</v>
      </c>
      <c r="C134" s="27" t="s">
        <v>494</v>
      </c>
      <c r="D134" s="23">
        <v>-1.04</v>
      </c>
      <c r="E134" s="23">
        <v>-1.1299999999999999</v>
      </c>
      <c r="F134" s="27">
        <v>127</v>
      </c>
      <c r="G134" s="23">
        <v>-0.95</v>
      </c>
      <c r="H134" s="27">
        <v>118</v>
      </c>
      <c r="I134" s="23">
        <v>10.1</v>
      </c>
      <c r="J134" s="27" t="s">
        <v>515</v>
      </c>
      <c r="K134" s="27" t="s">
        <v>515</v>
      </c>
      <c r="L134" s="27" t="s">
        <v>515</v>
      </c>
      <c r="M134" s="27" t="s">
        <v>515</v>
      </c>
      <c r="N134" s="27" t="s">
        <v>515</v>
      </c>
      <c r="O134" s="27" t="s">
        <v>515</v>
      </c>
      <c r="P134" s="27" t="s">
        <v>515</v>
      </c>
      <c r="Q134" s="27">
        <v>1</v>
      </c>
      <c r="R134" s="27">
        <v>6</v>
      </c>
      <c r="S134" s="27">
        <v>19</v>
      </c>
      <c r="T134" s="27">
        <v>33</v>
      </c>
      <c r="U134" s="27">
        <v>32</v>
      </c>
      <c r="V134" s="27">
        <v>9</v>
      </c>
    </row>
    <row r="135" spans="1:22" x14ac:dyDescent="0.2">
      <c r="A135" s="27">
        <v>126</v>
      </c>
      <c r="B135" s="22" t="s">
        <v>411</v>
      </c>
      <c r="C135" s="27" t="s">
        <v>520</v>
      </c>
      <c r="D135" s="23">
        <v>-1.19</v>
      </c>
      <c r="E135" s="23">
        <v>-1.27</v>
      </c>
      <c r="F135" s="27">
        <v>130</v>
      </c>
      <c r="G135" s="23">
        <v>-1.07</v>
      </c>
      <c r="H135" s="27">
        <v>122</v>
      </c>
      <c r="I135" s="23">
        <v>9.9</v>
      </c>
      <c r="J135" s="27" t="s">
        <v>515</v>
      </c>
      <c r="K135" s="27" t="s">
        <v>515</v>
      </c>
      <c r="L135" s="27" t="s">
        <v>515</v>
      </c>
      <c r="M135" s="27" t="s">
        <v>515</v>
      </c>
      <c r="N135" s="27" t="s">
        <v>515</v>
      </c>
      <c r="O135" s="27" t="s">
        <v>515</v>
      </c>
      <c r="P135" s="27" t="s">
        <v>515</v>
      </c>
      <c r="Q135" s="27" t="s">
        <v>515</v>
      </c>
      <c r="R135" s="27">
        <v>3</v>
      </c>
      <c r="S135" s="27">
        <v>27</v>
      </c>
      <c r="T135" s="27">
        <v>53</v>
      </c>
      <c r="U135" s="27">
        <v>17</v>
      </c>
      <c r="V135" s="27" t="s">
        <v>515</v>
      </c>
    </row>
    <row r="136" spans="1:22" x14ac:dyDescent="0.2">
      <c r="A136" s="27">
        <v>127</v>
      </c>
      <c r="B136" s="22" t="s">
        <v>424</v>
      </c>
      <c r="C136" s="29">
        <v>43468</v>
      </c>
      <c r="D136" s="23">
        <v>-1.2</v>
      </c>
      <c r="E136" s="23">
        <v>-1.1100000000000001</v>
      </c>
      <c r="F136" s="27">
        <v>126</v>
      </c>
      <c r="G136" s="23">
        <v>-1.32</v>
      </c>
      <c r="H136" s="27">
        <v>127</v>
      </c>
      <c r="I136" s="23">
        <v>9.1999999999999993</v>
      </c>
      <c r="J136" s="27" t="s">
        <v>515</v>
      </c>
      <c r="K136" s="27" t="s">
        <v>515</v>
      </c>
      <c r="L136" s="27" t="s">
        <v>515</v>
      </c>
      <c r="M136" s="27" t="s">
        <v>515</v>
      </c>
      <c r="N136" s="27" t="s">
        <v>515</v>
      </c>
      <c r="O136" s="27" t="s">
        <v>515</v>
      </c>
      <c r="P136" s="27" t="s">
        <v>515</v>
      </c>
      <c r="Q136" s="27">
        <v>2</v>
      </c>
      <c r="R136" s="27">
        <v>15</v>
      </c>
      <c r="S136" s="27">
        <v>42</v>
      </c>
      <c r="T136" s="27">
        <v>41</v>
      </c>
      <c r="U136" s="27" t="s">
        <v>515</v>
      </c>
      <c r="V136" s="27" t="s">
        <v>515</v>
      </c>
    </row>
    <row r="137" spans="1:22" x14ac:dyDescent="0.2">
      <c r="A137" s="27">
        <v>128</v>
      </c>
      <c r="B137" s="22" t="s">
        <v>421</v>
      </c>
      <c r="C137" s="27" t="s">
        <v>520</v>
      </c>
      <c r="D137" s="23">
        <v>-1.23</v>
      </c>
      <c r="E137" s="23">
        <v>-1.19</v>
      </c>
      <c r="F137" s="27">
        <v>129</v>
      </c>
      <c r="G137" s="23">
        <v>-1.26</v>
      </c>
      <c r="H137" s="27">
        <v>126</v>
      </c>
      <c r="I137" s="23">
        <v>10.1</v>
      </c>
      <c r="J137" s="27" t="s">
        <v>515</v>
      </c>
      <c r="K137" s="27" t="s">
        <v>515</v>
      </c>
      <c r="L137" s="27" t="s">
        <v>515</v>
      </c>
      <c r="M137" s="27" t="s">
        <v>515</v>
      </c>
      <c r="N137" s="27" t="s">
        <v>515</v>
      </c>
      <c r="O137" s="27" t="s">
        <v>515</v>
      </c>
      <c r="P137" s="27" t="s">
        <v>515</v>
      </c>
      <c r="Q137" s="27" t="s">
        <v>515</v>
      </c>
      <c r="R137" s="27">
        <v>3</v>
      </c>
      <c r="S137" s="27">
        <v>18</v>
      </c>
      <c r="T137" s="27">
        <v>39</v>
      </c>
      <c r="U137" s="27">
        <v>40</v>
      </c>
      <c r="V137" s="27" t="s">
        <v>515</v>
      </c>
    </row>
    <row r="138" spans="1:22" x14ac:dyDescent="0.2">
      <c r="A138" s="27">
        <v>129</v>
      </c>
      <c r="B138" s="22" t="s">
        <v>89</v>
      </c>
      <c r="C138" s="27" t="s">
        <v>520</v>
      </c>
      <c r="D138" s="23">
        <v>-1.38</v>
      </c>
      <c r="E138" s="23">
        <v>-1.03</v>
      </c>
      <c r="F138" s="27">
        <v>124</v>
      </c>
      <c r="G138" s="23">
        <v>-1.72</v>
      </c>
      <c r="H138" s="27">
        <v>129</v>
      </c>
      <c r="I138" s="23">
        <v>10.3</v>
      </c>
      <c r="J138" s="27" t="s">
        <v>515</v>
      </c>
      <c r="K138" s="27" t="s">
        <v>515</v>
      </c>
      <c r="L138" s="27" t="s">
        <v>515</v>
      </c>
      <c r="M138" s="27" t="s">
        <v>515</v>
      </c>
      <c r="N138" s="27" t="s">
        <v>515</v>
      </c>
      <c r="O138" s="27" t="s">
        <v>515</v>
      </c>
      <c r="P138" s="27" t="s">
        <v>515</v>
      </c>
      <c r="Q138" s="27" t="s">
        <v>515</v>
      </c>
      <c r="R138" s="27">
        <v>1</v>
      </c>
      <c r="S138" s="27">
        <v>13</v>
      </c>
      <c r="T138" s="27">
        <v>43</v>
      </c>
      <c r="U138" s="27">
        <v>43</v>
      </c>
      <c r="V138" s="27" t="s">
        <v>515</v>
      </c>
    </row>
    <row r="139" spans="1:22" x14ac:dyDescent="0.2">
      <c r="A139" s="27">
        <v>130</v>
      </c>
      <c r="B139" s="22" t="s">
        <v>86</v>
      </c>
      <c r="C139" s="29">
        <v>43469</v>
      </c>
      <c r="D139" s="23">
        <v>-1.67</v>
      </c>
      <c r="E139" s="23">
        <v>-1.03</v>
      </c>
      <c r="F139" s="27">
        <v>123</v>
      </c>
      <c r="G139" s="23">
        <v>-2.14</v>
      </c>
      <c r="H139" s="27">
        <v>130</v>
      </c>
      <c r="I139" s="23">
        <v>9.6</v>
      </c>
      <c r="J139" s="27" t="s">
        <v>515</v>
      </c>
      <c r="K139" s="27" t="s">
        <v>515</v>
      </c>
      <c r="L139" s="27" t="s">
        <v>515</v>
      </c>
      <c r="M139" s="27" t="s">
        <v>515</v>
      </c>
      <c r="N139" s="27" t="s">
        <v>515</v>
      </c>
      <c r="O139" s="27" t="s">
        <v>515</v>
      </c>
      <c r="P139" s="27" t="s">
        <v>515</v>
      </c>
      <c r="Q139" s="27" t="s">
        <v>515</v>
      </c>
      <c r="R139" s="27">
        <v>3</v>
      </c>
      <c r="S139" s="27">
        <v>36</v>
      </c>
      <c r="T139" s="27">
        <v>61</v>
      </c>
      <c r="U139" s="27" t="s">
        <v>515</v>
      </c>
      <c r="V139" s="27" t="s">
        <v>515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7D82-82D7-7641-9DB5-5DCAB8460708}">
  <dimension ref="A1:P132"/>
  <sheetViews>
    <sheetView topLeftCell="A94" workbookViewId="0">
      <selection activeCell="R4" sqref="R4"/>
    </sheetView>
  </sheetViews>
  <sheetFormatPr baseColWidth="10" defaultRowHeight="16" x14ac:dyDescent="0.2"/>
  <cols>
    <col min="1" max="1" width="5.1640625" bestFit="1" customWidth="1"/>
    <col min="2" max="2" width="4" bestFit="1" customWidth="1"/>
    <col min="3" max="3" width="4.1640625" bestFit="1" customWidth="1"/>
    <col min="4" max="4" width="16.5" bestFit="1" customWidth="1"/>
    <col min="5" max="5" width="3" bestFit="1" customWidth="1"/>
    <col min="6" max="6" width="2.1640625" bestFit="1" customWidth="1"/>
    <col min="7" max="7" width="6.6640625" bestFit="1" customWidth="1"/>
    <col min="8" max="8" width="4.1640625" bestFit="1" customWidth="1"/>
    <col min="9" max="9" width="9.33203125" bestFit="1" customWidth="1"/>
    <col min="10" max="10" width="6.6640625" bestFit="1" customWidth="1"/>
    <col min="11" max="11" width="4.1640625" bestFit="1" customWidth="1"/>
    <col min="12" max="12" width="16.5" bestFit="1" customWidth="1"/>
    <col min="13" max="13" width="3.1640625" bestFit="1" customWidth="1"/>
    <col min="14" max="14" width="3.33203125" bestFit="1" customWidth="1"/>
    <col min="15" max="15" width="8.1640625" bestFit="1" customWidth="1"/>
    <col min="16" max="16" width="4.33203125" bestFit="1" customWidth="1"/>
  </cols>
  <sheetData>
    <row r="1" spans="1:16" x14ac:dyDescent="0.2">
      <c r="A1" t="s">
        <v>465</v>
      </c>
      <c r="B1" t="s">
        <v>466</v>
      </c>
      <c r="C1" t="s">
        <v>467</v>
      </c>
      <c r="D1" t="s">
        <v>0</v>
      </c>
      <c r="E1" t="s">
        <v>468</v>
      </c>
      <c r="F1" t="s">
        <v>469</v>
      </c>
      <c r="I1" t="s">
        <v>470</v>
      </c>
      <c r="L1" t="s">
        <v>471</v>
      </c>
      <c r="M1" t="s">
        <v>472</v>
      </c>
      <c r="N1" t="s">
        <v>473</v>
      </c>
      <c r="O1" t="s">
        <v>474</v>
      </c>
      <c r="P1" t="s">
        <v>475</v>
      </c>
    </row>
    <row r="2" spans="1:16" x14ac:dyDescent="0.2">
      <c r="A2">
        <v>2019</v>
      </c>
      <c r="B2">
        <v>6</v>
      </c>
      <c r="C2">
        <v>1</v>
      </c>
      <c r="D2" t="s">
        <v>300</v>
      </c>
      <c r="E2">
        <v>6</v>
      </c>
      <c r="F2">
        <v>0</v>
      </c>
      <c r="G2" t="s">
        <v>476</v>
      </c>
      <c r="H2">
        <v>2</v>
      </c>
      <c r="I2" t="s">
        <v>477</v>
      </c>
      <c r="J2" t="s">
        <v>476</v>
      </c>
      <c r="K2">
        <v>27</v>
      </c>
      <c r="L2" t="s">
        <v>245</v>
      </c>
      <c r="M2">
        <v>34</v>
      </c>
      <c r="N2">
        <v>10</v>
      </c>
      <c r="O2">
        <v>301.59899999999999</v>
      </c>
      <c r="P2">
        <v>27</v>
      </c>
    </row>
    <row r="3" spans="1:16" x14ac:dyDescent="0.2">
      <c r="A3">
        <v>2019</v>
      </c>
      <c r="B3">
        <v>6</v>
      </c>
      <c r="C3">
        <v>2</v>
      </c>
      <c r="D3" t="s">
        <v>219</v>
      </c>
      <c r="E3">
        <v>5</v>
      </c>
      <c r="F3">
        <v>0</v>
      </c>
      <c r="G3" t="s">
        <v>476</v>
      </c>
      <c r="H3">
        <v>3</v>
      </c>
      <c r="I3" t="s">
        <v>477</v>
      </c>
      <c r="J3" t="s">
        <v>476</v>
      </c>
      <c r="K3">
        <v>42</v>
      </c>
      <c r="L3" t="s">
        <v>430</v>
      </c>
      <c r="M3">
        <v>42</v>
      </c>
      <c r="N3">
        <v>6</v>
      </c>
      <c r="O3">
        <v>298.505</v>
      </c>
      <c r="P3">
        <v>32</v>
      </c>
    </row>
    <row r="4" spans="1:16" x14ac:dyDescent="0.2">
      <c r="A4">
        <v>2019</v>
      </c>
      <c r="B4">
        <v>6</v>
      </c>
      <c r="C4">
        <v>3</v>
      </c>
      <c r="D4" t="s">
        <v>115</v>
      </c>
      <c r="E4">
        <v>5</v>
      </c>
      <c r="F4">
        <v>0</v>
      </c>
      <c r="G4" t="s">
        <v>476</v>
      </c>
      <c r="H4">
        <v>1</v>
      </c>
      <c r="I4" t="s">
        <v>478</v>
      </c>
      <c r="L4" t="s">
        <v>478</v>
      </c>
      <c r="O4">
        <v>296.73700000000002</v>
      </c>
      <c r="P4">
        <v>57</v>
      </c>
    </row>
    <row r="5" spans="1:16" x14ac:dyDescent="0.2">
      <c r="A5">
        <v>2019</v>
      </c>
      <c r="B5">
        <v>6</v>
      </c>
      <c r="C5">
        <v>4</v>
      </c>
      <c r="D5" t="s">
        <v>143</v>
      </c>
      <c r="E5">
        <v>6</v>
      </c>
      <c r="F5">
        <v>0</v>
      </c>
      <c r="G5" t="s">
        <v>476</v>
      </c>
      <c r="H5">
        <v>7</v>
      </c>
      <c r="I5" t="s">
        <v>477</v>
      </c>
      <c r="J5" t="s">
        <v>476</v>
      </c>
      <c r="K5">
        <v>4</v>
      </c>
      <c r="L5" t="s">
        <v>64</v>
      </c>
      <c r="M5">
        <v>24</v>
      </c>
      <c r="N5">
        <v>13</v>
      </c>
      <c r="O5">
        <v>295.77699999999999</v>
      </c>
      <c r="P5">
        <v>38</v>
      </c>
    </row>
    <row r="6" spans="1:16" x14ac:dyDescent="0.2">
      <c r="A6">
        <v>2019</v>
      </c>
      <c r="B6">
        <v>6</v>
      </c>
      <c r="C6">
        <v>5</v>
      </c>
      <c r="D6" t="s">
        <v>157</v>
      </c>
      <c r="E6">
        <v>5</v>
      </c>
      <c r="F6">
        <v>0</v>
      </c>
      <c r="G6" t="s">
        <v>476</v>
      </c>
      <c r="H6">
        <v>6</v>
      </c>
      <c r="I6" t="s">
        <v>477</v>
      </c>
      <c r="J6" t="s">
        <v>476</v>
      </c>
      <c r="K6">
        <v>98</v>
      </c>
      <c r="L6" t="s">
        <v>232</v>
      </c>
      <c r="M6">
        <v>43</v>
      </c>
      <c r="N6">
        <v>14</v>
      </c>
      <c r="O6">
        <v>286.89499999999998</v>
      </c>
      <c r="P6">
        <v>79</v>
      </c>
    </row>
    <row r="7" spans="1:16" x14ac:dyDescent="0.2">
      <c r="A7">
        <v>2019</v>
      </c>
      <c r="B7">
        <v>6</v>
      </c>
      <c r="C7">
        <v>6</v>
      </c>
      <c r="D7" t="s">
        <v>30</v>
      </c>
      <c r="E7">
        <v>5</v>
      </c>
      <c r="F7">
        <v>0</v>
      </c>
      <c r="G7" t="s">
        <v>476</v>
      </c>
      <c r="H7">
        <v>5</v>
      </c>
      <c r="I7" t="s">
        <v>478</v>
      </c>
      <c r="L7" t="s">
        <v>478</v>
      </c>
      <c r="O7">
        <v>286.47500000000002</v>
      </c>
      <c r="P7">
        <v>109</v>
      </c>
    </row>
    <row r="8" spans="1:16" x14ac:dyDescent="0.2">
      <c r="A8">
        <v>2019</v>
      </c>
      <c r="B8">
        <v>6</v>
      </c>
      <c r="C8">
        <v>7</v>
      </c>
      <c r="D8" t="s">
        <v>64</v>
      </c>
      <c r="E8">
        <v>5</v>
      </c>
      <c r="F8">
        <v>1</v>
      </c>
      <c r="G8" t="s">
        <v>476</v>
      </c>
      <c r="H8">
        <v>4</v>
      </c>
      <c r="I8" t="s">
        <v>479</v>
      </c>
      <c r="J8" t="s">
        <v>476</v>
      </c>
      <c r="K8">
        <v>7</v>
      </c>
      <c r="L8" t="s">
        <v>143</v>
      </c>
      <c r="M8">
        <v>13</v>
      </c>
      <c r="N8">
        <v>24</v>
      </c>
      <c r="O8">
        <v>284.89</v>
      </c>
      <c r="P8">
        <v>2</v>
      </c>
    </row>
    <row r="9" spans="1:16" x14ac:dyDescent="0.2">
      <c r="A9">
        <v>2019</v>
      </c>
      <c r="B9">
        <v>6</v>
      </c>
      <c r="C9">
        <v>8</v>
      </c>
      <c r="D9" t="s">
        <v>303</v>
      </c>
      <c r="E9">
        <v>5</v>
      </c>
      <c r="F9">
        <v>0</v>
      </c>
      <c r="G9" t="s">
        <v>476</v>
      </c>
      <c r="H9">
        <v>8</v>
      </c>
      <c r="I9" t="s">
        <v>477</v>
      </c>
      <c r="J9" t="s">
        <v>476</v>
      </c>
      <c r="K9">
        <v>97</v>
      </c>
      <c r="L9" t="s">
        <v>189</v>
      </c>
      <c r="M9">
        <v>45</v>
      </c>
      <c r="N9">
        <v>20</v>
      </c>
      <c r="O9">
        <v>282.50299999999999</v>
      </c>
      <c r="P9">
        <v>114</v>
      </c>
    </row>
    <row r="10" spans="1:16" x14ac:dyDescent="0.2">
      <c r="A10">
        <v>2019</v>
      </c>
      <c r="B10">
        <v>6</v>
      </c>
      <c r="C10">
        <v>9</v>
      </c>
      <c r="D10" t="s">
        <v>459</v>
      </c>
      <c r="E10">
        <v>5</v>
      </c>
      <c r="F10">
        <v>0</v>
      </c>
      <c r="G10" t="s">
        <v>476</v>
      </c>
      <c r="H10">
        <v>9</v>
      </c>
      <c r="I10" t="s">
        <v>477</v>
      </c>
      <c r="J10" t="s">
        <v>476</v>
      </c>
      <c r="K10">
        <v>120</v>
      </c>
      <c r="L10" t="s">
        <v>195</v>
      </c>
      <c r="M10">
        <v>48</v>
      </c>
      <c r="N10">
        <v>0</v>
      </c>
      <c r="O10">
        <v>280.51499999999999</v>
      </c>
      <c r="P10">
        <v>67</v>
      </c>
    </row>
    <row r="11" spans="1:16" x14ac:dyDescent="0.2">
      <c r="A11">
        <v>2019</v>
      </c>
      <c r="B11">
        <v>6</v>
      </c>
      <c r="C11">
        <v>10</v>
      </c>
      <c r="D11" t="s">
        <v>106</v>
      </c>
      <c r="E11">
        <v>4</v>
      </c>
      <c r="F11">
        <v>1</v>
      </c>
      <c r="G11" t="s">
        <v>476</v>
      </c>
      <c r="H11">
        <v>15</v>
      </c>
      <c r="I11" t="s">
        <v>477</v>
      </c>
      <c r="J11" t="s">
        <v>476</v>
      </c>
      <c r="K11">
        <v>13</v>
      </c>
      <c r="L11" t="s">
        <v>181</v>
      </c>
      <c r="M11">
        <v>10</v>
      </c>
      <c r="N11">
        <v>3</v>
      </c>
      <c r="O11">
        <v>280.30399999999997</v>
      </c>
      <c r="P11">
        <v>13</v>
      </c>
    </row>
    <row r="12" spans="1:16" x14ac:dyDescent="0.2">
      <c r="A12">
        <v>2019</v>
      </c>
      <c r="B12">
        <v>6</v>
      </c>
      <c r="C12">
        <v>11</v>
      </c>
      <c r="D12" t="s">
        <v>74</v>
      </c>
      <c r="E12">
        <v>4</v>
      </c>
      <c r="F12">
        <v>1</v>
      </c>
      <c r="G12" t="s">
        <v>476</v>
      </c>
      <c r="H12">
        <v>14</v>
      </c>
      <c r="I12" t="s">
        <v>477</v>
      </c>
      <c r="J12" t="s">
        <v>476</v>
      </c>
      <c r="K12">
        <v>36</v>
      </c>
      <c r="L12" t="s">
        <v>224</v>
      </c>
      <c r="M12">
        <v>42</v>
      </c>
      <c r="N12">
        <v>31</v>
      </c>
      <c r="O12">
        <v>279.39600000000002</v>
      </c>
      <c r="P12">
        <v>23</v>
      </c>
    </row>
    <row r="13" spans="1:16" x14ac:dyDescent="0.2">
      <c r="A13">
        <v>2019</v>
      </c>
      <c r="B13">
        <v>6</v>
      </c>
      <c r="C13">
        <v>12</v>
      </c>
      <c r="D13" t="s">
        <v>322</v>
      </c>
      <c r="E13">
        <v>5</v>
      </c>
      <c r="F13">
        <v>0</v>
      </c>
      <c r="G13" t="s">
        <v>476</v>
      </c>
      <c r="H13">
        <v>10</v>
      </c>
      <c r="I13" t="s">
        <v>477</v>
      </c>
      <c r="J13" t="s">
        <v>476</v>
      </c>
      <c r="K13">
        <v>89</v>
      </c>
      <c r="L13" t="s">
        <v>327</v>
      </c>
      <c r="M13">
        <v>35</v>
      </c>
      <c r="N13">
        <v>7</v>
      </c>
      <c r="O13">
        <v>278.798</v>
      </c>
      <c r="P13">
        <v>98</v>
      </c>
    </row>
    <row r="14" spans="1:16" x14ac:dyDescent="0.2">
      <c r="A14">
        <v>2019</v>
      </c>
      <c r="B14">
        <v>6</v>
      </c>
      <c r="C14">
        <v>13</v>
      </c>
      <c r="D14" t="s">
        <v>77</v>
      </c>
      <c r="E14">
        <v>5</v>
      </c>
      <c r="F14">
        <v>0</v>
      </c>
      <c r="G14" t="s">
        <v>476</v>
      </c>
      <c r="H14">
        <v>12</v>
      </c>
      <c r="I14" t="s">
        <v>477</v>
      </c>
      <c r="J14" t="s">
        <v>476</v>
      </c>
      <c r="K14">
        <v>118</v>
      </c>
      <c r="L14" t="s">
        <v>480</v>
      </c>
      <c r="M14">
        <v>38</v>
      </c>
      <c r="N14">
        <v>13</v>
      </c>
      <c r="O14">
        <v>278.15199999999999</v>
      </c>
      <c r="P14">
        <v>103</v>
      </c>
    </row>
    <row r="15" spans="1:16" x14ac:dyDescent="0.2">
      <c r="A15">
        <v>2019</v>
      </c>
      <c r="B15">
        <v>6</v>
      </c>
      <c r="C15">
        <v>14</v>
      </c>
      <c r="D15" t="s">
        <v>296</v>
      </c>
      <c r="E15">
        <v>4</v>
      </c>
      <c r="F15">
        <v>1</v>
      </c>
      <c r="G15" t="s">
        <v>476</v>
      </c>
      <c r="H15">
        <v>11</v>
      </c>
      <c r="I15" t="s">
        <v>477</v>
      </c>
      <c r="J15" t="s">
        <v>476</v>
      </c>
      <c r="K15">
        <v>128</v>
      </c>
      <c r="L15" t="s">
        <v>89</v>
      </c>
      <c r="M15">
        <v>52</v>
      </c>
      <c r="N15">
        <v>0</v>
      </c>
      <c r="O15">
        <v>277.86200000000002</v>
      </c>
      <c r="P15">
        <v>58</v>
      </c>
    </row>
    <row r="16" spans="1:16" x14ac:dyDescent="0.2">
      <c r="A16">
        <v>2019</v>
      </c>
      <c r="B16">
        <v>6</v>
      </c>
      <c r="C16">
        <v>15</v>
      </c>
      <c r="D16" t="s">
        <v>181</v>
      </c>
      <c r="E16">
        <v>4</v>
      </c>
      <c r="F16">
        <v>1</v>
      </c>
      <c r="G16" t="s">
        <v>476</v>
      </c>
      <c r="H16">
        <v>13</v>
      </c>
      <c r="I16" t="s">
        <v>479</v>
      </c>
      <c r="J16" t="s">
        <v>476</v>
      </c>
      <c r="K16">
        <v>15</v>
      </c>
      <c r="L16" t="s">
        <v>106</v>
      </c>
      <c r="M16">
        <v>3</v>
      </c>
      <c r="N16">
        <v>10</v>
      </c>
      <c r="O16">
        <v>274.82900000000001</v>
      </c>
      <c r="P16">
        <v>41</v>
      </c>
    </row>
    <row r="17" spans="1:16" x14ac:dyDescent="0.2">
      <c r="A17">
        <v>2019</v>
      </c>
      <c r="B17">
        <v>6</v>
      </c>
      <c r="C17">
        <v>16</v>
      </c>
      <c r="D17" t="s">
        <v>111</v>
      </c>
      <c r="E17">
        <v>4</v>
      </c>
      <c r="F17">
        <v>1</v>
      </c>
      <c r="G17" t="s">
        <v>476</v>
      </c>
      <c r="H17">
        <v>22</v>
      </c>
      <c r="I17" t="s">
        <v>477</v>
      </c>
      <c r="J17" t="s">
        <v>476</v>
      </c>
      <c r="K17">
        <v>16</v>
      </c>
      <c r="L17" t="s">
        <v>481</v>
      </c>
      <c r="M17">
        <v>27</v>
      </c>
      <c r="N17">
        <v>24</v>
      </c>
      <c r="O17">
        <v>271.33600000000001</v>
      </c>
      <c r="P17">
        <v>10</v>
      </c>
    </row>
    <row r="18" spans="1:16" x14ac:dyDescent="0.2">
      <c r="A18">
        <v>2019</v>
      </c>
      <c r="B18">
        <v>6</v>
      </c>
      <c r="C18">
        <v>17</v>
      </c>
      <c r="D18" t="s">
        <v>315</v>
      </c>
      <c r="E18">
        <v>4</v>
      </c>
      <c r="F18">
        <v>1</v>
      </c>
      <c r="G18" t="s">
        <v>476</v>
      </c>
      <c r="H18">
        <v>18</v>
      </c>
      <c r="I18" t="s">
        <v>477</v>
      </c>
      <c r="J18" t="s">
        <v>476</v>
      </c>
      <c r="K18">
        <v>38</v>
      </c>
      <c r="L18" t="s">
        <v>99</v>
      </c>
      <c r="M18">
        <v>17</v>
      </c>
      <c r="N18">
        <v>7</v>
      </c>
      <c r="O18">
        <v>270.73500000000001</v>
      </c>
      <c r="P18">
        <v>30</v>
      </c>
    </row>
    <row r="19" spans="1:16" x14ac:dyDescent="0.2">
      <c r="A19">
        <v>2019</v>
      </c>
      <c r="B19">
        <v>6</v>
      </c>
      <c r="C19">
        <v>18</v>
      </c>
      <c r="D19" t="s">
        <v>71</v>
      </c>
      <c r="E19">
        <v>5</v>
      </c>
      <c r="F19">
        <v>0</v>
      </c>
      <c r="G19" t="s">
        <v>476</v>
      </c>
      <c r="H19">
        <v>29</v>
      </c>
      <c r="I19" t="s">
        <v>477</v>
      </c>
      <c r="J19" t="s">
        <v>476</v>
      </c>
      <c r="K19">
        <v>41</v>
      </c>
      <c r="L19" t="s">
        <v>193</v>
      </c>
      <c r="M19">
        <v>31</v>
      </c>
      <c r="N19">
        <v>12</v>
      </c>
      <c r="O19">
        <v>267.67899999999997</v>
      </c>
      <c r="P19">
        <v>85</v>
      </c>
    </row>
    <row r="20" spans="1:16" x14ac:dyDescent="0.2">
      <c r="A20">
        <v>2019</v>
      </c>
      <c r="B20">
        <v>6</v>
      </c>
      <c r="C20">
        <v>19</v>
      </c>
      <c r="D20" t="s">
        <v>97</v>
      </c>
      <c r="E20">
        <v>4</v>
      </c>
      <c r="F20">
        <v>1</v>
      </c>
      <c r="G20" t="s">
        <v>476</v>
      </c>
      <c r="H20">
        <v>17</v>
      </c>
      <c r="I20" t="s">
        <v>478</v>
      </c>
      <c r="L20" t="s">
        <v>478</v>
      </c>
      <c r="O20">
        <v>267.21600000000001</v>
      </c>
      <c r="P20">
        <v>55</v>
      </c>
    </row>
    <row r="21" spans="1:16" x14ac:dyDescent="0.2">
      <c r="A21">
        <v>2019</v>
      </c>
      <c r="B21">
        <v>6</v>
      </c>
      <c r="C21">
        <v>20</v>
      </c>
      <c r="D21" t="s">
        <v>481</v>
      </c>
      <c r="E21">
        <v>4</v>
      </c>
      <c r="F21">
        <v>2</v>
      </c>
      <c r="G21" t="s">
        <v>476</v>
      </c>
      <c r="H21">
        <v>16</v>
      </c>
      <c r="I21" t="s">
        <v>479</v>
      </c>
      <c r="J21" t="s">
        <v>476</v>
      </c>
      <c r="K21">
        <v>22</v>
      </c>
      <c r="L21" t="s">
        <v>111</v>
      </c>
      <c r="M21">
        <v>24</v>
      </c>
      <c r="N21">
        <v>27</v>
      </c>
      <c r="O21">
        <v>265.04000000000002</v>
      </c>
      <c r="P21">
        <v>26</v>
      </c>
    </row>
    <row r="22" spans="1:16" x14ac:dyDescent="0.2">
      <c r="A22">
        <v>2019</v>
      </c>
      <c r="B22">
        <v>6</v>
      </c>
      <c r="C22">
        <v>21</v>
      </c>
      <c r="D22" t="s">
        <v>253</v>
      </c>
      <c r="E22">
        <v>5</v>
      </c>
      <c r="F22">
        <v>0</v>
      </c>
      <c r="G22" t="s">
        <v>476</v>
      </c>
      <c r="H22">
        <v>23</v>
      </c>
      <c r="I22" t="s">
        <v>477</v>
      </c>
      <c r="J22" t="s">
        <v>476</v>
      </c>
      <c r="K22">
        <v>102</v>
      </c>
      <c r="L22" t="s">
        <v>173</v>
      </c>
      <c r="M22">
        <v>40</v>
      </c>
      <c r="N22">
        <v>17</v>
      </c>
      <c r="O22">
        <v>263.53399999999999</v>
      </c>
      <c r="P22">
        <v>84</v>
      </c>
    </row>
    <row r="23" spans="1:16" x14ac:dyDescent="0.2">
      <c r="A23">
        <v>2019</v>
      </c>
      <c r="B23">
        <v>6</v>
      </c>
      <c r="C23">
        <v>22</v>
      </c>
      <c r="D23" t="s">
        <v>35</v>
      </c>
      <c r="E23">
        <v>4</v>
      </c>
      <c r="F23">
        <v>0</v>
      </c>
      <c r="G23" t="s">
        <v>476</v>
      </c>
      <c r="H23">
        <v>20</v>
      </c>
      <c r="I23" t="s">
        <v>478</v>
      </c>
      <c r="L23" t="s">
        <v>478</v>
      </c>
      <c r="O23">
        <v>263.399</v>
      </c>
      <c r="P23">
        <v>123</v>
      </c>
    </row>
    <row r="24" spans="1:16" x14ac:dyDescent="0.2">
      <c r="A24">
        <v>2019</v>
      </c>
      <c r="B24">
        <v>6</v>
      </c>
      <c r="C24">
        <v>23</v>
      </c>
      <c r="D24" t="s">
        <v>375</v>
      </c>
      <c r="E24">
        <v>3</v>
      </c>
      <c r="F24">
        <v>2</v>
      </c>
      <c r="G24" t="s">
        <v>476</v>
      </c>
      <c r="H24">
        <v>21</v>
      </c>
      <c r="I24" t="s">
        <v>478</v>
      </c>
      <c r="L24" t="s">
        <v>478</v>
      </c>
      <c r="O24">
        <v>262.86099999999999</v>
      </c>
      <c r="P24">
        <v>51</v>
      </c>
    </row>
    <row r="25" spans="1:16" x14ac:dyDescent="0.2">
      <c r="A25">
        <v>2019</v>
      </c>
      <c r="B25">
        <v>6</v>
      </c>
      <c r="C25">
        <v>24</v>
      </c>
      <c r="D25" t="s">
        <v>443</v>
      </c>
      <c r="E25">
        <v>5</v>
      </c>
      <c r="F25">
        <v>0</v>
      </c>
      <c r="G25" t="s">
        <v>476</v>
      </c>
      <c r="H25">
        <v>24</v>
      </c>
      <c r="I25" t="s">
        <v>478</v>
      </c>
      <c r="L25" t="s">
        <v>478</v>
      </c>
      <c r="O25">
        <v>260.60700000000003</v>
      </c>
      <c r="P25">
        <v>68</v>
      </c>
    </row>
    <row r="26" spans="1:16" x14ac:dyDescent="0.2">
      <c r="A26">
        <v>2019</v>
      </c>
      <c r="B26">
        <v>6</v>
      </c>
      <c r="C26">
        <v>25</v>
      </c>
      <c r="D26" t="s">
        <v>482</v>
      </c>
      <c r="E26">
        <v>3</v>
      </c>
      <c r="F26">
        <v>2</v>
      </c>
      <c r="G26" t="s">
        <v>476</v>
      </c>
      <c r="H26">
        <v>25</v>
      </c>
      <c r="I26" t="s">
        <v>478</v>
      </c>
      <c r="L26" t="s">
        <v>478</v>
      </c>
      <c r="O26">
        <v>260.55599999999998</v>
      </c>
      <c r="P26">
        <v>4</v>
      </c>
    </row>
    <row r="27" spans="1:16" x14ac:dyDescent="0.2">
      <c r="A27">
        <v>2019</v>
      </c>
      <c r="B27">
        <v>6</v>
      </c>
      <c r="C27">
        <v>26</v>
      </c>
      <c r="D27" t="s">
        <v>359</v>
      </c>
      <c r="E27">
        <v>3</v>
      </c>
      <c r="F27">
        <v>3</v>
      </c>
      <c r="G27" t="s">
        <v>476</v>
      </c>
      <c r="H27">
        <v>31</v>
      </c>
      <c r="I27" t="s">
        <v>477</v>
      </c>
      <c r="J27" t="s">
        <v>476</v>
      </c>
      <c r="K27">
        <v>19</v>
      </c>
      <c r="L27" t="s">
        <v>447</v>
      </c>
      <c r="M27">
        <v>23</v>
      </c>
      <c r="N27">
        <v>13</v>
      </c>
      <c r="O27">
        <v>260.47899999999998</v>
      </c>
      <c r="P27">
        <v>1</v>
      </c>
    </row>
    <row r="28" spans="1:16" x14ac:dyDescent="0.2">
      <c r="A28">
        <v>2019</v>
      </c>
      <c r="B28">
        <v>6</v>
      </c>
      <c r="C28">
        <v>27</v>
      </c>
      <c r="D28" t="s">
        <v>245</v>
      </c>
      <c r="E28">
        <v>4</v>
      </c>
      <c r="F28">
        <v>2</v>
      </c>
      <c r="G28" t="s">
        <v>476</v>
      </c>
      <c r="H28">
        <v>27</v>
      </c>
      <c r="I28" t="s">
        <v>479</v>
      </c>
      <c r="J28" t="s">
        <v>476</v>
      </c>
      <c r="K28">
        <v>2</v>
      </c>
      <c r="L28" t="s">
        <v>300</v>
      </c>
      <c r="M28">
        <v>10</v>
      </c>
      <c r="N28">
        <v>34</v>
      </c>
      <c r="O28">
        <v>260.27600000000001</v>
      </c>
      <c r="P28">
        <v>16</v>
      </c>
    </row>
    <row r="29" spans="1:16" x14ac:dyDescent="0.2">
      <c r="A29">
        <v>2019</v>
      </c>
      <c r="B29">
        <v>6</v>
      </c>
      <c r="C29">
        <v>28</v>
      </c>
      <c r="D29" t="s">
        <v>204</v>
      </c>
      <c r="E29">
        <v>4</v>
      </c>
      <c r="F29">
        <v>1</v>
      </c>
      <c r="G29" t="s">
        <v>476</v>
      </c>
      <c r="H29">
        <v>26</v>
      </c>
      <c r="I29" t="s">
        <v>478</v>
      </c>
      <c r="L29" t="s">
        <v>478</v>
      </c>
      <c r="O29">
        <v>259.64600000000002</v>
      </c>
      <c r="P29">
        <v>54</v>
      </c>
    </row>
    <row r="30" spans="1:16" x14ac:dyDescent="0.2">
      <c r="A30">
        <v>2019</v>
      </c>
      <c r="B30">
        <v>6</v>
      </c>
      <c r="C30">
        <v>29</v>
      </c>
      <c r="D30" t="s">
        <v>447</v>
      </c>
      <c r="E30">
        <v>4</v>
      </c>
      <c r="F30">
        <v>2</v>
      </c>
      <c r="G30" t="s">
        <v>476</v>
      </c>
      <c r="H30">
        <v>19</v>
      </c>
      <c r="I30" t="s">
        <v>479</v>
      </c>
      <c r="J30" t="s">
        <v>476</v>
      </c>
      <c r="K30">
        <v>31</v>
      </c>
      <c r="L30" t="s">
        <v>359</v>
      </c>
      <c r="M30">
        <v>13</v>
      </c>
      <c r="N30">
        <v>23</v>
      </c>
      <c r="O30">
        <v>258.96600000000001</v>
      </c>
      <c r="P30">
        <v>12</v>
      </c>
    </row>
    <row r="31" spans="1:16" x14ac:dyDescent="0.2">
      <c r="A31">
        <v>2019</v>
      </c>
      <c r="B31">
        <v>6</v>
      </c>
      <c r="C31">
        <v>30</v>
      </c>
      <c r="D31" t="s">
        <v>344</v>
      </c>
      <c r="E31">
        <v>6</v>
      </c>
      <c r="F31">
        <v>0</v>
      </c>
      <c r="G31" t="s">
        <v>476</v>
      </c>
      <c r="H31">
        <v>33</v>
      </c>
      <c r="I31" t="s">
        <v>477</v>
      </c>
      <c r="J31" t="s">
        <v>476</v>
      </c>
      <c r="K31">
        <v>104</v>
      </c>
      <c r="L31" t="s">
        <v>395</v>
      </c>
      <c r="M31">
        <v>43</v>
      </c>
      <c r="N31">
        <v>37</v>
      </c>
      <c r="O31">
        <v>258.50299999999999</v>
      </c>
      <c r="P31">
        <v>96</v>
      </c>
    </row>
    <row r="32" spans="1:16" x14ac:dyDescent="0.2">
      <c r="A32">
        <v>2019</v>
      </c>
      <c r="B32">
        <v>6</v>
      </c>
      <c r="C32">
        <v>31</v>
      </c>
      <c r="D32" t="s">
        <v>326</v>
      </c>
      <c r="E32">
        <v>4</v>
      </c>
      <c r="F32">
        <v>2</v>
      </c>
      <c r="G32" t="s">
        <v>476</v>
      </c>
      <c r="H32">
        <v>39</v>
      </c>
      <c r="I32" t="s">
        <v>477</v>
      </c>
      <c r="J32" t="s">
        <v>476</v>
      </c>
      <c r="K32">
        <v>45</v>
      </c>
      <c r="L32" t="s">
        <v>129</v>
      </c>
      <c r="M32">
        <v>33</v>
      </c>
      <c r="N32">
        <v>30</v>
      </c>
      <c r="O32">
        <v>255.994</v>
      </c>
      <c r="P32">
        <v>3</v>
      </c>
    </row>
    <row r="33" spans="1:16" x14ac:dyDescent="0.2">
      <c r="A33">
        <v>2019</v>
      </c>
      <c r="B33">
        <v>6</v>
      </c>
      <c r="C33">
        <v>32</v>
      </c>
      <c r="D33" t="s">
        <v>47</v>
      </c>
      <c r="E33">
        <v>4</v>
      </c>
      <c r="F33">
        <v>1</v>
      </c>
      <c r="G33" t="s">
        <v>476</v>
      </c>
      <c r="H33">
        <v>30</v>
      </c>
      <c r="I33" t="s">
        <v>478</v>
      </c>
      <c r="L33" t="s">
        <v>478</v>
      </c>
      <c r="O33">
        <v>255.328</v>
      </c>
      <c r="P33">
        <v>65</v>
      </c>
    </row>
    <row r="34" spans="1:16" x14ac:dyDescent="0.2">
      <c r="A34">
        <v>2019</v>
      </c>
      <c r="B34">
        <v>6</v>
      </c>
      <c r="C34">
        <v>33</v>
      </c>
      <c r="D34" t="s">
        <v>185</v>
      </c>
      <c r="E34">
        <v>3</v>
      </c>
      <c r="F34">
        <v>2</v>
      </c>
      <c r="G34" t="s">
        <v>476</v>
      </c>
      <c r="H34">
        <v>37</v>
      </c>
      <c r="I34" t="s">
        <v>477</v>
      </c>
      <c r="J34" t="s">
        <v>476</v>
      </c>
      <c r="K34">
        <v>60</v>
      </c>
      <c r="L34" t="s">
        <v>363</v>
      </c>
      <c r="M34">
        <v>49</v>
      </c>
      <c r="N34">
        <v>24</v>
      </c>
      <c r="O34">
        <v>254.369</v>
      </c>
      <c r="P34">
        <v>71</v>
      </c>
    </row>
    <row r="35" spans="1:16" x14ac:dyDescent="0.2">
      <c r="A35">
        <v>2019</v>
      </c>
      <c r="B35">
        <v>6</v>
      </c>
      <c r="C35">
        <v>34</v>
      </c>
      <c r="D35" t="s">
        <v>449</v>
      </c>
      <c r="E35">
        <v>3</v>
      </c>
      <c r="F35">
        <v>2</v>
      </c>
      <c r="G35" t="s">
        <v>476</v>
      </c>
      <c r="H35">
        <v>34</v>
      </c>
      <c r="I35" t="s">
        <v>478</v>
      </c>
      <c r="L35" t="s">
        <v>478</v>
      </c>
      <c r="O35">
        <v>252.89400000000001</v>
      </c>
      <c r="P35">
        <v>77</v>
      </c>
    </row>
    <row r="36" spans="1:16" x14ac:dyDescent="0.2">
      <c r="A36">
        <v>2019</v>
      </c>
      <c r="B36">
        <v>6</v>
      </c>
      <c r="C36">
        <v>35</v>
      </c>
      <c r="D36" t="s">
        <v>256</v>
      </c>
      <c r="E36">
        <v>3</v>
      </c>
      <c r="F36">
        <v>2</v>
      </c>
      <c r="G36" t="s">
        <v>476</v>
      </c>
      <c r="H36">
        <v>35</v>
      </c>
      <c r="I36" t="s">
        <v>478</v>
      </c>
      <c r="L36" t="s">
        <v>478</v>
      </c>
      <c r="O36">
        <v>252.38200000000001</v>
      </c>
      <c r="P36">
        <v>46</v>
      </c>
    </row>
    <row r="37" spans="1:16" x14ac:dyDescent="0.2">
      <c r="A37">
        <v>2019</v>
      </c>
      <c r="B37">
        <v>6</v>
      </c>
      <c r="C37">
        <v>36</v>
      </c>
      <c r="D37" t="s">
        <v>42</v>
      </c>
      <c r="E37">
        <v>4</v>
      </c>
      <c r="F37">
        <v>1</v>
      </c>
      <c r="G37" t="s">
        <v>476</v>
      </c>
      <c r="H37">
        <v>65</v>
      </c>
      <c r="I37" t="s">
        <v>477</v>
      </c>
      <c r="J37" t="s">
        <v>476</v>
      </c>
      <c r="K37">
        <v>48</v>
      </c>
      <c r="L37" t="s">
        <v>22</v>
      </c>
      <c r="M37">
        <v>35</v>
      </c>
      <c r="N37">
        <v>30</v>
      </c>
      <c r="O37">
        <v>251.92500000000001</v>
      </c>
      <c r="P37">
        <v>82</v>
      </c>
    </row>
    <row r="38" spans="1:16" x14ac:dyDescent="0.2">
      <c r="A38">
        <v>2019</v>
      </c>
      <c r="B38">
        <v>6</v>
      </c>
      <c r="C38">
        <v>37</v>
      </c>
      <c r="D38" t="s">
        <v>99</v>
      </c>
      <c r="E38">
        <v>4</v>
      </c>
      <c r="F38">
        <v>2</v>
      </c>
      <c r="G38" t="s">
        <v>476</v>
      </c>
      <c r="H38">
        <v>38</v>
      </c>
      <c r="I38" t="s">
        <v>479</v>
      </c>
      <c r="J38" t="s">
        <v>476</v>
      </c>
      <c r="K38">
        <v>18</v>
      </c>
      <c r="L38" t="s">
        <v>315</v>
      </c>
      <c r="M38">
        <v>7</v>
      </c>
      <c r="N38">
        <v>17</v>
      </c>
      <c r="O38">
        <v>251.68799999999999</v>
      </c>
      <c r="P38">
        <v>15</v>
      </c>
    </row>
    <row r="39" spans="1:16" x14ac:dyDescent="0.2">
      <c r="A39">
        <v>2019</v>
      </c>
      <c r="B39">
        <v>6</v>
      </c>
      <c r="C39">
        <v>38</v>
      </c>
      <c r="D39" t="s">
        <v>224</v>
      </c>
      <c r="E39">
        <v>3</v>
      </c>
      <c r="F39">
        <v>2</v>
      </c>
      <c r="G39" t="s">
        <v>476</v>
      </c>
      <c r="H39">
        <v>36</v>
      </c>
      <c r="I39" t="s">
        <v>479</v>
      </c>
      <c r="J39" t="s">
        <v>476</v>
      </c>
      <c r="K39">
        <v>14</v>
      </c>
      <c r="L39" t="s">
        <v>74</v>
      </c>
      <c r="M39">
        <v>31</v>
      </c>
      <c r="N39">
        <v>42</v>
      </c>
      <c r="O39">
        <v>251.37700000000001</v>
      </c>
      <c r="P39">
        <v>49</v>
      </c>
    </row>
    <row r="40" spans="1:16" x14ac:dyDescent="0.2">
      <c r="A40">
        <v>2019</v>
      </c>
      <c r="B40">
        <v>6</v>
      </c>
      <c r="C40">
        <v>39</v>
      </c>
      <c r="D40" t="s">
        <v>259</v>
      </c>
      <c r="E40">
        <v>4</v>
      </c>
      <c r="F40">
        <v>1</v>
      </c>
      <c r="G40" t="s">
        <v>476</v>
      </c>
      <c r="H40">
        <v>43</v>
      </c>
      <c r="I40" t="s">
        <v>477</v>
      </c>
      <c r="J40" t="s">
        <v>476</v>
      </c>
      <c r="K40">
        <v>79</v>
      </c>
      <c r="L40" t="s">
        <v>388</v>
      </c>
      <c r="M40">
        <v>42</v>
      </c>
      <c r="N40">
        <v>10</v>
      </c>
      <c r="O40">
        <v>251.322</v>
      </c>
      <c r="P40">
        <v>106</v>
      </c>
    </row>
    <row r="41" spans="1:16" x14ac:dyDescent="0.2">
      <c r="A41">
        <v>2019</v>
      </c>
      <c r="B41">
        <v>6</v>
      </c>
      <c r="C41">
        <v>40</v>
      </c>
      <c r="D41" t="s">
        <v>430</v>
      </c>
      <c r="E41">
        <v>3</v>
      </c>
      <c r="F41">
        <v>2</v>
      </c>
      <c r="G41" t="s">
        <v>476</v>
      </c>
      <c r="H41">
        <v>42</v>
      </c>
      <c r="I41" t="s">
        <v>479</v>
      </c>
      <c r="J41" t="s">
        <v>476</v>
      </c>
      <c r="K41">
        <v>3</v>
      </c>
      <c r="L41" t="s">
        <v>219</v>
      </c>
      <c r="M41">
        <v>6</v>
      </c>
      <c r="N41">
        <v>42</v>
      </c>
      <c r="O41">
        <v>251.066</v>
      </c>
      <c r="P41">
        <v>43</v>
      </c>
    </row>
    <row r="42" spans="1:16" x14ac:dyDescent="0.2">
      <c r="A42">
        <v>2019</v>
      </c>
      <c r="B42">
        <v>6</v>
      </c>
      <c r="C42">
        <v>41</v>
      </c>
      <c r="D42" t="s">
        <v>391</v>
      </c>
      <c r="E42">
        <v>4</v>
      </c>
      <c r="F42">
        <v>1</v>
      </c>
      <c r="G42" t="s">
        <v>476</v>
      </c>
      <c r="H42">
        <v>73</v>
      </c>
      <c r="I42" t="s">
        <v>477</v>
      </c>
      <c r="J42" t="s">
        <v>476</v>
      </c>
      <c r="K42">
        <v>32</v>
      </c>
      <c r="L42" t="s">
        <v>58</v>
      </c>
      <c r="M42">
        <v>42</v>
      </c>
      <c r="N42">
        <v>33</v>
      </c>
      <c r="O42">
        <v>250.54900000000001</v>
      </c>
      <c r="P42">
        <v>34</v>
      </c>
    </row>
    <row r="43" spans="1:16" x14ac:dyDescent="0.2">
      <c r="A43">
        <v>2019</v>
      </c>
      <c r="B43">
        <v>6</v>
      </c>
      <c r="C43">
        <v>42</v>
      </c>
      <c r="D43" t="s">
        <v>231</v>
      </c>
      <c r="E43">
        <v>5</v>
      </c>
      <c r="F43">
        <v>0</v>
      </c>
      <c r="G43" t="s">
        <v>476</v>
      </c>
      <c r="H43">
        <v>47</v>
      </c>
      <c r="I43" t="s">
        <v>477</v>
      </c>
      <c r="J43" t="s">
        <v>476</v>
      </c>
      <c r="K43">
        <v>103</v>
      </c>
      <c r="L43" t="s">
        <v>483</v>
      </c>
      <c r="M43">
        <v>52</v>
      </c>
      <c r="N43">
        <v>33</v>
      </c>
      <c r="O43">
        <v>250.37899999999999</v>
      </c>
      <c r="P43">
        <v>129</v>
      </c>
    </row>
    <row r="44" spans="1:16" x14ac:dyDescent="0.2">
      <c r="A44">
        <v>2019</v>
      </c>
      <c r="B44">
        <v>6</v>
      </c>
      <c r="C44">
        <v>43</v>
      </c>
      <c r="D44" t="s">
        <v>149</v>
      </c>
      <c r="E44">
        <v>3</v>
      </c>
      <c r="F44">
        <v>2</v>
      </c>
      <c r="G44" t="s">
        <v>476</v>
      </c>
      <c r="H44">
        <v>40</v>
      </c>
      <c r="I44" t="s">
        <v>478</v>
      </c>
      <c r="L44" t="s">
        <v>478</v>
      </c>
      <c r="O44">
        <v>249.548</v>
      </c>
      <c r="P44">
        <v>33</v>
      </c>
    </row>
    <row r="45" spans="1:16" x14ac:dyDescent="0.2">
      <c r="A45">
        <v>2019</v>
      </c>
      <c r="B45">
        <v>6</v>
      </c>
      <c r="C45">
        <v>44</v>
      </c>
      <c r="D45" t="s">
        <v>269</v>
      </c>
      <c r="E45">
        <v>4</v>
      </c>
      <c r="F45">
        <v>2</v>
      </c>
      <c r="G45" t="s">
        <v>476</v>
      </c>
      <c r="H45">
        <v>51</v>
      </c>
      <c r="I45" t="s">
        <v>477</v>
      </c>
      <c r="J45" t="s">
        <v>476</v>
      </c>
      <c r="K45">
        <v>46</v>
      </c>
      <c r="L45" t="s">
        <v>294</v>
      </c>
      <c r="M45">
        <v>13</v>
      </c>
      <c r="N45">
        <v>10</v>
      </c>
      <c r="O45">
        <v>247.97800000000001</v>
      </c>
      <c r="P45">
        <v>45</v>
      </c>
    </row>
    <row r="46" spans="1:16" x14ac:dyDescent="0.2">
      <c r="A46">
        <v>2019</v>
      </c>
      <c r="B46">
        <v>6</v>
      </c>
      <c r="C46">
        <v>45</v>
      </c>
      <c r="D46" t="s">
        <v>193</v>
      </c>
      <c r="E46">
        <v>3</v>
      </c>
      <c r="F46">
        <v>2</v>
      </c>
      <c r="G46" t="s">
        <v>476</v>
      </c>
      <c r="H46">
        <v>41</v>
      </c>
      <c r="I46" t="s">
        <v>479</v>
      </c>
      <c r="J46" t="s">
        <v>476</v>
      </c>
      <c r="K46">
        <v>29</v>
      </c>
      <c r="L46" t="s">
        <v>71</v>
      </c>
      <c r="M46">
        <v>12</v>
      </c>
      <c r="N46">
        <v>31</v>
      </c>
      <c r="O46">
        <v>247.79499999999999</v>
      </c>
      <c r="P46">
        <v>31</v>
      </c>
    </row>
    <row r="47" spans="1:16" x14ac:dyDescent="0.2">
      <c r="A47">
        <v>2019</v>
      </c>
      <c r="B47">
        <v>6</v>
      </c>
      <c r="C47">
        <v>46</v>
      </c>
      <c r="D47" t="s">
        <v>337</v>
      </c>
      <c r="E47">
        <v>4</v>
      </c>
      <c r="F47">
        <v>1</v>
      </c>
      <c r="G47" t="s">
        <v>476</v>
      </c>
      <c r="H47">
        <v>50</v>
      </c>
      <c r="I47" t="s">
        <v>477</v>
      </c>
      <c r="J47" t="s">
        <v>476</v>
      </c>
      <c r="K47">
        <v>121</v>
      </c>
      <c r="L47" t="s">
        <v>125</v>
      </c>
      <c r="M47">
        <v>24</v>
      </c>
      <c r="N47">
        <v>10</v>
      </c>
      <c r="O47">
        <v>247.17</v>
      </c>
      <c r="P47">
        <v>104</v>
      </c>
    </row>
    <row r="48" spans="1:16" x14ac:dyDescent="0.2">
      <c r="A48">
        <v>2019</v>
      </c>
      <c r="B48">
        <v>6</v>
      </c>
      <c r="C48">
        <v>47</v>
      </c>
      <c r="D48" t="s">
        <v>58</v>
      </c>
      <c r="E48">
        <v>3</v>
      </c>
      <c r="F48">
        <v>2</v>
      </c>
      <c r="G48" t="s">
        <v>476</v>
      </c>
      <c r="H48">
        <v>32</v>
      </c>
      <c r="I48" t="s">
        <v>479</v>
      </c>
      <c r="J48" t="s">
        <v>476</v>
      </c>
      <c r="K48">
        <v>73</v>
      </c>
      <c r="L48" t="s">
        <v>391</v>
      </c>
      <c r="M48">
        <v>33</v>
      </c>
      <c r="N48">
        <v>42</v>
      </c>
      <c r="O48">
        <v>246.012</v>
      </c>
      <c r="P48">
        <v>92</v>
      </c>
    </row>
    <row r="49" spans="1:16" x14ac:dyDescent="0.2">
      <c r="A49">
        <v>2019</v>
      </c>
      <c r="B49">
        <v>6</v>
      </c>
      <c r="C49">
        <v>48</v>
      </c>
      <c r="D49" t="s">
        <v>381</v>
      </c>
      <c r="E49">
        <v>3</v>
      </c>
      <c r="F49">
        <v>2</v>
      </c>
      <c r="G49" t="s">
        <v>476</v>
      </c>
      <c r="H49">
        <v>83</v>
      </c>
      <c r="I49" t="s">
        <v>477</v>
      </c>
      <c r="J49" t="s">
        <v>476</v>
      </c>
      <c r="K49">
        <v>28</v>
      </c>
      <c r="L49" t="s">
        <v>307</v>
      </c>
      <c r="M49">
        <v>45</v>
      </c>
      <c r="N49">
        <v>35</v>
      </c>
      <c r="O49">
        <v>245.94800000000001</v>
      </c>
      <c r="P49">
        <v>52</v>
      </c>
    </row>
    <row r="50" spans="1:16" x14ac:dyDescent="0.2">
      <c r="A50">
        <v>2019</v>
      </c>
      <c r="B50">
        <v>6</v>
      </c>
      <c r="C50">
        <v>49</v>
      </c>
      <c r="D50" t="s">
        <v>484</v>
      </c>
      <c r="E50">
        <v>3</v>
      </c>
      <c r="F50">
        <v>2</v>
      </c>
      <c r="G50" t="s">
        <v>476</v>
      </c>
      <c r="H50">
        <v>44</v>
      </c>
      <c r="I50" t="s">
        <v>478</v>
      </c>
      <c r="L50" t="s">
        <v>478</v>
      </c>
      <c r="O50">
        <v>245.93700000000001</v>
      </c>
      <c r="P50">
        <v>100</v>
      </c>
    </row>
    <row r="51" spans="1:16" x14ac:dyDescent="0.2">
      <c r="A51">
        <v>2019</v>
      </c>
      <c r="B51">
        <v>6</v>
      </c>
      <c r="C51">
        <v>50</v>
      </c>
      <c r="D51" t="s">
        <v>307</v>
      </c>
      <c r="E51">
        <v>4</v>
      </c>
      <c r="F51">
        <v>2</v>
      </c>
      <c r="G51" t="s">
        <v>476</v>
      </c>
      <c r="H51">
        <v>28</v>
      </c>
      <c r="I51" t="s">
        <v>479</v>
      </c>
      <c r="J51" t="s">
        <v>476</v>
      </c>
      <c r="K51">
        <v>83</v>
      </c>
      <c r="L51" t="s">
        <v>381</v>
      </c>
      <c r="M51">
        <v>35</v>
      </c>
      <c r="N51">
        <v>45</v>
      </c>
      <c r="O51">
        <v>244.77799999999999</v>
      </c>
      <c r="P51">
        <v>50</v>
      </c>
    </row>
    <row r="52" spans="1:16" x14ac:dyDescent="0.2">
      <c r="A52">
        <v>2019</v>
      </c>
      <c r="B52">
        <v>6</v>
      </c>
      <c r="C52">
        <v>51</v>
      </c>
      <c r="D52" t="s">
        <v>367</v>
      </c>
      <c r="E52">
        <v>4</v>
      </c>
      <c r="F52">
        <v>1</v>
      </c>
      <c r="G52" t="s">
        <v>476</v>
      </c>
      <c r="H52">
        <v>54</v>
      </c>
      <c r="I52" t="s">
        <v>477</v>
      </c>
      <c r="J52" t="s">
        <v>476</v>
      </c>
      <c r="K52">
        <v>107</v>
      </c>
      <c r="L52" t="s">
        <v>133</v>
      </c>
      <c r="M52">
        <v>27</v>
      </c>
      <c r="N52">
        <v>17</v>
      </c>
      <c r="O52">
        <v>244.702</v>
      </c>
      <c r="P52">
        <v>120</v>
      </c>
    </row>
    <row r="53" spans="1:16" x14ac:dyDescent="0.2">
      <c r="A53">
        <v>2019</v>
      </c>
      <c r="B53">
        <v>6</v>
      </c>
      <c r="C53">
        <v>52</v>
      </c>
      <c r="D53" t="s">
        <v>385</v>
      </c>
      <c r="E53">
        <v>4</v>
      </c>
      <c r="F53">
        <v>1</v>
      </c>
      <c r="G53" t="s">
        <v>476</v>
      </c>
      <c r="H53">
        <v>55</v>
      </c>
      <c r="I53" t="s">
        <v>477</v>
      </c>
      <c r="J53" t="s">
        <v>476</v>
      </c>
      <c r="K53">
        <v>87</v>
      </c>
      <c r="L53" t="s">
        <v>456</v>
      </c>
      <c r="M53">
        <v>31</v>
      </c>
      <c r="N53">
        <v>24</v>
      </c>
      <c r="O53">
        <v>244.315</v>
      </c>
      <c r="P53">
        <v>95</v>
      </c>
    </row>
    <row r="54" spans="1:16" x14ac:dyDescent="0.2">
      <c r="A54">
        <v>2019</v>
      </c>
      <c r="B54">
        <v>6</v>
      </c>
      <c r="C54">
        <v>53</v>
      </c>
      <c r="D54" t="s">
        <v>129</v>
      </c>
      <c r="E54">
        <v>3</v>
      </c>
      <c r="F54">
        <v>2</v>
      </c>
      <c r="G54" t="s">
        <v>476</v>
      </c>
      <c r="H54">
        <v>45</v>
      </c>
      <c r="I54" t="s">
        <v>479</v>
      </c>
      <c r="J54" t="s">
        <v>476</v>
      </c>
      <c r="K54">
        <v>39</v>
      </c>
      <c r="L54" t="s">
        <v>326</v>
      </c>
      <c r="M54">
        <v>30</v>
      </c>
      <c r="N54">
        <v>33</v>
      </c>
      <c r="O54">
        <v>243.93</v>
      </c>
      <c r="P54">
        <v>35</v>
      </c>
    </row>
    <row r="55" spans="1:16" x14ac:dyDescent="0.2">
      <c r="A55">
        <v>2019</v>
      </c>
      <c r="B55">
        <v>6</v>
      </c>
      <c r="C55">
        <v>54</v>
      </c>
      <c r="D55" t="s">
        <v>485</v>
      </c>
      <c r="E55">
        <v>4</v>
      </c>
      <c r="F55">
        <v>1</v>
      </c>
      <c r="G55" t="s">
        <v>476</v>
      </c>
      <c r="H55">
        <v>49</v>
      </c>
      <c r="I55" t="s">
        <v>478</v>
      </c>
      <c r="L55" t="s">
        <v>478</v>
      </c>
      <c r="O55">
        <v>243.214</v>
      </c>
      <c r="P55">
        <v>66</v>
      </c>
    </row>
    <row r="56" spans="1:16" x14ac:dyDescent="0.2">
      <c r="A56">
        <v>2019</v>
      </c>
      <c r="B56">
        <v>6</v>
      </c>
      <c r="C56">
        <v>55</v>
      </c>
      <c r="D56" t="s">
        <v>38</v>
      </c>
      <c r="E56">
        <v>3</v>
      </c>
      <c r="F56">
        <v>3</v>
      </c>
      <c r="G56" t="s">
        <v>476</v>
      </c>
      <c r="H56">
        <v>57</v>
      </c>
      <c r="I56" t="s">
        <v>477</v>
      </c>
      <c r="J56" t="s">
        <v>476</v>
      </c>
      <c r="K56">
        <v>105</v>
      </c>
      <c r="L56" t="s">
        <v>164</v>
      </c>
      <c r="M56">
        <v>38</v>
      </c>
      <c r="N56">
        <v>22</v>
      </c>
      <c r="O56">
        <v>242.10300000000001</v>
      </c>
      <c r="P56">
        <v>5</v>
      </c>
    </row>
    <row r="57" spans="1:16" x14ac:dyDescent="0.2">
      <c r="A57">
        <v>2019</v>
      </c>
      <c r="B57">
        <v>6</v>
      </c>
      <c r="C57">
        <v>56</v>
      </c>
      <c r="D57" t="s">
        <v>294</v>
      </c>
      <c r="E57">
        <v>1</v>
      </c>
      <c r="F57">
        <v>4</v>
      </c>
      <c r="G57" t="s">
        <v>476</v>
      </c>
      <c r="H57">
        <v>46</v>
      </c>
      <c r="I57" t="s">
        <v>479</v>
      </c>
      <c r="J57" t="s">
        <v>476</v>
      </c>
      <c r="K57">
        <v>51</v>
      </c>
      <c r="L57" t="s">
        <v>269</v>
      </c>
      <c r="M57">
        <v>10</v>
      </c>
      <c r="N57">
        <v>13</v>
      </c>
      <c r="O57">
        <v>240.64500000000001</v>
      </c>
      <c r="P57">
        <v>9</v>
      </c>
    </row>
    <row r="58" spans="1:16" x14ac:dyDescent="0.2">
      <c r="A58">
        <v>2019</v>
      </c>
      <c r="B58">
        <v>6</v>
      </c>
      <c r="C58">
        <v>57</v>
      </c>
      <c r="D58" t="s">
        <v>167</v>
      </c>
      <c r="E58">
        <v>4</v>
      </c>
      <c r="F58">
        <v>1</v>
      </c>
      <c r="G58" t="s">
        <v>476</v>
      </c>
      <c r="H58">
        <v>53</v>
      </c>
      <c r="I58" t="s">
        <v>478</v>
      </c>
      <c r="L58" t="s">
        <v>478</v>
      </c>
      <c r="O58">
        <v>240.38499999999999</v>
      </c>
      <c r="P58">
        <v>93</v>
      </c>
    </row>
    <row r="59" spans="1:16" x14ac:dyDescent="0.2">
      <c r="A59">
        <v>2019</v>
      </c>
      <c r="B59">
        <v>6</v>
      </c>
      <c r="C59">
        <v>58</v>
      </c>
      <c r="D59" t="s">
        <v>159</v>
      </c>
      <c r="E59">
        <v>2</v>
      </c>
      <c r="F59">
        <v>3</v>
      </c>
      <c r="G59" t="s">
        <v>476</v>
      </c>
      <c r="H59">
        <v>62</v>
      </c>
      <c r="I59" t="s">
        <v>477</v>
      </c>
      <c r="J59" t="s">
        <v>476</v>
      </c>
      <c r="K59">
        <v>124</v>
      </c>
      <c r="L59" t="s">
        <v>347</v>
      </c>
      <c r="M59">
        <v>20</v>
      </c>
      <c r="N59">
        <v>17</v>
      </c>
      <c r="O59">
        <v>240.28399999999999</v>
      </c>
      <c r="P59">
        <v>47</v>
      </c>
    </row>
    <row r="60" spans="1:16" x14ac:dyDescent="0.2">
      <c r="A60">
        <v>2019</v>
      </c>
      <c r="B60">
        <v>6</v>
      </c>
      <c r="C60">
        <v>59</v>
      </c>
      <c r="D60" t="s">
        <v>355</v>
      </c>
      <c r="E60">
        <v>3</v>
      </c>
      <c r="F60">
        <v>2</v>
      </c>
      <c r="G60" t="s">
        <v>476</v>
      </c>
      <c r="H60">
        <v>56</v>
      </c>
      <c r="I60" t="s">
        <v>478</v>
      </c>
      <c r="L60" t="s">
        <v>478</v>
      </c>
      <c r="O60">
        <v>239.96100000000001</v>
      </c>
      <c r="P60">
        <v>17</v>
      </c>
    </row>
    <row r="61" spans="1:16" x14ac:dyDescent="0.2">
      <c r="A61">
        <v>2019</v>
      </c>
      <c r="B61">
        <v>6</v>
      </c>
      <c r="C61">
        <v>60</v>
      </c>
      <c r="D61" t="s">
        <v>22</v>
      </c>
      <c r="E61">
        <v>3</v>
      </c>
      <c r="F61">
        <v>2</v>
      </c>
      <c r="G61" t="s">
        <v>476</v>
      </c>
      <c r="H61">
        <v>48</v>
      </c>
      <c r="I61" t="s">
        <v>479</v>
      </c>
      <c r="J61" t="s">
        <v>476</v>
      </c>
      <c r="K61">
        <v>65</v>
      </c>
      <c r="L61" t="s">
        <v>42</v>
      </c>
      <c r="M61">
        <v>30</v>
      </c>
      <c r="N61">
        <v>35</v>
      </c>
      <c r="O61">
        <v>239.899</v>
      </c>
      <c r="P61">
        <v>61</v>
      </c>
    </row>
    <row r="62" spans="1:16" x14ac:dyDescent="0.2">
      <c r="A62">
        <v>2019</v>
      </c>
      <c r="B62">
        <v>6</v>
      </c>
      <c r="C62">
        <v>61</v>
      </c>
      <c r="D62" t="s">
        <v>227</v>
      </c>
      <c r="E62">
        <v>3</v>
      </c>
      <c r="F62">
        <v>2</v>
      </c>
      <c r="G62" t="s">
        <v>476</v>
      </c>
      <c r="H62">
        <v>70</v>
      </c>
      <c r="I62" t="s">
        <v>477</v>
      </c>
      <c r="J62" t="s">
        <v>476</v>
      </c>
      <c r="K62">
        <v>109</v>
      </c>
      <c r="L62" t="s">
        <v>332</v>
      </c>
      <c r="M62">
        <v>48</v>
      </c>
      <c r="N62">
        <v>7</v>
      </c>
      <c r="O62">
        <v>239.83199999999999</v>
      </c>
      <c r="P62">
        <v>48</v>
      </c>
    </row>
    <row r="63" spans="1:16" x14ac:dyDescent="0.2">
      <c r="A63">
        <v>2019</v>
      </c>
      <c r="B63">
        <v>6</v>
      </c>
      <c r="C63">
        <v>62</v>
      </c>
      <c r="D63" t="s">
        <v>153</v>
      </c>
      <c r="E63">
        <v>2</v>
      </c>
      <c r="F63">
        <v>2</v>
      </c>
      <c r="G63" t="s">
        <v>476</v>
      </c>
      <c r="H63">
        <v>58</v>
      </c>
      <c r="I63" t="s">
        <v>478</v>
      </c>
      <c r="L63" t="s">
        <v>478</v>
      </c>
      <c r="O63">
        <v>239.72499999999999</v>
      </c>
      <c r="P63">
        <v>115</v>
      </c>
    </row>
    <row r="64" spans="1:16" x14ac:dyDescent="0.2">
      <c r="A64">
        <v>2019</v>
      </c>
      <c r="B64">
        <v>6</v>
      </c>
      <c r="C64">
        <v>63</v>
      </c>
      <c r="D64" t="s">
        <v>486</v>
      </c>
      <c r="E64">
        <v>2</v>
      </c>
      <c r="F64">
        <v>3</v>
      </c>
      <c r="G64" t="s">
        <v>476</v>
      </c>
      <c r="H64">
        <v>59</v>
      </c>
      <c r="I64" t="s">
        <v>478</v>
      </c>
      <c r="L64" t="s">
        <v>478</v>
      </c>
      <c r="O64">
        <v>239.154</v>
      </c>
      <c r="P64">
        <v>19</v>
      </c>
    </row>
    <row r="65" spans="1:16" x14ac:dyDescent="0.2">
      <c r="A65">
        <v>2019</v>
      </c>
      <c r="B65">
        <v>6</v>
      </c>
      <c r="C65">
        <v>64</v>
      </c>
      <c r="D65" t="s">
        <v>363</v>
      </c>
      <c r="E65">
        <v>3</v>
      </c>
      <c r="F65">
        <v>2</v>
      </c>
      <c r="G65" t="s">
        <v>476</v>
      </c>
      <c r="H65">
        <v>60</v>
      </c>
      <c r="I65" t="s">
        <v>479</v>
      </c>
      <c r="J65" t="s">
        <v>476</v>
      </c>
      <c r="K65">
        <v>37</v>
      </c>
      <c r="L65" t="s">
        <v>185</v>
      </c>
      <c r="M65">
        <v>24</v>
      </c>
      <c r="N65">
        <v>49</v>
      </c>
      <c r="O65">
        <v>239.04499999999999</v>
      </c>
      <c r="P65">
        <v>105</v>
      </c>
    </row>
    <row r="66" spans="1:16" x14ac:dyDescent="0.2">
      <c r="A66">
        <v>2019</v>
      </c>
      <c r="B66">
        <v>6</v>
      </c>
      <c r="C66">
        <v>65</v>
      </c>
      <c r="D66" t="s">
        <v>214</v>
      </c>
      <c r="E66">
        <v>4</v>
      </c>
      <c r="F66">
        <v>1</v>
      </c>
      <c r="G66" t="s">
        <v>476</v>
      </c>
      <c r="H66">
        <v>61</v>
      </c>
      <c r="I66" t="s">
        <v>478</v>
      </c>
      <c r="L66" t="s">
        <v>478</v>
      </c>
      <c r="O66">
        <v>238.79300000000001</v>
      </c>
      <c r="P66">
        <v>107</v>
      </c>
    </row>
    <row r="67" spans="1:16" x14ac:dyDescent="0.2">
      <c r="A67">
        <v>2019</v>
      </c>
      <c r="B67">
        <v>6</v>
      </c>
      <c r="C67">
        <v>66</v>
      </c>
      <c r="D67" t="s">
        <v>361</v>
      </c>
      <c r="E67">
        <v>3</v>
      </c>
      <c r="F67">
        <v>2</v>
      </c>
      <c r="G67" t="s">
        <v>476</v>
      </c>
      <c r="H67">
        <v>64</v>
      </c>
      <c r="I67" t="s">
        <v>478</v>
      </c>
      <c r="L67" t="s">
        <v>478</v>
      </c>
      <c r="O67">
        <v>237.96</v>
      </c>
      <c r="P67">
        <v>88</v>
      </c>
    </row>
    <row r="68" spans="1:16" x14ac:dyDescent="0.2">
      <c r="A68">
        <v>2019</v>
      </c>
      <c r="B68">
        <v>6</v>
      </c>
      <c r="C68">
        <v>67</v>
      </c>
      <c r="D68" t="s">
        <v>116</v>
      </c>
      <c r="E68">
        <v>2</v>
      </c>
      <c r="F68">
        <v>3</v>
      </c>
      <c r="G68" t="s">
        <v>476</v>
      </c>
      <c r="H68">
        <v>66</v>
      </c>
      <c r="I68" t="s">
        <v>478</v>
      </c>
      <c r="L68" t="s">
        <v>478</v>
      </c>
      <c r="O68">
        <v>237.399</v>
      </c>
      <c r="P68">
        <v>37</v>
      </c>
    </row>
    <row r="69" spans="1:16" x14ac:dyDescent="0.2">
      <c r="A69">
        <v>2019</v>
      </c>
      <c r="B69">
        <v>6</v>
      </c>
      <c r="C69">
        <v>68</v>
      </c>
      <c r="D69" t="s">
        <v>439</v>
      </c>
      <c r="E69">
        <v>3</v>
      </c>
      <c r="F69">
        <v>2</v>
      </c>
      <c r="G69" t="s">
        <v>476</v>
      </c>
      <c r="H69">
        <v>77</v>
      </c>
      <c r="I69" t="s">
        <v>477</v>
      </c>
      <c r="J69" t="s">
        <v>476</v>
      </c>
      <c r="K69">
        <v>63</v>
      </c>
      <c r="L69" t="s">
        <v>487</v>
      </c>
      <c r="M69">
        <v>42</v>
      </c>
      <c r="N69">
        <v>35</v>
      </c>
      <c r="O69">
        <v>237.202</v>
      </c>
      <c r="P69">
        <v>101</v>
      </c>
    </row>
    <row r="70" spans="1:16" x14ac:dyDescent="0.2">
      <c r="A70">
        <v>2019</v>
      </c>
      <c r="B70">
        <v>6</v>
      </c>
      <c r="C70">
        <v>69</v>
      </c>
      <c r="D70" t="s">
        <v>199</v>
      </c>
      <c r="E70">
        <v>2</v>
      </c>
      <c r="F70">
        <v>3</v>
      </c>
      <c r="G70" t="s">
        <v>476</v>
      </c>
      <c r="H70">
        <v>67</v>
      </c>
      <c r="I70" t="s">
        <v>478</v>
      </c>
      <c r="L70" t="s">
        <v>478</v>
      </c>
      <c r="O70">
        <v>236.22900000000001</v>
      </c>
      <c r="P70">
        <v>42</v>
      </c>
    </row>
    <row r="71" spans="1:16" x14ac:dyDescent="0.2">
      <c r="A71">
        <v>2019</v>
      </c>
      <c r="B71">
        <v>6</v>
      </c>
      <c r="C71">
        <v>70</v>
      </c>
      <c r="D71" t="s">
        <v>249</v>
      </c>
      <c r="E71">
        <v>2</v>
      </c>
      <c r="F71">
        <v>3</v>
      </c>
      <c r="G71" t="s">
        <v>476</v>
      </c>
      <c r="H71">
        <v>80</v>
      </c>
      <c r="I71" t="s">
        <v>477</v>
      </c>
      <c r="J71" t="s">
        <v>476</v>
      </c>
      <c r="K71">
        <v>52</v>
      </c>
      <c r="L71" t="s">
        <v>221</v>
      </c>
      <c r="M71">
        <v>24</v>
      </c>
      <c r="N71">
        <v>13</v>
      </c>
      <c r="O71">
        <v>234.39400000000001</v>
      </c>
      <c r="P71">
        <v>14</v>
      </c>
    </row>
    <row r="72" spans="1:16" x14ac:dyDescent="0.2">
      <c r="A72">
        <v>2019</v>
      </c>
      <c r="B72">
        <v>6</v>
      </c>
      <c r="C72">
        <v>71</v>
      </c>
      <c r="D72" t="s">
        <v>221</v>
      </c>
      <c r="E72">
        <v>2</v>
      </c>
      <c r="F72">
        <v>3</v>
      </c>
      <c r="G72" t="s">
        <v>476</v>
      </c>
      <c r="H72">
        <v>52</v>
      </c>
      <c r="I72" t="s">
        <v>479</v>
      </c>
      <c r="J72" t="s">
        <v>476</v>
      </c>
      <c r="K72">
        <v>80</v>
      </c>
      <c r="L72" t="s">
        <v>249</v>
      </c>
      <c r="M72">
        <v>13</v>
      </c>
      <c r="N72">
        <v>24</v>
      </c>
      <c r="O72">
        <v>233.22399999999999</v>
      </c>
      <c r="P72">
        <v>29</v>
      </c>
    </row>
    <row r="73" spans="1:16" x14ac:dyDescent="0.2">
      <c r="A73">
        <v>2019</v>
      </c>
      <c r="B73">
        <v>6</v>
      </c>
      <c r="C73">
        <v>72</v>
      </c>
      <c r="D73" t="s">
        <v>398</v>
      </c>
      <c r="E73">
        <v>4</v>
      </c>
      <c r="F73">
        <v>1</v>
      </c>
      <c r="G73" t="s">
        <v>476</v>
      </c>
      <c r="H73">
        <v>84</v>
      </c>
      <c r="I73" t="s">
        <v>477</v>
      </c>
      <c r="J73" t="s">
        <v>476</v>
      </c>
      <c r="K73">
        <v>127</v>
      </c>
      <c r="L73" t="s">
        <v>330</v>
      </c>
      <c r="M73">
        <v>35</v>
      </c>
      <c r="N73">
        <v>20</v>
      </c>
      <c r="O73">
        <v>233.203</v>
      </c>
      <c r="P73">
        <v>130</v>
      </c>
    </row>
    <row r="74" spans="1:16" x14ac:dyDescent="0.2">
      <c r="A74">
        <v>2019</v>
      </c>
      <c r="B74">
        <v>6</v>
      </c>
      <c r="C74">
        <v>73</v>
      </c>
      <c r="D74" t="s">
        <v>462</v>
      </c>
      <c r="E74">
        <v>4</v>
      </c>
      <c r="F74">
        <v>1</v>
      </c>
      <c r="G74" t="s">
        <v>476</v>
      </c>
      <c r="H74">
        <v>71</v>
      </c>
      <c r="I74" t="s">
        <v>478</v>
      </c>
      <c r="L74" t="s">
        <v>478</v>
      </c>
      <c r="O74">
        <v>233.15199999999999</v>
      </c>
      <c r="P74">
        <v>122</v>
      </c>
    </row>
    <row r="75" spans="1:16" x14ac:dyDescent="0.2">
      <c r="A75">
        <v>2019</v>
      </c>
      <c r="B75">
        <v>6</v>
      </c>
      <c r="C75">
        <v>74</v>
      </c>
      <c r="D75" t="s">
        <v>487</v>
      </c>
      <c r="E75">
        <v>2</v>
      </c>
      <c r="F75">
        <v>3</v>
      </c>
      <c r="G75" t="s">
        <v>476</v>
      </c>
      <c r="H75">
        <v>63</v>
      </c>
      <c r="I75" t="s">
        <v>479</v>
      </c>
      <c r="J75" t="s">
        <v>476</v>
      </c>
      <c r="K75">
        <v>77</v>
      </c>
      <c r="L75" t="s">
        <v>439</v>
      </c>
      <c r="M75">
        <v>35</v>
      </c>
      <c r="N75">
        <v>42</v>
      </c>
      <c r="O75">
        <v>232.69900000000001</v>
      </c>
      <c r="P75">
        <v>78</v>
      </c>
    </row>
    <row r="76" spans="1:16" x14ac:dyDescent="0.2">
      <c r="A76">
        <v>2019</v>
      </c>
      <c r="B76">
        <v>6</v>
      </c>
      <c r="C76">
        <v>75</v>
      </c>
      <c r="D76" t="s">
        <v>146</v>
      </c>
      <c r="E76">
        <v>3</v>
      </c>
      <c r="F76">
        <v>2</v>
      </c>
      <c r="G76" t="s">
        <v>476</v>
      </c>
      <c r="H76">
        <v>74</v>
      </c>
      <c r="I76" t="s">
        <v>478</v>
      </c>
      <c r="L76" t="s">
        <v>478</v>
      </c>
      <c r="O76">
        <v>229.5</v>
      </c>
      <c r="P76">
        <v>39</v>
      </c>
    </row>
    <row r="77" spans="1:16" x14ac:dyDescent="0.2">
      <c r="A77">
        <v>2019</v>
      </c>
      <c r="B77">
        <v>6</v>
      </c>
      <c r="C77">
        <v>76</v>
      </c>
      <c r="D77" t="s">
        <v>27</v>
      </c>
      <c r="E77">
        <v>2</v>
      </c>
      <c r="F77">
        <v>3</v>
      </c>
      <c r="G77" t="s">
        <v>476</v>
      </c>
      <c r="H77">
        <v>82</v>
      </c>
      <c r="I77" t="s">
        <v>477</v>
      </c>
      <c r="J77" t="s">
        <v>476</v>
      </c>
      <c r="K77">
        <v>86</v>
      </c>
      <c r="L77" t="s">
        <v>91</v>
      </c>
      <c r="M77">
        <v>21</v>
      </c>
      <c r="N77">
        <v>20</v>
      </c>
      <c r="O77">
        <v>229.06700000000001</v>
      </c>
      <c r="P77">
        <v>108</v>
      </c>
    </row>
    <row r="78" spans="1:16" x14ac:dyDescent="0.2">
      <c r="A78">
        <v>2019</v>
      </c>
      <c r="B78">
        <v>6</v>
      </c>
      <c r="C78">
        <v>77</v>
      </c>
      <c r="D78" t="s">
        <v>171</v>
      </c>
      <c r="E78">
        <v>2</v>
      </c>
      <c r="F78">
        <v>3</v>
      </c>
      <c r="G78" t="s">
        <v>476</v>
      </c>
      <c r="H78">
        <v>75</v>
      </c>
      <c r="I78" t="s">
        <v>478</v>
      </c>
      <c r="L78" t="s">
        <v>478</v>
      </c>
      <c r="O78">
        <v>228.41</v>
      </c>
      <c r="P78">
        <v>40</v>
      </c>
    </row>
    <row r="79" spans="1:16" x14ac:dyDescent="0.2">
      <c r="A79">
        <v>2019</v>
      </c>
      <c r="B79">
        <v>6</v>
      </c>
      <c r="C79">
        <v>78</v>
      </c>
      <c r="D79" t="s">
        <v>273</v>
      </c>
      <c r="E79">
        <v>3</v>
      </c>
      <c r="F79">
        <v>2</v>
      </c>
      <c r="G79" t="s">
        <v>476</v>
      </c>
      <c r="H79">
        <v>78</v>
      </c>
      <c r="I79" t="s">
        <v>478</v>
      </c>
      <c r="L79" t="s">
        <v>478</v>
      </c>
      <c r="O79">
        <v>227.215</v>
      </c>
      <c r="P79">
        <v>80</v>
      </c>
    </row>
    <row r="80" spans="1:16" x14ac:dyDescent="0.2">
      <c r="A80">
        <v>2019</v>
      </c>
      <c r="B80">
        <v>6</v>
      </c>
      <c r="C80">
        <v>79</v>
      </c>
      <c r="D80" t="s">
        <v>388</v>
      </c>
      <c r="E80">
        <v>2</v>
      </c>
      <c r="F80">
        <v>3</v>
      </c>
      <c r="G80" t="s">
        <v>476</v>
      </c>
      <c r="H80">
        <v>79</v>
      </c>
      <c r="I80" t="s">
        <v>479</v>
      </c>
      <c r="J80" t="s">
        <v>476</v>
      </c>
      <c r="K80">
        <v>43</v>
      </c>
      <c r="L80" t="s">
        <v>259</v>
      </c>
      <c r="M80">
        <v>10</v>
      </c>
      <c r="N80">
        <v>42</v>
      </c>
      <c r="O80">
        <v>226.411</v>
      </c>
      <c r="P80">
        <v>118</v>
      </c>
    </row>
    <row r="81" spans="1:16" x14ac:dyDescent="0.2">
      <c r="A81">
        <v>2019</v>
      </c>
      <c r="B81">
        <v>6</v>
      </c>
      <c r="C81">
        <v>80</v>
      </c>
      <c r="D81" t="s">
        <v>69</v>
      </c>
      <c r="E81">
        <v>3</v>
      </c>
      <c r="F81">
        <v>2</v>
      </c>
      <c r="G81" t="s">
        <v>476</v>
      </c>
      <c r="H81">
        <v>81</v>
      </c>
      <c r="I81" t="s">
        <v>478</v>
      </c>
      <c r="L81" t="s">
        <v>478</v>
      </c>
      <c r="O81">
        <v>226.32900000000001</v>
      </c>
      <c r="P81">
        <v>60</v>
      </c>
    </row>
    <row r="82" spans="1:16" x14ac:dyDescent="0.2">
      <c r="A82">
        <v>2019</v>
      </c>
      <c r="B82">
        <v>6</v>
      </c>
      <c r="C82">
        <v>81</v>
      </c>
      <c r="D82" t="s">
        <v>217</v>
      </c>
      <c r="E82">
        <v>3</v>
      </c>
      <c r="F82">
        <v>2</v>
      </c>
      <c r="G82" t="s">
        <v>476</v>
      </c>
      <c r="H82">
        <v>96</v>
      </c>
      <c r="I82" t="s">
        <v>477</v>
      </c>
      <c r="J82" t="s">
        <v>476</v>
      </c>
      <c r="K82">
        <v>69</v>
      </c>
      <c r="L82" t="s">
        <v>83</v>
      </c>
      <c r="M82">
        <v>41</v>
      </c>
      <c r="N82">
        <v>39</v>
      </c>
      <c r="O82">
        <v>225.898</v>
      </c>
      <c r="P82">
        <v>62</v>
      </c>
    </row>
    <row r="83" spans="1:16" x14ac:dyDescent="0.2">
      <c r="A83">
        <v>2019</v>
      </c>
      <c r="B83">
        <v>6</v>
      </c>
      <c r="C83">
        <v>82</v>
      </c>
      <c r="D83" t="s">
        <v>83</v>
      </c>
      <c r="E83">
        <v>3</v>
      </c>
      <c r="F83">
        <v>3</v>
      </c>
      <c r="G83" t="s">
        <v>476</v>
      </c>
      <c r="H83">
        <v>69</v>
      </c>
      <c r="I83" t="s">
        <v>479</v>
      </c>
      <c r="J83" t="s">
        <v>476</v>
      </c>
      <c r="K83">
        <v>96</v>
      </c>
      <c r="L83" t="s">
        <v>217</v>
      </c>
      <c r="M83">
        <v>39</v>
      </c>
      <c r="N83">
        <v>41</v>
      </c>
      <c r="O83">
        <v>224.72800000000001</v>
      </c>
      <c r="P83">
        <v>94</v>
      </c>
    </row>
    <row r="84" spans="1:16" x14ac:dyDescent="0.2">
      <c r="A84">
        <v>2019</v>
      </c>
      <c r="B84">
        <v>6</v>
      </c>
      <c r="C84">
        <v>83</v>
      </c>
      <c r="D84" t="s">
        <v>488</v>
      </c>
      <c r="E84">
        <v>2</v>
      </c>
      <c r="F84">
        <v>3</v>
      </c>
      <c r="G84" t="s">
        <v>476</v>
      </c>
      <c r="H84">
        <v>85</v>
      </c>
      <c r="I84" t="s">
        <v>478</v>
      </c>
      <c r="L84" t="s">
        <v>478</v>
      </c>
      <c r="O84">
        <v>224.62299999999999</v>
      </c>
      <c r="P84">
        <v>7</v>
      </c>
    </row>
    <row r="85" spans="1:16" x14ac:dyDescent="0.2">
      <c r="A85">
        <v>2019</v>
      </c>
      <c r="B85">
        <v>6</v>
      </c>
      <c r="C85">
        <v>84</v>
      </c>
      <c r="D85" t="s">
        <v>258</v>
      </c>
      <c r="E85">
        <v>3</v>
      </c>
      <c r="F85">
        <v>3</v>
      </c>
      <c r="G85" t="s">
        <v>476</v>
      </c>
      <c r="H85">
        <v>90</v>
      </c>
      <c r="I85" t="s">
        <v>477</v>
      </c>
      <c r="J85" t="s">
        <v>476</v>
      </c>
      <c r="K85">
        <v>88</v>
      </c>
      <c r="L85" t="s">
        <v>433</v>
      </c>
      <c r="M85">
        <v>31</v>
      </c>
      <c r="N85">
        <v>6</v>
      </c>
      <c r="O85">
        <v>223.29499999999999</v>
      </c>
      <c r="P85">
        <v>36</v>
      </c>
    </row>
    <row r="86" spans="1:16" x14ac:dyDescent="0.2">
      <c r="A86">
        <v>2019</v>
      </c>
      <c r="B86">
        <v>6</v>
      </c>
      <c r="C86">
        <v>85</v>
      </c>
      <c r="D86" t="s">
        <v>262</v>
      </c>
      <c r="E86">
        <v>3</v>
      </c>
      <c r="F86">
        <v>1</v>
      </c>
      <c r="G86" t="s">
        <v>476</v>
      </c>
      <c r="H86">
        <v>106</v>
      </c>
      <c r="I86" t="s">
        <v>477</v>
      </c>
      <c r="J86" t="s">
        <v>476</v>
      </c>
      <c r="K86">
        <v>72</v>
      </c>
      <c r="L86" t="s">
        <v>19</v>
      </c>
      <c r="M86">
        <v>34</v>
      </c>
      <c r="N86">
        <v>25</v>
      </c>
      <c r="O86">
        <v>222.49299999999999</v>
      </c>
      <c r="P86">
        <v>125</v>
      </c>
    </row>
    <row r="87" spans="1:16" x14ac:dyDescent="0.2">
      <c r="A87">
        <v>2019</v>
      </c>
      <c r="B87">
        <v>6</v>
      </c>
      <c r="C87">
        <v>86</v>
      </c>
      <c r="D87" t="s">
        <v>456</v>
      </c>
      <c r="E87">
        <v>3</v>
      </c>
      <c r="F87">
        <v>3</v>
      </c>
      <c r="G87" t="s">
        <v>476</v>
      </c>
      <c r="H87">
        <v>87</v>
      </c>
      <c r="I87" t="s">
        <v>479</v>
      </c>
      <c r="J87" t="s">
        <v>476</v>
      </c>
      <c r="K87">
        <v>55</v>
      </c>
      <c r="L87" t="s">
        <v>385</v>
      </c>
      <c r="M87">
        <v>24</v>
      </c>
      <c r="N87">
        <v>31</v>
      </c>
      <c r="O87">
        <v>221.98</v>
      </c>
      <c r="P87">
        <v>64</v>
      </c>
    </row>
    <row r="88" spans="1:16" x14ac:dyDescent="0.2">
      <c r="A88">
        <v>2019</v>
      </c>
      <c r="B88">
        <v>6</v>
      </c>
      <c r="C88">
        <v>87</v>
      </c>
      <c r="D88" t="s">
        <v>19</v>
      </c>
      <c r="E88">
        <v>3</v>
      </c>
      <c r="F88">
        <v>2</v>
      </c>
      <c r="G88" t="s">
        <v>476</v>
      </c>
      <c r="H88">
        <v>72</v>
      </c>
      <c r="I88" t="s">
        <v>479</v>
      </c>
      <c r="J88" t="s">
        <v>476</v>
      </c>
      <c r="K88">
        <v>106</v>
      </c>
      <c r="L88" t="s">
        <v>262</v>
      </c>
      <c r="M88">
        <v>25</v>
      </c>
      <c r="N88">
        <v>34</v>
      </c>
      <c r="O88">
        <v>221.32300000000001</v>
      </c>
      <c r="P88">
        <v>72</v>
      </c>
    </row>
    <row r="89" spans="1:16" x14ac:dyDescent="0.2">
      <c r="A89">
        <v>2019</v>
      </c>
      <c r="B89">
        <v>6</v>
      </c>
      <c r="C89">
        <v>88</v>
      </c>
      <c r="D89" t="s">
        <v>327</v>
      </c>
      <c r="E89">
        <v>1</v>
      </c>
      <c r="F89">
        <v>4</v>
      </c>
      <c r="G89" t="s">
        <v>476</v>
      </c>
      <c r="H89">
        <v>89</v>
      </c>
      <c r="I89" t="s">
        <v>479</v>
      </c>
      <c r="J89" t="s">
        <v>476</v>
      </c>
      <c r="K89">
        <v>10</v>
      </c>
      <c r="L89" t="s">
        <v>322</v>
      </c>
      <c r="M89">
        <v>7</v>
      </c>
      <c r="N89">
        <v>35</v>
      </c>
      <c r="O89">
        <v>221.066</v>
      </c>
      <c r="P89">
        <v>22</v>
      </c>
    </row>
    <row r="90" spans="1:16" x14ac:dyDescent="0.2">
      <c r="A90">
        <v>2019</v>
      </c>
      <c r="B90">
        <v>6</v>
      </c>
      <c r="C90">
        <v>89</v>
      </c>
      <c r="D90" t="s">
        <v>91</v>
      </c>
      <c r="E90">
        <v>2</v>
      </c>
      <c r="F90">
        <v>4</v>
      </c>
      <c r="G90" t="s">
        <v>476</v>
      </c>
      <c r="H90">
        <v>86</v>
      </c>
      <c r="I90" t="s">
        <v>479</v>
      </c>
      <c r="J90" t="s">
        <v>476</v>
      </c>
      <c r="K90">
        <v>82</v>
      </c>
      <c r="L90" t="s">
        <v>27</v>
      </c>
      <c r="M90">
        <v>20</v>
      </c>
      <c r="N90">
        <v>21</v>
      </c>
      <c r="O90">
        <v>220.9</v>
      </c>
      <c r="P90">
        <v>70</v>
      </c>
    </row>
    <row r="91" spans="1:16" x14ac:dyDescent="0.2">
      <c r="A91">
        <v>2019</v>
      </c>
      <c r="B91">
        <v>6</v>
      </c>
      <c r="C91">
        <v>90</v>
      </c>
      <c r="D91" t="s">
        <v>433</v>
      </c>
      <c r="E91">
        <v>1</v>
      </c>
      <c r="F91">
        <v>4</v>
      </c>
      <c r="G91" t="s">
        <v>476</v>
      </c>
      <c r="H91">
        <v>88</v>
      </c>
      <c r="I91" t="s">
        <v>479</v>
      </c>
      <c r="J91" t="s">
        <v>476</v>
      </c>
      <c r="K91">
        <v>90</v>
      </c>
      <c r="L91" t="s">
        <v>258</v>
      </c>
      <c r="M91">
        <v>6</v>
      </c>
      <c r="N91">
        <v>31</v>
      </c>
      <c r="O91">
        <v>220.34100000000001</v>
      </c>
      <c r="P91">
        <v>24</v>
      </c>
    </row>
    <row r="92" spans="1:16" x14ac:dyDescent="0.2">
      <c r="A92">
        <v>2019</v>
      </c>
      <c r="B92">
        <v>6</v>
      </c>
      <c r="C92">
        <v>91</v>
      </c>
      <c r="D92" t="s">
        <v>319</v>
      </c>
      <c r="E92">
        <v>2</v>
      </c>
      <c r="F92">
        <v>3</v>
      </c>
      <c r="G92" t="s">
        <v>476</v>
      </c>
      <c r="H92">
        <v>113</v>
      </c>
      <c r="I92" t="s">
        <v>477</v>
      </c>
      <c r="J92" t="s">
        <v>476</v>
      </c>
      <c r="K92">
        <v>68</v>
      </c>
      <c r="L92" t="s">
        <v>405</v>
      </c>
      <c r="M92">
        <v>48</v>
      </c>
      <c r="N92">
        <v>31</v>
      </c>
      <c r="O92">
        <v>218.71700000000001</v>
      </c>
      <c r="P92">
        <v>59</v>
      </c>
    </row>
    <row r="93" spans="1:16" x14ac:dyDescent="0.2">
      <c r="A93">
        <v>2019</v>
      </c>
      <c r="B93">
        <v>6</v>
      </c>
      <c r="C93">
        <v>92</v>
      </c>
      <c r="D93" t="s">
        <v>405</v>
      </c>
      <c r="E93">
        <v>1</v>
      </c>
      <c r="F93">
        <v>5</v>
      </c>
      <c r="G93" t="s">
        <v>476</v>
      </c>
      <c r="H93">
        <v>68</v>
      </c>
      <c r="I93" t="s">
        <v>479</v>
      </c>
      <c r="J93" t="s">
        <v>476</v>
      </c>
      <c r="K93">
        <v>113</v>
      </c>
      <c r="L93" t="s">
        <v>319</v>
      </c>
      <c r="M93">
        <v>31</v>
      </c>
      <c r="N93">
        <v>48</v>
      </c>
      <c r="O93">
        <v>217.547</v>
      </c>
      <c r="P93">
        <v>6</v>
      </c>
    </row>
    <row r="94" spans="1:16" x14ac:dyDescent="0.2">
      <c r="A94">
        <v>2019</v>
      </c>
      <c r="B94">
        <v>6</v>
      </c>
      <c r="C94">
        <v>93</v>
      </c>
      <c r="D94" t="s">
        <v>286</v>
      </c>
      <c r="E94">
        <v>2</v>
      </c>
      <c r="F94">
        <v>3</v>
      </c>
      <c r="G94" t="s">
        <v>476</v>
      </c>
      <c r="H94">
        <v>91</v>
      </c>
      <c r="I94" t="s">
        <v>478</v>
      </c>
      <c r="L94" t="s">
        <v>478</v>
      </c>
      <c r="O94">
        <v>217.12799999999999</v>
      </c>
      <c r="P94">
        <v>112</v>
      </c>
    </row>
    <row r="95" spans="1:16" x14ac:dyDescent="0.2">
      <c r="A95">
        <v>2019</v>
      </c>
      <c r="B95">
        <v>6</v>
      </c>
      <c r="C95">
        <v>94</v>
      </c>
      <c r="D95" t="s">
        <v>161</v>
      </c>
      <c r="E95">
        <v>3</v>
      </c>
      <c r="F95">
        <v>2</v>
      </c>
      <c r="G95" t="s">
        <v>476</v>
      </c>
      <c r="H95">
        <v>110</v>
      </c>
      <c r="I95" t="s">
        <v>477</v>
      </c>
      <c r="J95" t="s">
        <v>476</v>
      </c>
      <c r="K95">
        <v>76</v>
      </c>
      <c r="L95" t="s">
        <v>54</v>
      </c>
      <c r="M95">
        <v>52</v>
      </c>
      <c r="N95">
        <v>38</v>
      </c>
      <c r="O95">
        <v>216.74</v>
      </c>
      <c r="P95">
        <v>119</v>
      </c>
    </row>
    <row r="96" spans="1:16" x14ac:dyDescent="0.2">
      <c r="A96">
        <v>2019</v>
      </c>
      <c r="B96">
        <v>6</v>
      </c>
      <c r="C96">
        <v>95</v>
      </c>
      <c r="D96" t="s">
        <v>54</v>
      </c>
      <c r="E96">
        <v>3</v>
      </c>
      <c r="F96">
        <v>3</v>
      </c>
      <c r="G96" t="s">
        <v>476</v>
      </c>
      <c r="H96">
        <v>76</v>
      </c>
      <c r="I96" t="s">
        <v>479</v>
      </c>
      <c r="J96" t="s">
        <v>476</v>
      </c>
      <c r="K96">
        <v>110</v>
      </c>
      <c r="L96" t="s">
        <v>161</v>
      </c>
      <c r="M96">
        <v>38</v>
      </c>
      <c r="N96">
        <v>52</v>
      </c>
      <c r="O96">
        <v>215.57</v>
      </c>
      <c r="P96">
        <v>69</v>
      </c>
    </row>
    <row r="97" spans="1:16" x14ac:dyDescent="0.2">
      <c r="A97">
        <v>2019</v>
      </c>
      <c r="B97">
        <v>6</v>
      </c>
      <c r="C97">
        <v>96</v>
      </c>
      <c r="D97" t="s">
        <v>201</v>
      </c>
      <c r="E97">
        <v>4</v>
      </c>
      <c r="F97">
        <v>2</v>
      </c>
      <c r="G97" t="s">
        <v>476</v>
      </c>
      <c r="H97">
        <v>99</v>
      </c>
      <c r="I97" t="s">
        <v>477</v>
      </c>
      <c r="J97" t="s">
        <v>476</v>
      </c>
      <c r="K97">
        <v>119</v>
      </c>
      <c r="L97" t="s">
        <v>280</v>
      </c>
      <c r="M97">
        <v>20</v>
      </c>
      <c r="N97">
        <v>13</v>
      </c>
      <c r="O97">
        <v>214.947</v>
      </c>
      <c r="P97">
        <v>89</v>
      </c>
    </row>
    <row r="98" spans="1:16" x14ac:dyDescent="0.2">
      <c r="A98">
        <v>2019</v>
      </c>
      <c r="B98">
        <v>6</v>
      </c>
      <c r="C98">
        <v>97</v>
      </c>
      <c r="D98" t="s">
        <v>352</v>
      </c>
      <c r="E98">
        <v>2</v>
      </c>
      <c r="F98">
        <v>3</v>
      </c>
      <c r="G98" t="s">
        <v>476</v>
      </c>
      <c r="H98">
        <v>94</v>
      </c>
      <c r="I98" t="s">
        <v>477</v>
      </c>
      <c r="J98" t="s">
        <v>476</v>
      </c>
      <c r="K98">
        <v>129</v>
      </c>
      <c r="L98" t="s">
        <v>411</v>
      </c>
      <c r="M98">
        <v>48</v>
      </c>
      <c r="N98">
        <v>22</v>
      </c>
      <c r="O98">
        <v>214.11799999999999</v>
      </c>
      <c r="P98">
        <v>86</v>
      </c>
    </row>
    <row r="99" spans="1:16" x14ac:dyDescent="0.2">
      <c r="A99">
        <v>2019</v>
      </c>
      <c r="B99">
        <v>6</v>
      </c>
      <c r="C99">
        <v>98</v>
      </c>
      <c r="D99" t="s">
        <v>453</v>
      </c>
      <c r="E99">
        <v>3</v>
      </c>
      <c r="F99">
        <v>2</v>
      </c>
      <c r="G99" t="s">
        <v>476</v>
      </c>
      <c r="H99">
        <v>101</v>
      </c>
      <c r="I99" t="s">
        <v>477</v>
      </c>
      <c r="J99" t="s">
        <v>476</v>
      </c>
      <c r="K99">
        <v>123</v>
      </c>
      <c r="L99" t="s">
        <v>310</v>
      </c>
      <c r="M99">
        <v>20</v>
      </c>
      <c r="N99">
        <v>3</v>
      </c>
      <c r="O99">
        <v>211.88300000000001</v>
      </c>
      <c r="P99">
        <v>124</v>
      </c>
    </row>
    <row r="100" spans="1:16" x14ac:dyDescent="0.2">
      <c r="A100">
        <v>2019</v>
      </c>
      <c r="B100">
        <v>6</v>
      </c>
      <c r="C100">
        <v>99</v>
      </c>
      <c r="D100" t="s">
        <v>108</v>
      </c>
      <c r="E100">
        <v>2</v>
      </c>
      <c r="F100">
        <v>3</v>
      </c>
      <c r="G100" t="s">
        <v>476</v>
      </c>
      <c r="H100">
        <v>95</v>
      </c>
      <c r="I100" t="s">
        <v>478</v>
      </c>
      <c r="L100" t="s">
        <v>478</v>
      </c>
      <c r="O100">
        <v>210.274</v>
      </c>
      <c r="P100">
        <v>44</v>
      </c>
    </row>
    <row r="101" spans="1:16" x14ac:dyDescent="0.2">
      <c r="A101">
        <v>2019</v>
      </c>
      <c r="B101">
        <v>6</v>
      </c>
      <c r="C101">
        <v>100</v>
      </c>
      <c r="D101" t="s">
        <v>189</v>
      </c>
      <c r="E101">
        <v>2</v>
      </c>
      <c r="F101">
        <v>4</v>
      </c>
      <c r="G101" t="s">
        <v>476</v>
      </c>
      <c r="H101">
        <v>97</v>
      </c>
      <c r="I101" t="s">
        <v>479</v>
      </c>
      <c r="J101" t="s">
        <v>476</v>
      </c>
      <c r="K101">
        <v>8</v>
      </c>
      <c r="L101" t="s">
        <v>303</v>
      </c>
      <c r="M101">
        <v>20</v>
      </c>
      <c r="N101">
        <v>45</v>
      </c>
      <c r="O101">
        <v>207.577</v>
      </c>
      <c r="P101">
        <v>18</v>
      </c>
    </row>
    <row r="102" spans="1:16" x14ac:dyDescent="0.2">
      <c r="A102">
        <v>2019</v>
      </c>
      <c r="B102">
        <v>6</v>
      </c>
      <c r="C102">
        <v>101</v>
      </c>
      <c r="D102" t="s">
        <v>232</v>
      </c>
      <c r="E102">
        <v>1</v>
      </c>
      <c r="F102">
        <v>4</v>
      </c>
      <c r="G102" t="s">
        <v>476</v>
      </c>
      <c r="H102">
        <v>98</v>
      </c>
      <c r="I102" t="s">
        <v>479</v>
      </c>
      <c r="J102" t="s">
        <v>476</v>
      </c>
      <c r="K102">
        <v>6</v>
      </c>
      <c r="L102" t="s">
        <v>157</v>
      </c>
      <c r="M102">
        <v>14</v>
      </c>
      <c r="N102">
        <v>43</v>
      </c>
      <c r="O102">
        <v>207.346</v>
      </c>
      <c r="P102">
        <v>21</v>
      </c>
    </row>
    <row r="103" spans="1:16" x14ac:dyDescent="0.2">
      <c r="A103">
        <v>2019</v>
      </c>
      <c r="B103">
        <v>6</v>
      </c>
      <c r="C103">
        <v>102</v>
      </c>
      <c r="D103" t="s">
        <v>173</v>
      </c>
      <c r="E103">
        <v>2</v>
      </c>
      <c r="F103">
        <v>3</v>
      </c>
      <c r="G103" t="s">
        <v>476</v>
      </c>
      <c r="H103">
        <v>102</v>
      </c>
      <c r="I103" t="s">
        <v>479</v>
      </c>
      <c r="J103" t="s">
        <v>476</v>
      </c>
      <c r="K103">
        <v>23</v>
      </c>
      <c r="L103" t="s">
        <v>253</v>
      </c>
      <c r="M103">
        <v>17</v>
      </c>
      <c r="N103">
        <v>40</v>
      </c>
      <c r="O103">
        <v>207.07400000000001</v>
      </c>
      <c r="P103">
        <v>81</v>
      </c>
    </row>
    <row r="104" spans="1:16" x14ac:dyDescent="0.2">
      <c r="A104">
        <v>2019</v>
      </c>
      <c r="B104">
        <v>6</v>
      </c>
      <c r="C104">
        <v>103</v>
      </c>
      <c r="D104" t="s">
        <v>118</v>
      </c>
      <c r="E104">
        <v>3</v>
      </c>
      <c r="F104">
        <v>2</v>
      </c>
      <c r="G104" t="s">
        <v>476</v>
      </c>
      <c r="H104">
        <v>100</v>
      </c>
      <c r="I104" t="s">
        <v>478</v>
      </c>
      <c r="L104" t="s">
        <v>478</v>
      </c>
      <c r="O104">
        <v>206.43600000000001</v>
      </c>
      <c r="P104">
        <v>110</v>
      </c>
    </row>
    <row r="105" spans="1:16" x14ac:dyDescent="0.2">
      <c r="A105">
        <v>2019</v>
      </c>
      <c r="B105">
        <v>6</v>
      </c>
      <c r="C105">
        <v>104</v>
      </c>
      <c r="D105" t="s">
        <v>483</v>
      </c>
      <c r="E105">
        <v>2</v>
      </c>
      <c r="F105">
        <v>3</v>
      </c>
      <c r="G105" t="s">
        <v>476</v>
      </c>
      <c r="H105">
        <v>103</v>
      </c>
      <c r="I105" t="s">
        <v>479</v>
      </c>
      <c r="J105" t="s">
        <v>476</v>
      </c>
      <c r="K105">
        <v>47</v>
      </c>
      <c r="L105" t="s">
        <v>231</v>
      </c>
      <c r="M105">
        <v>33</v>
      </c>
      <c r="N105">
        <v>52</v>
      </c>
      <c r="O105">
        <v>205.30799999999999</v>
      </c>
      <c r="P105">
        <v>56</v>
      </c>
    </row>
    <row r="106" spans="1:16" x14ac:dyDescent="0.2">
      <c r="A106">
        <v>2019</v>
      </c>
      <c r="B106">
        <v>6</v>
      </c>
      <c r="C106">
        <v>105</v>
      </c>
      <c r="D106" t="s">
        <v>395</v>
      </c>
      <c r="E106">
        <v>2</v>
      </c>
      <c r="F106">
        <v>3</v>
      </c>
      <c r="G106" t="s">
        <v>476</v>
      </c>
      <c r="H106">
        <v>104</v>
      </c>
      <c r="I106" t="s">
        <v>479</v>
      </c>
      <c r="J106" t="s">
        <v>476</v>
      </c>
      <c r="K106">
        <v>33</v>
      </c>
      <c r="L106" t="s">
        <v>344</v>
      </c>
      <c r="M106">
        <v>37</v>
      </c>
      <c r="N106">
        <v>43</v>
      </c>
      <c r="O106">
        <v>204.459</v>
      </c>
      <c r="P106">
        <v>25</v>
      </c>
    </row>
    <row r="107" spans="1:16" x14ac:dyDescent="0.2">
      <c r="A107">
        <v>2019</v>
      </c>
      <c r="B107">
        <v>6</v>
      </c>
      <c r="C107">
        <v>106</v>
      </c>
      <c r="D107" t="s">
        <v>103</v>
      </c>
      <c r="E107">
        <v>3</v>
      </c>
      <c r="F107">
        <v>3</v>
      </c>
      <c r="G107" t="s">
        <v>476</v>
      </c>
      <c r="H107">
        <v>115</v>
      </c>
      <c r="I107" t="s">
        <v>477</v>
      </c>
      <c r="J107" t="s">
        <v>476</v>
      </c>
      <c r="K107">
        <v>92</v>
      </c>
      <c r="L107" t="s">
        <v>137</v>
      </c>
      <c r="M107">
        <v>42</v>
      </c>
      <c r="N107">
        <v>16</v>
      </c>
      <c r="O107">
        <v>204.274</v>
      </c>
      <c r="P107">
        <v>74</v>
      </c>
    </row>
    <row r="108" spans="1:16" x14ac:dyDescent="0.2">
      <c r="A108">
        <v>2019</v>
      </c>
      <c r="B108">
        <v>6</v>
      </c>
      <c r="C108">
        <v>107</v>
      </c>
      <c r="D108" t="s">
        <v>137</v>
      </c>
      <c r="E108">
        <v>3</v>
      </c>
      <c r="F108">
        <v>2</v>
      </c>
      <c r="G108" t="s">
        <v>476</v>
      </c>
      <c r="H108">
        <v>92</v>
      </c>
      <c r="I108" t="s">
        <v>479</v>
      </c>
      <c r="J108" t="s">
        <v>476</v>
      </c>
      <c r="K108">
        <v>115</v>
      </c>
      <c r="L108" t="s">
        <v>103</v>
      </c>
      <c r="M108">
        <v>16</v>
      </c>
      <c r="N108">
        <v>42</v>
      </c>
      <c r="O108">
        <v>203.10400000000001</v>
      </c>
      <c r="P108">
        <v>117</v>
      </c>
    </row>
    <row r="109" spans="1:16" x14ac:dyDescent="0.2">
      <c r="A109">
        <v>2019</v>
      </c>
      <c r="B109">
        <v>6</v>
      </c>
      <c r="C109">
        <v>108</v>
      </c>
      <c r="D109" t="s">
        <v>66</v>
      </c>
      <c r="E109">
        <v>2</v>
      </c>
      <c r="F109">
        <v>3</v>
      </c>
      <c r="G109" t="s">
        <v>476</v>
      </c>
      <c r="H109">
        <v>122</v>
      </c>
      <c r="I109" t="s">
        <v>477</v>
      </c>
      <c r="J109" t="s">
        <v>476</v>
      </c>
      <c r="K109">
        <v>93</v>
      </c>
      <c r="L109" t="s">
        <v>290</v>
      </c>
      <c r="M109">
        <v>27</v>
      </c>
      <c r="N109">
        <v>20</v>
      </c>
      <c r="O109">
        <v>201.696</v>
      </c>
      <c r="P109">
        <v>111</v>
      </c>
    </row>
    <row r="110" spans="1:16" x14ac:dyDescent="0.2">
      <c r="A110">
        <v>2019</v>
      </c>
      <c r="B110">
        <v>6</v>
      </c>
      <c r="C110">
        <v>109</v>
      </c>
      <c r="D110" t="s">
        <v>164</v>
      </c>
      <c r="E110">
        <v>1</v>
      </c>
      <c r="F110">
        <v>4</v>
      </c>
      <c r="G110" t="s">
        <v>476</v>
      </c>
      <c r="H110">
        <v>105</v>
      </c>
      <c r="I110" t="s">
        <v>479</v>
      </c>
      <c r="J110" t="s">
        <v>476</v>
      </c>
      <c r="K110">
        <v>57</v>
      </c>
      <c r="L110" t="s">
        <v>38</v>
      </c>
      <c r="M110">
        <v>22</v>
      </c>
      <c r="N110">
        <v>38</v>
      </c>
      <c r="O110">
        <v>201.22</v>
      </c>
      <c r="P110">
        <v>53</v>
      </c>
    </row>
    <row r="111" spans="1:16" x14ac:dyDescent="0.2">
      <c r="A111">
        <v>2019</v>
      </c>
      <c r="B111">
        <v>6</v>
      </c>
      <c r="C111">
        <v>110</v>
      </c>
      <c r="D111" t="s">
        <v>290</v>
      </c>
      <c r="E111">
        <v>1</v>
      </c>
      <c r="F111">
        <v>4</v>
      </c>
      <c r="G111" t="s">
        <v>476</v>
      </c>
      <c r="H111">
        <v>93</v>
      </c>
      <c r="I111" t="s">
        <v>479</v>
      </c>
      <c r="J111" t="s">
        <v>476</v>
      </c>
      <c r="K111">
        <v>122</v>
      </c>
      <c r="L111" t="s">
        <v>66</v>
      </c>
      <c r="M111">
        <v>20</v>
      </c>
      <c r="N111">
        <v>27</v>
      </c>
      <c r="O111">
        <v>200.52600000000001</v>
      </c>
      <c r="P111">
        <v>75</v>
      </c>
    </row>
    <row r="112" spans="1:16" x14ac:dyDescent="0.2">
      <c r="A112">
        <v>2019</v>
      </c>
      <c r="B112">
        <v>6</v>
      </c>
      <c r="C112">
        <v>111</v>
      </c>
      <c r="D112" t="s">
        <v>133</v>
      </c>
      <c r="E112">
        <v>3</v>
      </c>
      <c r="F112">
        <v>3</v>
      </c>
      <c r="G112" t="s">
        <v>476</v>
      </c>
      <c r="H112">
        <v>107</v>
      </c>
      <c r="I112" t="s">
        <v>479</v>
      </c>
      <c r="J112" t="s">
        <v>476</v>
      </c>
      <c r="K112">
        <v>54</v>
      </c>
      <c r="L112" t="s">
        <v>367</v>
      </c>
      <c r="M112">
        <v>17</v>
      </c>
      <c r="N112">
        <v>27</v>
      </c>
      <c r="O112">
        <v>199.66499999999999</v>
      </c>
      <c r="P112">
        <v>97</v>
      </c>
    </row>
    <row r="113" spans="1:16" x14ac:dyDescent="0.2">
      <c r="A113">
        <v>2019</v>
      </c>
      <c r="B113">
        <v>6</v>
      </c>
      <c r="C113">
        <v>112</v>
      </c>
      <c r="D113" t="s">
        <v>378</v>
      </c>
      <c r="E113">
        <v>2</v>
      </c>
      <c r="F113">
        <v>3</v>
      </c>
      <c r="G113" t="s">
        <v>476</v>
      </c>
      <c r="H113">
        <v>108</v>
      </c>
      <c r="I113" t="s">
        <v>478</v>
      </c>
      <c r="L113" t="s">
        <v>478</v>
      </c>
      <c r="O113">
        <v>198.459</v>
      </c>
      <c r="P113">
        <v>76</v>
      </c>
    </row>
    <row r="114" spans="1:16" x14ac:dyDescent="0.2">
      <c r="A114">
        <v>2019</v>
      </c>
      <c r="B114">
        <v>6</v>
      </c>
      <c r="C114">
        <v>113</v>
      </c>
      <c r="D114" t="s">
        <v>489</v>
      </c>
      <c r="E114">
        <v>2</v>
      </c>
      <c r="F114">
        <v>3</v>
      </c>
      <c r="G114" t="s">
        <v>476</v>
      </c>
      <c r="H114">
        <v>111</v>
      </c>
      <c r="I114" t="s">
        <v>477</v>
      </c>
      <c r="J114" t="s">
        <v>476</v>
      </c>
      <c r="K114">
        <v>125</v>
      </c>
      <c r="L114" t="s">
        <v>86</v>
      </c>
      <c r="M114">
        <v>44</v>
      </c>
      <c r="N114">
        <v>0</v>
      </c>
      <c r="O114">
        <v>198.34700000000001</v>
      </c>
      <c r="P114">
        <v>128</v>
      </c>
    </row>
    <row r="115" spans="1:16" x14ac:dyDescent="0.2">
      <c r="A115">
        <v>2019</v>
      </c>
      <c r="B115">
        <v>6</v>
      </c>
      <c r="C115">
        <v>114</v>
      </c>
      <c r="D115" t="s">
        <v>332</v>
      </c>
      <c r="E115">
        <v>1</v>
      </c>
      <c r="F115">
        <v>4</v>
      </c>
      <c r="G115" t="s">
        <v>476</v>
      </c>
      <c r="H115">
        <v>109</v>
      </c>
      <c r="I115" t="s">
        <v>479</v>
      </c>
      <c r="J115" t="s">
        <v>476</v>
      </c>
      <c r="K115">
        <v>70</v>
      </c>
      <c r="L115" t="s">
        <v>227</v>
      </c>
      <c r="M115">
        <v>7</v>
      </c>
      <c r="N115">
        <v>48</v>
      </c>
      <c r="O115">
        <v>196.72300000000001</v>
      </c>
      <c r="P115">
        <v>28</v>
      </c>
    </row>
    <row r="116" spans="1:16" x14ac:dyDescent="0.2">
      <c r="A116">
        <v>2019</v>
      </c>
      <c r="B116">
        <v>6</v>
      </c>
      <c r="C116">
        <v>115</v>
      </c>
      <c r="D116" t="s">
        <v>341</v>
      </c>
      <c r="E116">
        <v>3</v>
      </c>
      <c r="F116">
        <v>2</v>
      </c>
      <c r="G116" t="s">
        <v>476</v>
      </c>
      <c r="H116">
        <v>116</v>
      </c>
      <c r="I116" t="s">
        <v>477</v>
      </c>
      <c r="J116" t="s">
        <v>476</v>
      </c>
      <c r="K116">
        <v>112</v>
      </c>
      <c r="L116" t="s">
        <v>277</v>
      </c>
      <c r="M116">
        <v>32</v>
      </c>
      <c r="N116">
        <v>21</v>
      </c>
      <c r="O116">
        <v>196.00700000000001</v>
      </c>
      <c r="P116">
        <v>126</v>
      </c>
    </row>
    <row r="117" spans="1:16" x14ac:dyDescent="0.2">
      <c r="A117">
        <v>2019</v>
      </c>
      <c r="B117">
        <v>6</v>
      </c>
      <c r="C117">
        <v>116</v>
      </c>
      <c r="D117" t="s">
        <v>490</v>
      </c>
      <c r="E117">
        <v>2</v>
      </c>
      <c r="F117">
        <v>3</v>
      </c>
      <c r="G117" t="s">
        <v>476</v>
      </c>
      <c r="H117">
        <v>114</v>
      </c>
      <c r="I117" t="s">
        <v>477</v>
      </c>
      <c r="J117" t="s">
        <v>476</v>
      </c>
      <c r="K117">
        <v>130</v>
      </c>
      <c r="L117" t="s">
        <v>491</v>
      </c>
      <c r="M117">
        <v>26</v>
      </c>
      <c r="N117">
        <v>16</v>
      </c>
      <c r="O117">
        <v>195.625</v>
      </c>
      <c r="P117">
        <v>90</v>
      </c>
    </row>
    <row r="118" spans="1:16" x14ac:dyDescent="0.2">
      <c r="A118">
        <v>2019</v>
      </c>
      <c r="B118">
        <v>6</v>
      </c>
      <c r="C118">
        <v>117</v>
      </c>
      <c r="D118" t="s">
        <v>277</v>
      </c>
      <c r="E118">
        <v>2</v>
      </c>
      <c r="F118">
        <v>3</v>
      </c>
      <c r="G118" t="s">
        <v>476</v>
      </c>
      <c r="H118">
        <v>112</v>
      </c>
      <c r="I118" t="s">
        <v>479</v>
      </c>
      <c r="J118" t="s">
        <v>476</v>
      </c>
      <c r="K118">
        <v>116</v>
      </c>
      <c r="L118" t="s">
        <v>341</v>
      </c>
      <c r="M118">
        <v>21</v>
      </c>
      <c r="N118">
        <v>32</v>
      </c>
      <c r="O118">
        <v>193.39099999999999</v>
      </c>
      <c r="P118">
        <v>102</v>
      </c>
    </row>
    <row r="119" spans="1:16" x14ac:dyDescent="0.2">
      <c r="A119">
        <v>2019</v>
      </c>
      <c r="B119">
        <v>6</v>
      </c>
      <c r="C119">
        <v>118</v>
      </c>
      <c r="D119" t="s">
        <v>195</v>
      </c>
      <c r="E119">
        <v>2</v>
      </c>
      <c r="F119">
        <v>3</v>
      </c>
      <c r="G119" t="s">
        <v>476</v>
      </c>
      <c r="H119">
        <v>120</v>
      </c>
      <c r="I119" t="s">
        <v>479</v>
      </c>
      <c r="J119" t="s">
        <v>476</v>
      </c>
      <c r="K119">
        <v>9</v>
      </c>
      <c r="L119" t="s">
        <v>459</v>
      </c>
      <c r="M119">
        <v>0</v>
      </c>
      <c r="N119">
        <v>48</v>
      </c>
      <c r="O119">
        <v>190.11500000000001</v>
      </c>
      <c r="P119">
        <v>20</v>
      </c>
    </row>
    <row r="120" spans="1:16" x14ac:dyDescent="0.2">
      <c r="A120">
        <v>2019</v>
      </c>
      <c r="B120">
        <v>6</v>
      </c>
      <c r="C120">
        <v>119</v>
      </c>
      <c r="D120" t="s">
        <v>50</v>
      </c>
      <c r="E120">
        <v>2</v>
      </c>
      <c r="F120">
        <v>3</v>
      </c>
      <c r="G120" t="s">
        <v>476</v>
      </c>
      <c r="H120">
        <v>117</v>
      </c>
      <c r="I120" t="s">
        <v>478</v>
      </c>
      <c r="L120" t="s">
        <v>478</v>
      </c>
      <c r="O120">
        <v>189.13800000000001</v>
      </c>
      <c r="P120">
        <v>113</v>
      </c>
    </row>
    <row r="121" spans="1:16" x14ac:dyDescent="0.2">
      <c r="A121">
        <v>2019</v>
      </c>
      <c r="B121">
        <v>6</v>
      </c>
      <c r="C121">
        <v>120</v>
      </c>
      <c r="D121" t="s">
        <v>480</v>
      </c>
      <c r="E121">
        <v>1</v>
      </c>
      <c r="F121">
        <v>4</v>
      </c>
      <c r="G121" t="s">
        <v>476</v>
      </c>
      <c r="H121">
        <v>118</v>
      </c>
      <c r="I121" t="s">
        <v>479</v>
      </c>
      <c r="J121" t="s">
        <v>476</v>
      </c>
      <c r="K121">
        <v>12</v>
      </c>
      <c r="L121" t="s">
        <v>77</v>
      </c>
      <c r="M121">
        <v>13</v>
      </c>
      <c r="N121">
        <v>38</v>
      </c>
      <c r="O121">
        <v>188.899</v>
      </c>
      <c r="P121">
        <v>63</v>
      </c>
    </row>
    <row r="122" spans="1:16" x14ac:dyDescent="0.2">
      <c r="A122">
        <v>2019</v>
      </c>
      <c r="B122">
        <v>6</v>
      </c>
      <c r="C122">
        <v>121</v>
      </c>
      <c r="D122" t="s">
        <v>280</v>
      </c>
      <c r="E122">
        <v>0</v>
      </c>
      <c r="F122">
        <v>6</v>
      </c>
      <c r="G122" t="s">
        <v>476</v>
      </c>
      <c r="H122">
        <v>119</v>
      </c>
      <c r="I122" t="s">
        <v>479</v>
      </c>
      <c r="J122" t="s">
        <v>476</v>
      </c>
      <c r="K122">
        <v>99</v>
      </c>
      <c r="L122" t="s">
        <v>201</v>
      </c>
      <c r="M122">
        <v>13</v>
      </c>
      <c r="N122">
        <v>20</v>
      </c>
      <c r="O122">
        <v>186.97399999999999</v>
      </c>
      <c r="P122">
        <v>8</v>
      </c>
    </row>
    <row r="123" spans="1:16" x14ac:dyDescent="0.2">
      <c r="A123">
        <v>2019</v>
      </c>
      <c r="B123">
        <v>6</v>
      </c>
      <c r="C123">
        <v>122</v>
      </c>
      <c r="D123" t="s">
        <v>125</v>
      </c>
      <c r="E123">
        <v>1</v>
      </c>
      <c r="F123">
        <v>5</v>
      </c>
      <c r="G123" t="s">
        <v>476</v>
      </c>
      <c r="H123">
        <v>121</v>
      </c>
      <c r="I123" t="s">
        <v>479</v>
      </c>
      <c r="J123" t="s">
        <v>476</v>
      </c>
      <c r="K123">
        <v>50</v>
      </c>
      <c r="L123" t="s">
        <v>337</v>
      </c>
      <c r="M123">
        <v>10</v>
      </c>
      <c r="N123">
        <v>24</v>
      </c>
      <c r="O123">
        <v>185.74</v>
      </c>
      <c r="P123">
        <v>87</v>
      </c>
    </row>
    <row r="124" spans="1:16" x14ac:dyDescent="0.2">
      <c r="A124">
        <v>2019</v>
      </c>
      <c r="B124">
        <v>6</v>
      </c>
      <c r="C124">
        <v>123</v>
      </c>
      <c r="D124" t="s">
        <v>310</v>
      </c>
      <c r="E124">
        <v>1</v>
      </c>
      <c r="F124">
        <v>4</v>
      </c>
      <c r="G124" t="s">
        <v>476</v>
      </c>
      <c r="H124">
        <v>123</v>
      </c>
      <c r="I124" t="s">
        <v>479</v>
      </c>
      <c r="J124" t="s">
        <v>476</v>
      </c>
      <c r="K124">
        <v>101</v>
      </c>
      <c r="L124" t="s">
        <v>453</v>
      </c>
      <c r="M124">
        <v>3</v>
      </c>
      <c r="N124">
        <v>20</v>
      </c>
      <c r="O124">
        <v>184.56800000000001</v>
      </c>
      <c r="P124">
        <v>91</v>
      </c>
    </row>
    <row r="125" spans="1:16" x14ac:dyDescent="0.2">
      <c r="A125">
        <v>2019</v>
      </c>
      <c r="B125">
        <v>6</v>
      </c>
      <c r="C125">
        <v>124</v>
      </c>
      <c r="D125" t="s">
        <v>86</v>
      </c>
      <c r="E125">
        <v>1</v>
      </c>
      <c r="F125">
        <v>5</v>
      </c>
      <c r="G125" t="s">
        <v>476</v>
      </c>
      <c r="H125">
        <v>125</v>
      </c>
      <c r="I125" t="s">
        <v>479</v>
      </c>
      <c r="J125" t="s">
        <v>476</v>
      </c>
      <c r="K125">
        <v>111</v>
      </c>
      <c r="L125" t="s">
        <v>489</v>
      </c>
      <c r="M125">
        <v>0</v>
      </c>
      <c r="N125">
        <v>44</v>
      </c>
      <c r="O125">
        <v>182.41200000000001</v>
      </c>
      <c r="P125">
        <v>127</v>
      </c>
    </row>
    <row r="126" spans="1:16" x14ac:dyDescent="0.2">
      <c r="A126">
        <v>2019</v>
      </c>
      <c r="B126">
        <v>6</v>
      </c>
      <c r="C126">
        <v>125</v>
      </c>
      <c r="D126" t="s">
        <v>347</v>
      </c>
      <c r="E126">
        <v>1</v>
      </c>
      <c r="F126">
        <v>5</v>
      </c>
      <c r="G126" t="s">
        <v>476</v>
      </c>
      <c r="H126">
        <v>124</v>
      </c>
      <c r="I126" t="s">
        <v>479</v>
      </c>
      <c r="J126" t="s">
        <v>476</v>
      </c>
      <c r="K126">
        <v>62</v>
      </c>
      <c r="L126" t="s">
        <v>159</v>
      </c>
      <c r="M126">
        <v>17</v>
      </c>
      <c r="N126">
        <v>20</v>
      </c>
      <c r="O126">
        <v>182.292</v>
      </c>
      <c r="P126">
        <v>73</v>
      </c>
    </row>
    <row r="127" spans="1:16" x14ac:dyDescent="0.2">
      <c r="A127">
        <v>2019</v>
      </c>
      <c r="B127">
        <v>6</v>
      </c>
      <c r="C127">
        <v>126</v>
      </c>
      <c r="D127" t="s">
        <v>25</v>
      </c>
      <c r="E127">
        <v>0</v>
      </c>
      <c r="F127">
        <v>5</v>
      </c>
      <c r="G127" t="s">
        <v>476</v>
      </c>
      <c r="H127">
        <v>126</v>
      </c>
      <c r="I127" t="s">
        <v>478</v>
      </c>
      <c r="L127" t="s">
        <v>478</v>
      </c>
      <c r="O127">
        <v>181.761</v>
      </c>
      <c r="P127">
        <v>121</v>
      </c>
    </row>
    <row r="128" spans="1:16" x14ac:dyDescent="0.2">
      <c r="A128">
        <v>2019</v>
      </c>
      <c r="B128">
        <v>6</v>
      </c>
      <c r="C128">
        <v>127</v>
      </c>
      <c r="D128" t="s">
        <v>89</v>
      </c>
      <c r="E128">
        <v>1</v>
      </c>
      <c r="F128">
        <v>4</v>
      </c>
      <c r="G128" t="s">
        <v>476</v>
      </c>
      <c r="H128">
        <v>128</v>
      </c>
      <c r="I128" t="s">
        <v>479</v>
      </c>
      <c r="J128" t="s">
        <v>476</v>
      </c>
      <c r="K128">
        <v>11</v>
      </c>
      <c r="L128" t="s">
        <v>296</v>
      </c>
      <c r="M128">
        <v>0</v>
      </c>
      <c r="N128">
        <v>52</v>
      </c>
      <c r="O128">
        <v>181.45400000000001</v>
      </c>
      <c r="P128">
        <v>83</v>
      </c>
    </row>
    <row r="129" spans="1:16" x14ac:dyDescent="0.2">
      <c r="A129">
        <v>2019</v>
      </c>
      <c r="B129">
        <v>6</v>
      </c>
      <c r="C129">
        <v>128</v>
      </c>
      <c r="D129" t="s">
        <v>330</v>
      </c>
      <c r="E129">
        <v>0</v>
      </c>
      <c r="F129">
        <v>6</v>
      </c>
      <c r="G129" t="s">
        <v>476</v>
      </c>
      <c r="H129">
        <v>127</v>
      </c>
      <c r="I129" t="s">
        <v>479</v>
      </c>
      <c r="J129" t="s">
        <v>476</v>
      </c>
      <c r="K129">
        <v>84</v>
      </c>
      <c r="L129" t="s">
        <v>398</v>
      </c>
      <c r="M129">
        <v>20</v>
      </c>
      <c r="N129">
        <v>35</v>
      </c>
      <c r="O129">
        <v>179.59899999999999</v>
      </c>
      <c r="P129">
        <v>11</v>
      </c>
    </row>
    <row r="130" spans="1:16" x14ac:dyDescent="0.2">
      <c r="A130">
        <v>2019</v>
      </c>
      <c r="B130">
        <v>6</v>
      </c>
      <c r="C130">
        <v>129</v>
      </c>
      <c r="D130" t="s">
        <v>411</v>
      </c>
      <c r="E130">
        <v>1</v>
      </c>
      <c r="F130">
        <v>4</v>
      </c>
      <c r="G130" t="s">
        <v>476</v>
      </c>
      <c r="H130">
        <v>129</v>
      </c>
      <c r="I130" t="s">
        <v>479</v>
      </c>
      <c r="J130" t="s">
        <v>476</v>
      </c>
      <c r="K130">
        <v>94</v>
      </c>
      <c r="L130" t="s">
        <v>352</v>
      </c>
      <c r="M130">
        <v>22</v>
      </c>
      <c r="N130">
        <v>48</v>
      </c>
      <c r="O130">
        <v>177.43199999999999</v>
      </c>
      <c r="P130">
        <v>99</v>
      </c>
    </row>
    <row r="131" spans="1:16" x14ac:dyDescent="0.2">
      <c r="A131">
        <v>2019</v>
      </c>
      <c r="B131">
        <v>6</v>
      </c>
      <c r="C131">
        <v>130</v>
      </c>
      <c r="D131" t="s">
        <v>491</v>
      </c>
      <c r="E131">
        <v>1</v>
      </c>
      <c r="F131">
        <v>4</v>
      </c>
      <c r="G131" t="s">
        <v>476</v>
      </c>
      <c r="H131">
        <v>130</v>
      </c>
      <c r="I131" t="s">
        <v>479</v>
      </c>
      <c r="J131" t="s">
        <v>476</v>
      </c>
      <c r="K131">
        <v>114</v>
      </c>
      <c r="L131" t="s">
        <v>490</v>
      </c>
      <c r="M131">
        <v>16</v>
      </c>
      <c r="N131">
        <v>26</v>
      </c>
      <c r="O131">
        <v>174.83199999999999</v>
      </c>
      <c r="P131">
        <v>116</v>
      </c>
    </row>
    <row r="132" spans="1:16" x14ac:dyDescent="0.2">
      <c r="A132" t="s">
        <v>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C0C6-362A-0340-98BB-A812F4207840}">
  <dimension ref="A1:H131"/>
  <sheetViews>
    <sheetView workbookViewId="0">
      <selection activeCell="E1" sqref="E1:E1048576"/>
    </sheetView>
  </sheetViews>
  <sheetFormatPr baseColWidth="10" defaultRowHeight="16" x14ac:dyDescent="0.2"/>
  <cols>
    <col min="1" max="1" width="17.6640625" bestFit="1" customWidth="1"/>
    <col min="2" max="2" width="16" bestFit="1" customWidth="1"/>
    <col min="3" max="3" width="18.5" bestFit="1" customWidth="1"/>
    <col min="4" max="4" width="13.33203125" bestFit="1" customWidth="1"/>
    <col min="5" max="5" width="16.5" bestFit="1" customWidth="1"/>
    <col min="6" max="6" width="80.6640625" bestFit="1" customWidth="1"/>
    <col min="7" max="7" width="10.1640625" bestFit="1" customWidth="1"/>
    <col min="8" max="8" width="9.5" bestFit="1" customWidth="1"/>
  </cols>
  <sheetData>
    <row r="1" spans="1:8" x14ac:dyDescent="0.2">
      <c r="A1" t="s">
        <v>0</v>
      </c>
      <c r="B1" t="s">
        <v>12</v>
      </c>
      <c r="C1" t="s">
        <v>13</v>
      </c>
      <c r="D1" t="s">
        <v>14</v>
      </c>
      <c r="E1" t="s">
        <v>15</v>
      </c>
      <c r="F1" t="s">
        <v>16</v>
      </c>
      <c r="G1" t="s">
        <v>17</v>
      </c>
      <c r="H1" t="s">
        <v>18</v>
      </c>
    </row>
    <row r="2" spans="1:8" x14ac:dyDescent="0.2">
      <c r="A2" t="s">
        <v>19</v>
      </c>
      <c r="B2" t="s">
        <v>20</v>
      </c>
      <c r="C2" t="s">
        <v>21</v>
      </c>
      <c r="D2" t="s">
        <v>22</v>
      </c>
      <c r="E2" t="s">
        <v>23</v>
      </c>
      <c r="F2" t="s">
        <v>24</v>
      </c>
      <c r="G2">
        <v>1955</v>
      </c>
    </row>
    <row r="3" spans="1:8" x14ac:dyDescent="0.2">
      <c r="A3" t="s">
        <v>25</v>
      </c>
      <c r="B3" t="s">
        <v>26</v>
      </c>
      <c r="C3" t="s">
        <v>25</v>
      </c>
      <c r="D3" t="s">
        <v>27</v>
      </c>
      <c r="E3" t="s">
        <v>28</v>
      </c>
      <c r="F3" t="s">
        <v>29</v>
      </c>
      <c r="G3">
        <v>1891</v>
      </c>
      <c r="H3">
        <v>1987</v>
      </c>
    </row>
    <row r="4" spans="1:8" x14ac:dyDescent="0.2">
      <c r="A4" t="s">
        <v>30</v>
      </c>
      <c r="B4" t="s">
        <v>31</v>
      </c>
      <c r="C4" t="s">
        <v>32</v>
      </c>
      <c r="D4" t="s">
        <v>30</v>
      </c>
      <c r="E4" t="s">
        <v>33</v>
      </c>
      <c r="F4" t="s">
        <v>34</v>
      </c>
      <c r="G4">
        <v>1892</v>
      </c>
    </row>
    <row r="5" spans="1:8" x14ac:dyDescent="0.2">
      <c r="A5" t="s">
        <v>35</v>
      </c>
      <c r="B5" t="s">
        <v>36</v>
      </c>
      <c r="C5" t="s">
        <v>37</v>
      </c>
      <c r="D5" t="s">
        <v>38</v>
      </c>
      <c r="E5" t="s">
        <v>39</v>
      </c>
      <c r="F5" t="s">
        <v>40</v>
      </c>
      <c r="G5">
        <v>1928</v>
      </c>
      <c r="H5" t="s">
        <v>41</v>
      </c>
    </row>
    <row r="6" spans="1:8" x14ac:dyDescent="0.2">
      <c r="A6" t="s">
        <v>42</v>
      </c>
      <c r="B6" t="s">
        <v>43</v>
      </c>
      <c r="C6" t="s">
        <v>44</v>
      </c>
      <c r="D6" t="s">
        <v>42</v>
      </c>
      <c r="E6" t="s">
        <v>45</v>
      </c>
      <c r="F6" t="s">
        <v>46</v>
      </c>
      <c r="G6">
        <v>1899</v>
      </c>
    </row>
    <row r="7" spans="1:8" x14ac:dyDescent="0.2">
      <c r="A7" t="s">
        <v>47</v>
      </c>
      <c r="B7" t="s">
        <v>48</v>
      </c>
      <c r="C7" t="s">
        <v>49</v>
      </c>
      <c r="D7" t="s">
        <v>42</v>
      </c>
      <c r="E7" t="s">
        <v>45</v>
      </c>
      <c r="F7" t="s">
        <v>46</v>
      </c>
      <c r="G7">
        <v>1896</v>
      </c>
    </row>
    <row r="8" spans="1:8" x14ac:dyDescent="0.2">
      <c r="A8" t="s">
        <v>50</v>
      </c>
      <c r="B8" t="s">
        <v>51</v>
      </c>
      <c r="C8" t="s">
        <v>52</v>
      </c>
      <c r="D8" t="s">
        <v>50</v>
      </c>
      <c r="E8" t="s">
        <v>33</v>
      </c>
      <c r="F8" t="s">
        <v>53</v>
      </c>
      <c r="G8">
        <v>1894</v>
      </c>
    </row>
    <row r="9" spans="1:8" x14ac:dyDescent="0.2">
      <c r="A9" t="s">
        <v>54</v>
      </c>
      <c r="B9" t="s">
        <v>55</v>
      </c>
      <c r="C9" t="s">
        <v>56</v>
      </c>
      <c r="D9" t="s">
        <v>50</v>
      </c>
      <c r="E9" t="s">
        <v>39</v>
      </c>
      <c r="F9" t="s">
        <v>57</v>
      </c>
      <c r="G9">
        <v>1911</v>
      </c>
      <c r="H9">
        <v>1992</v>
      </c>
    </row>
    <row r="10" spans="1:8" x14ac:dyDescent="0.2">
      <c r="A10" t="s">
        <v>58</v>
      </c>
      <c r="B10" t="s">
        <v>59</v>
      </c>
      <c r="C10" t="s">
        <v>60</v>
      </c>
      <c r="D10" t="s">
        <v>61</v>
      </c>
      <c r="E10" t="s">
        <v>62</v>
      </c>
      <c r="F10" t="s">
        <v>63</v>
      </c>
      <c r="G10">
        <v>1890</v>
      </c>
    </row>
    <row r="11" spans="1:8" x14ac:dyDescent="0.2">
      <c r="A11" t="s">
        <v>64</v>
      </c>
      <c r="B11" t="s">
        <v>65</v>
      </c>
      <c r="C11" t="s">
        <v>64</v>
      </c>
      <c r="D11" t="s">
        <v>30</v>
      </c>
      <c r="E11" t="s">
        <v>33</v>
      </c>
      <c r="F11" t="s">
        <v>34</v>
      </c>
      <c r="G11">
        <v>1892</v>
      </c>
    </row>
    <row r="12" spans="1:8" x14ac:dyDescent="0.2">
      <c r="A12" t="s">
        <v>66</v>
      </c>
      <c r="B12" t="s">
        <v>67</v>
      </c>
      <c r="C12" t="s">
        <v>68</v>
      </c>
      <c r="D12" t="s">
        <v>69</v>
      </c>
      <c r="E12" t="s">
        <v>28</v>
      </c>
      <c r="F12" t="s">
        <v>70</v>
      </c>
      <c r="G12">
        <v>1924</v>
      </c>
    </row>
    <row r="13" spans="1:8" x14ac:dyDescent="0.2">
      <c r="A13" t="s">
        <v>71</v>
      </c>
      <c r="B13" t="s">
        <v>72</v>
      </c>
      <c r="C13" t="s">
        <v>73</v>
      </c>
      <c r="D13" t="s">
        <v>74</v>
      </c>
      <c r="E13" t="s">
        <v>75</v>
      </c>
      <c r="F13" t="s">
        <v>76</v>
      </c>
      <c r="G13">
        <v>1899</v>
      </c>
    </row>
    <row r="14" spans="1:8" x14ac:dyDescent="0.2">
      <c r="A14" t="s">
        <v>77</v>
      </c>
      <c r="B14" t="s">
        <v>78</v>
      </c>
      <c r="C14" t="s">
        <v>79</v>
      </c>
      <c r="D14" t="s">
        <v>80</v>
      </c>
      <c r="E14" t="s">
        <v>23</v>
      </c>
      <c r="F14" t="s">
        <v>81</v>
      </c>
      <c r="G14" t="s">
        <v>82</v>
      </c>
      <c r="H14">
        <v>1996</v>
      </c>
    </row>
    <row r="15" spans="1:8" x14ac:dyDescent="0.2">
      <c r="A15" t="s">
        <v>83</v>
      </c>
      <c r="B15" t="s">
        <v>84</v>
      </c>
      <c r="C15" t="s">
        <v>85</v>
      </c>
      <c r="D15" t="s">
        <v>86</v>
      </c>
      <c r="E15" t="s">
        <v>87</v>
      </c>
      <c r="F15" t="s">
        <v>88</v>
      </c>
      <c r="G15">
        <v>1893</v>
      </c>
    </row>
    <row r="16" spans="1:8" x14ac:dyDescent="0.2">
      <c r="A16" t="s">
        <v>89</v>
      </c>
      <c r="B16" t="s">
        <v>20</v>
      </c>
      <c r="C16" t="s">
        <v>89</v>
      </c>
      <c r="D16" t="s">
        <v>27</v>
      </c>
      <c r="E16" t="s">
        <v>28</v>
      </c>
      <c r="F16" t="s">
        <v>90</v>
      </c>
      <c r="G16">
        <v>1919</v>
      </c>
    </row>
    <row r="17" spans="1:8" x14ac:dyDescent="0.2">
      <c r="A17" t="s">
        <v>91</v>
      </c>
      <c r="B17" t="s">
        <v>92</v>
      </c>
      <c r="C17" t="s">
        <v>91</v>
      </c>
      <c r="D17" t="s">
        <v>61</v>
      </c>
      <c r="E17" t="s">
        <v>28</v>
      </c>
      <c r="F17" t="s">
        <v>93</v>
      </c>
      <c r="G17">
        <v>1894</v>
      </c>
      <c r="H17">
        <v>1999</v>
      </c>
    </row>
    <row r="18" spans="1:8" x14ac:dyDescent="0.2">
      <c r="A18" t="s">
        <v>94</v>
      </c>
      <c r="B18" t="s">
        <v>95</v>
      </c>
      <c r="C18" t="s">
        <v>96</v>
      </c>
      <c r="D18" t="s">
        <v>97</v>
      </c>
      <c r="E18" t="s">
        <v>62</v>
      </c>
      <c r="F18" t="s">
        <v>98</v>
      </c>
      <c r="G18">
        <v>1922</v>
      </c>
    </row>
    <row r="19" spans="1:8" x14ac:dyDescent="0.2">
      <c r="A19" t="s">
        <v>99</v>
      </c>
      <c r="B19" t="s">
        <v>100</v>
      </c>
      <c r="C19" t="s">
        <v>101</v>
      </c>
      <c r="D19" t="s">
        <v>99</v>
      </c>
      <c r="E19" t="s">
        <v>45</v>
      </c>
      <c r="F19" t="s">
        <v>102</v>
      </c>
      <c r="G19">
        <v>1882</v>
      </c>
    </row>
    <row r="20" spans="1:8" x14ac:dyDescent="0.2">
      <c r="A20" t="s">
        <v>103</v>
      </c>
      <c r="B20" t="s">
        <v>104</v>
      </c>
      <c r="C20" t="s">
        <v>105</v>
      </c>
      <c r="D20" t="s">
        <v>106</v>
      </c>
      <c r="E20" t="s">
        <v>28</v>
      </c>
      <c r="F20" t="s">
        <v>107</v>
      </c>
      <c r="G20">
        <v>1896</v>
      </c>
    </row>
    <row r="21" spans="1:8" x14ac:dyDescent="0.2">
      <c r="A21" t="s">
        <v>108</v>
      </c>
      <c r="B21" t="s">
        <v>109</v>
      </c>
      <c r="C21" t="s">
        <v>108</v>
      </c>
      <c r="D21" t="s">
        <v>38</v>
      </c>
      <c r="E21" t="s">
        <v>63</v>
      </c>
      <c r="F21" t="s">
        <v>110</v>
      </c>
      <c r="G21">
        <v>2013</v>
      </c>
      <c r="H21">
        <v>2015</v>
      </c>
    </row>
    <row r="22" spans="1:8" x14ac:dyDescent="0.2">
      <c r="A22" t="s">
        <v>111</v>
      </c>
      <c r="B22" t="s">
        <v>112</v>
      </c>
      <c r="C22" t="s">
        <v>111</v>
      </c>
      <c r="D22" t="s">
        <v>27</v>
      </c>
      <c r="E22" t="s">
        <v>113</v>
      </c>
      <c r="F22" t="s">
        <v>114</v>
      </c>
      <c r="G22">
        <v>1885</v>
      </c>
    </row>
    <row r="23" spans="1:8" x14ac:dyDescent="0.2">
      <c r="A23" t="s">
        <v>115</v>
      </c>
      <c r="B23" t="s">
        <v>65</v>
      </c>
      <c r="C23" t="s">
        <v>115</v>
      </c>
      <c r="D23" t="s">
        <v>116</v>
      </c>
      <c r="E23" t="s">
        <v>87</v>
      </c>
      <c r="F23" t="s">
        <v>117</v>
      </c>
      <c r="G23">
        <v>1896</v>
      </c>
    </row>
    <row r="24" spans="1:8" x14ac:dyDescent="0.2">
      <c r="A24" t="s">
        <v>118</v>
      </c>
      <c r="B24" t="s">
        <v>119</v>
      </c>
      <c r="C24" t="s">
        <v>120</v>
      </c>
      <c r="D24" t="s">
        <v>116</v>
      </c>
      <c r="E24" t="s">
        <v>39</v>
      </c>
      <c r="F24" t="s">
        <v>121</v>
      </c>
      <c r="G24">
        <v>2003</v>
      </c>
      <c r="H24">
        <v>2017</v>
      </c>
    </row>
    <row r="25" spans="1:8" x14ac:dyDescent="0.2">
      <c r="A25" t="s">
        <v>22</v>
      </c>
      <c r="B25" t="s">
        <v>122</v>
      </c>
      <c r="C25" t="s">
        <v>123</v>
      </c>
      <c r="D25" t="s">
        <v>22</v>
      </c>
      <c r="E25" t="s">
        <v>45</v>
      </c>
      <c r="F25" t="s">
        <v>124</v>
      </c>
      <c r="G25">
        <v>1890</v>
      </c>
    </row>
    <row r="26" spans="1:8" x14ac:dyDescent="0.2">
      <c r="A26" t="s">
        <v>125</v>
      </c>
      <c r="B26" t="s">
        <v>126</v>
      </c>
      <c r="C26" t="s">
        <v>127</v>
      </c>
      <c r="D26" t="s">
        <v>22</v>
      </c>
      <c r="E26" t="s">
        <v>23</v>
      </c>
      <c r="F26" t="s">
        <v>128</v>
      </c>
      <c r="G26">
        <v>1890</v>
      </c>
    </row>
    <row r="27" spans="1:8" x14ac:dyDescent="0.2">
      <c r="A27" t="s">
        <v>129</v>
      </c>
      <c r="B27" t="s">
        <v>130</v>
      </c>
      <c r="C27" t="s">
        <v>131</v>
      </c>
      <c r="D27" t="s">
        <v>38</v>
      </c>
      <c r="E27" t="s">
        <v>87</v>
      </c>
      <c r="F27" t="s">
        <v>132</v>
      </c>
      <c r="G27">
        <v>1888</v>
      </c>
    </row>
    <row r="28" spans="1:8" x14ac:dyDescent="0.2">
      <c r="A28" t="s">
        <v>133</v>
      </c>
      <c r="B28" t="s">
        <v>134</v>
      </c>
      <c r="C28" t="s">
        <v>135</v>
      </c>
      <c r="D28" t="s">
        <v>38</v>
      </c>
      <c r="E28" t="s">
        <v>113</v>
      </c>
      <c r="F28" t="s">
        <v>136</v>
      </c>
      <c r="G28">
        <v>1932</v>
      </c>
    </row>
    <row r="29" spans="1:8" x14ac:dyDescent="0.2">
      <c r="A29" t="s">
        <v>137</v>
      </c>
      <c r="B29" t="s">
        <v>84</v>
      </c>
      <c r="C29" t="s">
        <v>138</v>
      </c>
      <c r="D29" t="s">
        <v>106</v>
      </c>
      <c r="E29" t="s">
        <v>28</v>
      </c>
      <c r="F29" t="s">
        <v>139</v>
      </c>
      <c r="G29">
        <v>1891</v>
      </c>
    </row>
    <row r="30" spans="1:8" x14ac:dyDescent="0.2">
      <c r="A30" t="s">
        <v>140</v>
      </c>
      <c r="B30" t="s">
        <v>141</v>
      </c>
      <c r="C30" t="s">
        <v>142</v>
      </c>
      <c r="D30" t="s">
        <v>143</v>
      </c>
      <c r="E30" t="s">
        <v>63</v>
      </c>
      <c r="F30" t="s">
        <v>39</v>
      </c>
      <c r="G30">
        <v>2002</v>
      </c>
      <c r="H30">
        <v>2006</v>
      </c>
    </row>
    <row r="31" spans="1:8" x14ac:dyDescent="0.2">
      <c r="A31" t="s">
        <v>143</v>
      </c>
      <c r="B31" t="s">
        <v>144</v>
      </c>
      <c r="C31" t="s">
        <v>145</v>
      </c>
      <c r="D31" t="s">
        <v>143</v>
      </c>
      <c r="E31" t="s">
        <v>33</v>
      </c>
      <c r="F31" t="s">
        <v>34</v>
      </c>
      <c r="G31">
        <v>1906</v>
      </c>
    </row>
    <row r="32" spans="1:8" x14ac:dyDescent="0.2">
      <c r="A32" t="s">
        <v>146</v>
      </c>
      <c r="B32" t="s">
        <v>147</v>
      </c>
      <c r="C32" t="s">
        <v>148</v>
      </c>
      <c r="D32" t="s">
        <v>143</v>
      </c>
      <c r="E32" t="s">
        <v>63</v>
      </c>
      <c r="F32" t="s">
        <v>39</v>
      </c>
      <c r="G32">
        <v>2001</v>
      </c>
      <c r="H32">
        <v>2006</v>
      </c>
    </row>
    <row r="33" spans="1:8" x14ac:dyDescent="0.2">
      <c r="A33" t="s">
        <v>149</v>
      </c>
      <c r="B33" t="s">
        <v>150</v>
      </c>
      <c r="C33" t="s">
        <v>151</v>
      </c>
      <c r="D33" t="s">
        <v>143</v>
      </c>
      <c r="E33" t="s">
        <v>87</v>
      </c>
      <c r="F33" t="s">
        <v>152</v>
      </c>
      <c r="G33">
        <v>1947</v>
      </c>
    </row>
    <row r="34" spans="1:8" x14ac:dyDescent="0.2">
      <c r="A34" t="s">
        <v>153</v>
      </c>
      <c r="B34" t="s">
        <v>154</v>
      </c>
      <c r="C34" t="s">
        <v>155</v>
      </c>
      <c r="D34" t="s">
        <v>99</v>
      </c>
      <c r="E34" t="s">
        <v>23</v>
      </c>
      <c r="F34" t="s">
        <v>156</v>
      </c>
      <c r="G34">
        <v>1921</v>
      </c>
    </row>
    <row r="35" spans="1:8" x14ac:dyDescent="0.2">
      <c r="A35" t="s">
        <v>157</v>
      </c>
      <c r="B35" t="s">
        <v>154</v>
      </c>
      <c r="C35" t="s">
        <v>158</v>
      </c>
      <c r="D35" t="s">
        <v>157</v>
      </c>
      <c r="E35" t="s">
        <v>33</v>
      </c>
      <c r="F35" t="s">
        <v>34</v>
      </c>
      <c r="G35">
        <v>1892</v>
      </c>
    </row>
    <row r="36" spans="1:8" x14ac:dyDescent="0.2">
      <c r="A36" t="s">
        <v>159</v>
      </c>
      <c r="B36" t="s">
        <v>84</v>
      </c>
      <c r="C36" t="s">
        <v>160</v>
      </c>
      <c r="D36" t="s">
        <v>157</v>
      </c>
      <c r="E36" t="s">
        <v>39</v>
      </c>
      <c r="F36" t="s">
        <v>132</v>
      </c>
      <c r="G36">
        <v>1924</v>
      </c>
      <c r="H36">
        <v>2014</v>
      </c>
    </row>
    <row r="37" spans="1:8" x14ac:dyDescent="0.2">
      <c r="A37" t="s">
        <v>161</v>
      </c>
      <c r="B37" t="s">
        <v>141</v>
      </c>
      <c r="C37" t="s">
        <v>162</v>
      </c>
      <c r="D37" t="s">
        <v>157</v>
      </c>
      <c r="E37" t="s">
        <v>39</v>
      </c>
      <c r="F37" t="s">
        <v>163</v>
      </c>
      <c r="G37">
        <v>2010</v>
      </c>
      <c r="H37">
        <v>2013</v>
      </c>
    </row>
    <row r="38" spans="1:8" x14ac:dyDescent="0.2">
      <c r="A38" t="s">
        <v>164</v>
      </c>
      <c r="B38" t="s">
        <v>165</v>
      </c>
      <c r="C38" t="s">
        <v>162</v>
      </c>
      <c r="D38" t="s">
        <v>157</v>
      </c>
      <c r="E38" t="s">
        <v>87</v>
      </c>
      <c r="F38" t="s">
        <v>166</v>
      </c>
      <c r="G38">
        <v>1892</v>
      </c>
    </row>
    <row r="39" spans="1:8" x14ac:dyDescent="0.2">
      <c r="A39" t="s">
        <v>167</v>
      </c>
      <c r="B39" t="s">
        <v>168</v>
      </c>
      <c r="C39" t="s">
        <v>169</v>
      </c>
      <c r="D39" t="s">
        <v>170</v>
      </c>
      <c r="E39" t="s">
        <v>23</v>
      </c>
      <c r="F39" t="s">
        <v>24</v>
      </c>
      <c r="G39">
        <v>1909</v>
      </c>
    </row>
    <row r="40" spans="1:8" x14ac:dyDescent="0.2">
      <c r="A40" t="s">
        <v>171</v>
      </c>
      <c r="B40" t="s">
        <v>95</v>
      </c>
      <c r="C40" t="s">
        <v>171</v>
      </c>
      <c r="D40" t="s">
        <v>74</v>
      </c>
      <c r="E40" t="s">
        <v>113</v>
      </c>
      <c r="F40" t="s">
        <v>172</v>
      </c>
      <c r="G40">
        <v>1946</v>
      </c>
    </row>
    <row r="41" spans="1:8" x14ac:dyDescent="0.2">
      <c r="A41" t="s">
        <v>173</v>
      </c>
      <c r="B41" t="s">
        <v>174</v>
      </c>
      <c r="C41" t="s">
        <v>175</v>
      </c>
      <c r="D41" t="s">
        <v>173</v>
      </c>
      <c r="E41" t="s">
        <v>176</v>
      </c>
      <c r="F41" t="s">
        <v>177</v>
      </c>
      <c r="G41">
        <v>1890</v>
      </c>
    </row>
    <row r="42" spans="1:8" x14ac:dyDescent="0.2">
      <c r="A42" t="s">
        <v>69</v>
      </c>
      <c r="B42" t="s">
        <v>178</v>
      </c>
      <c r="C42" t="s">
        <v>179</v>
      </c>
      <c r="D42" t="s">
        <v>69</v>
      </c>
      <c r="E42" t="s">
        <v>176</v>
      </c>
      <c r="F42" t="s">
        <v>180</v>
      </c>
      <c r="G42">
        <v>1887</v>
      </c>
    </row>
    <row r="43" spans="1:8" x14ac:dyDescent="0.2">
      <c r="A43" t="s">
        <v>181</v>
      </c>
      <c r="B43" t="s">
        <v>182</v>
      </c>
      <c r="C43" t="s">
        <v>183</v>
      </c>
      <c r="D43" t="s">
        <v>181</v>
      </c>
      <c r="E43" t="s">
        <v>176</v>
      </c>
      <c r="F43" t="s">
        <v>184</v>
      </c>
      <c r="G43">
        <v>1889</v>
      </c>
    </row>
    <row r="44" spans="1:8" x14ac:dyDescent="0.2">
      <c r="A44" t="s">
        <v>185</v>
      </c>
      <c r="B44" t="s">
        <v>186</v>
      </c>
      <c r="C44" t="s">
        <v>187</v>
      </c>
      <c r="D44" t="s">
        <v>181</v>
      </c>
      <c r="E44" t="s">
        <v>75</v>
      </c>
      <c r="F44" t="s">
        <v>188</v>
      </c>
      <c r="G44">
        <v>1892</v>
      </c>
    </row>
    <row r="45" spans="1:8" x14ac:dyDescent="0.2">
      <c r="A45" t="s">
        <v>189</v>
      </c>
      <c r="B45" t="s">
        <v>190</v>
      </c>
      <c r="C45" t="s">
        <v>191</v>
      </c>
      <c r="D45" t="s">
        <v>189</v>
      </c>
      <c r="E45" t="s">
        <v>75</v>
      </c>
      <c r="F45" t="s">
        <v>192</v>
      </c>
      <c r="G45">
        <v>1890</v>
      </c>
    </row>
    <row r="46" spans="1:8" x14ac:dyDescent="0.2">
      <c r="A46" t="s">
        <v>193</v>
      </c>
      <c r="B46" t="s">
        <v>43</v>
      </c>
      <c r="C46" t="s">
        <v>194</v>
      </c>
      <c r="D46" t="s">
        <v>189</v>
      </c>
      <c r="E46" t="s">
        <v>75</v>
      </c>
      <c r="F46" t="s">
        <v>188</v>
      </c>
      <c r="G46">
        <v>1896</v>
      </c>
    </row>
    <row r="47" spans="1:8" x14ac:dyDescent="0.2">
      <c r="A47" t="s">
        <v>195</v>
      </c>
      <c r="B47" t="s">
        <v>196</v>
      </c>
      <c r="C47" t="s">
        <v>197</v>
      </c>
      <c r="D47" t="s">
        <v>27</v>
      </c>
      <c r="E47" t="s">
        <v>28</v>
      </c>
      <c r="F47" t="s">
        <v>198</v>
      </c>
      <c r="G47">
        <v>1920</v>
      </c>
    </row>
    <row r="48" spans="1:8" x14ac:dyDescent="0.2">
      <c r="A48" t="s">
        <v>199</v>
      </c>
      <c r="B48" t="s">
        <v>43</v>
      </c>
      <c r="C48" t="s">
        <v>200</v>
      </c>
      <c r="D48" t="s">
        <v>199</v>
      </c>
      <c r="E48" t="s">
        <v>33</v>
      </c>
      <c r="F48" t="s">
        <v>34</v>
      </c>
      <c r="G48">
        <v>1881</v>
      </c>
    </row>
    <row r="49" spans="1:8" x14ac:dyDescent="0.2">
      <c r="A49" t="s">
        <v>201</v>
      </c>
      <c r="B49" t="s">
        <v>202</v>
      </c>
      <c r="C49" t="s">
        <v>203</v>
      </c>
      <c r="D49" t="s">
        <v>204</v>
      </c>
      <c r="E49" t="s">
        <v>205</v>
      </c>
      <c r="F49" t="s">
        <v>121</v>
      </c>
      <c r="G49">
        <v>1973</v>
      </c>
      <c r="H49">
        <v>2017</v>
      </c>
    </row>
    <row r="50" spans="1:8" x14ac:dyDescent="0.2">
      <c r="A50" t="s">
        <v>206</v>
      </c>
      <c r="B50" t="s">
        <v>207</v>
      </c>
      <c r="C50" t="s">
        <v>208</v>
      </c>
      <c r="D50" t="s">
        <v>206</v>
      </c>
      <c r="E50" t="s">
        <v>39</v>
      </c>
      <c r="F50" t="s">
        <v>209</v>
      </c>
      <c r="G50">
        <v>1902</v>
      </c>
    </row>
    <row r="51" spans="1:8" x14ac:dyDescent="0.2">
      <c r="A51" t="s">
        <v>210</v>
      </c>
      <c r="B51" t="s">
        <v>211</v>
      </c>
      <c r="C51" t="s">
        <v>212</v>
      </c>
      <c r="D51" t="s">
        <v>206</v>
      </c>
      <c r="E51" t="s">
        <v>39</v>
      </c>
      <c r="F51" t="s">
        <v>213</v>
      </c>
      <c r="G51">
        <v>1951</v>
      </c>
      <c r="H51">
        <v>1994</v>
      </c>
    </row>
    <row r="52" spans="1:8" x14ac:dyDescent="0.2">
      <c r="A52" t="s">
        <v>214</v>
      </c>
      <c r="B52" t="s">
        <v>154</v>
      </c>
      <c r="C52" t="s">
        <v>215</v>
      </c>
      <c r="D52" t="s">
        <v>206</v>
      </c>
      <c r="E52" t="s">
        <v>63</v>
      </c>
      <c r="F52" t="s">
        <v>216</v>
      </c>
      <c r="G52">
        <v>1901</v>
      </c>
      <c r="H52">
        <v>1989</v>
      </c>
    </row>
    <row r="53" spans="1:8" x14ac:dyDescent="0.2">
      <c r="A53" t="s">
        <v>217</v>
      </c>
      <c r="B53" t="s">
        <v>67</v>
      </c>
      <c r="C53" t="s">
        <v>217</v>
      </c>
      <c r="D53" t="s">
        <v>199</v>
      </c>
      <c r="E53" t="s">
        <v>87</v>
      </c>
      <c r="F53" t="s">
        <v>218</v>
      </c>
      <c r="G53">
        <v>1910</v>
      </c>
    </row>
    <row r="54" spans="1:8" x14ac:dyDescent="0.2">
      <c r="A54" t="s">
        <v>219</v>
      </c>
      <c r="B54" t="s">
        <v>65</v>
      </c>
      <c r="C54" t="s">
        <v>220</v>
      </c>
      <c r="D54" t="s">
        <v>206</v>
      </c>
      <c r="E54" t="s">
        <v>33</v>
      </c>
      <c r="F54" t="s">
        <v>34</v>
      </c>
      <c r="G54">
        <v>1893</v>
      </c>
    </row>
    <row r="55" spans="1:8" x14ac:dyDescent="0.2">
      <c r="A55" t="s">
        <v>221</v>
      </c>
      <c r="B55" t="s">
        <v>222</v>
      </c>
      <c r="C55" t="s">
        <v>223</v>
      </c>
      <c r="D55" t="s">
        <v>224</v>
      </c>
      <c r="E55" t="s">
        <v>63</v>
      </c>
      <c r="F55" t="s">
        <v>225</v>
      </c>
      <c r="G55">
        <v>1895</v>
      </c>
      <c r="H55" t="s">
        <v>226</v>
      </c>
    </row>
    <row r="56" spans="1:8" x14ac:dyDescent="0.2">
      <c r="A56" t="s">
        <v>227</v>
      </c>
      <c r="B56" t="s">
        <v>228</v>
      </c>
      <c r="C56" t="s">
        <v>229</v>
      </c>
      <c r="D56" t="s">
        <v>227</v>
      </c>
      <c r="E56" t="s">
        <v>176</v>
      </c>
      <c r="F56" t="s">
        <v>230</v>
      </c>
      <c r="G56">
        <v>1888</v>
      </c>
    </row>
    <row r="57" spans="1:8" x14ac:dyDescent="0.2">
      <c r="A57" t="s">
        <v>231</v>
      </c>
      <c r="B57" t="s">
        <v>65</v>
      </c>
      <c r="C57" t="s">
        <v>231</v>
      </c>
      <c r="D57" t="s">
        <v>232</v>
      </c>
      <c r="E57" t="s">
        <v>113</v>
      </c>
      <c r="F57" t="s">
        <v>233</v>
      </c>
      <c r="G57">
        <v>1912</v>
      </c>
    </row>
    <row r="58" spans="1:8" x14ac:dyDescent="0.2">
      <c r="A58" t="s">
        <v>234</v>
      </c>
      <c r="B58" t="s">
        <v>235</v>
      </c>
      <c r="C58" t="s">
        <v>236</v>
      </c>
      <c r="D58" t="s">
        <v>143</v>
      </c>
      <c r="E58" t="s">
        <v>87</v>
      </c>
      <c r="F58" t="s">
        <v>237</v>
      </c>
      <c r="G58" t="s">
        <v>238</v>
      </c>
    </row>
    <row r="59" spans="1:8" x14ac:dyDescent="0.2">
      <c r="A59" t="s">
        <v>239</v>
      </c>
      <c r="B59" t="s">
        <v>240</v>
      </c>
      <c r="C59" t="s">
        <v>241</v>
      </c>
      <c r="D59" t="s">
        <v>27</v>
      </c>
      <c r="E59" t="s">
        <v>28</v>
      </c>
      <c r="F59" t="s">
        <v>242</v>
      </c>
      <c r="G59">
        <v>1888</v>
      </c>
    </row>
    <row r="60" spans="1:8" x14ac:dyDescent="0.2">
      <c r="A60" t="s">
        <v>106</v>
      </c>
      <c r="B60" t="s">
        <v>243</v>
      </c>
      <c r="C60" t="s">
        <v>244</v>
      </c>
      <c r="D60" t="s">
        <v>106</v>
      </c>
      <c r="E60" t="s">
        <v>176</v>
      </c>
      <c r="G60">
        <v>1879</v>
      </c>
    </row>
    <row r="61" spans="1:8" x14ac:dyDescent="0.2">
      <c r="A61" t="s">
        <v>245</v>
      </c>
      <c r="B61" t="s">
        <v>246</v>
      </c>
      <c r="C61" t="s">
        <v>247</v>
      </c>
      <c r="D61" t="s">
        <v>106</v>
      </c>
      <c r="E61" t="s">
        <v>176</v>
      </c>
      <c r="F61" t="s">
        <v>248</v>
      </c>
      <c r="G61">
        <v>1885</v>
      </c>
    </row>
    <row r="62" spans="1:8" x14ac:dyDescent="0.2">
      <c r="A62" t="s">
        <v>249</v>
      </c>
      <c r="B62" t="s">
        <v>250</v>
      </c>
      <c r="C62" t="s">
        <v>251</v>
      </c>
      <c r="D62" t="s">
        <v>232</v>
      </c>
      <c r="E62" t="s">
        <v>63</v>
      </c>
      <c r="F62" t="s">
        <v>252</v>
      </c>
      <c r="G62">
        <v>1911</v>
      </c>
      <c r="H62">
        <v>1999</v>
      </c>
    </row>
    <row r="63" spans="1:8" x14ac:dyDescent="0.2">
      <c r="A63" t="s">
        <v>253</v>
      </c>
      <c r="B63" t="s">
        <v>254</v>
      </c>
      <c r="C63" t="s">
        <v>255</v>
      </c>
      <c r="D63" t="s">
        <v>253</v>
      </c>
      <c r="E63" t="s">
        <v>176</v>
      </c>
      <c r="G63">
        <v>1882</v>
      </c>
    </row>
    <row r="64" spans="1:8" x14ac:dyDescent="0.2">
      <c r="A64" t="s">
        <v>256</v>
      </c>
      <c r="B64" t="s">
        <v>154</v>
      </c>
      <c r="C64" t="s">
        <v>257</v>
      </c>
      <c r="D64" t="s">
        <v>258</v>
      </c>
      <c r="E64" t="s">
        <v>33</v>
      </c>
      <c r="F64" t="s">
        <v>34</v>
      </c>
      <c r="G64">
        <v>1895</v>
      </c>
    </row>
    <row r="65" spans="1:8" x14ac:dyDescent="0.2">
      <c r="A65" t="s">
        <v>259</v>
      </c>
      <c r="B65" t="s">
        <v>65</v>
      </c>
      <c r="C65" t="s">
        <v>260</v>
      </c>
      <c r="D65" t="s">
        <v>259</v>
      </c>
      <c r="E65" t="s">
        <v>33</v>
      </c>
      <c r="F65" t="s">
        <v>261</v>
      </c>
      <c r="G65">
        <v>1890</v>
      </c>
    </row>
    <row r="66" spans="1:8" x14ac:dyDescent="0.2">
      <c r="A66" t="s">
        <v>262</v>
      </c>
      <c r="B66" t="s">
        <v>263</v>
      </c>
      <c r="C66" t="s">
        <v>264</v>
      </c>
      <c r="D66" t="s">
        <v>227</v>
      </c>
      <c r="E66" t="s">
        <v>113</v>
      </c>
      <c r="F66" t="s">
        <v>62</v>
      </c>
      <c r="G66">
        <v>1879</v>
      </c>
    </row>
    <row r="67" spans="1:8" x14ac:dyDescent="0.2">
      <c r="A67" t="s">
        <v>265</v>
      </c>
      <c r="B67" t="s">
        <v>266</v>
      </c>
      <c r="C67" t="s">
        <v>267</v>
      </c>
      <c r="D67" t="s">
        <v>38</v>
      </c>
      <c r="E67" t="s">
        <v>87</v>
      </c>
      <c r="F67" t="s">
        <v>268</v>
      </c>
      <c r="G67">
        <v>1892</v>
      </c>
    </row>
    <row r="68" spans="1:8" x14ac:dyDescent="0.2">
      <c r="A68" t="s">
        <v>269</v>
      </c>
      <c r="B68" t="s">
        <v>270</v>
      </c>
      <c r="C68" t="s">
        <v>271</v>
      </c>
      <c r="D68" t="s">
        <v>269</v>
      </c>
      <c r="E68" t="s">
        <v>176</v>
      </c>
      <c r="F68" t="s">
        <v>272</v>
      </c>
      <c r="G68">
        <v>1890</v>
      </c>
    </row>
    <row r="69" spans="1:8" x14ac:dyDescent="0.2">
      <c r="A69" t="s">
        <v>273</v>
      </c>
      <c r="B69" t="s">
        <v>274</v>
      </c>
      <c r="C69" t="s">
        <v>275</v>
      </c>
      <c r="D69" t="s">
        <v>273</v>
      </c>
      <c r="E69" t="s">
        <v>23</v>
      </c>
      <c r="F69" t="s">
        <v>276</v>
      </c>
      <c r="G69">
        <v>1896</v>
      </c>
      <c r="H69">
        <v>1992</v>
      </c>
    </row>
    <row r="70" spans="1:8" x14ac:dyDescent="0.2">
      <c r="A70" t="s">
        <v>277</v>
      </c>
      <c r="B70" t="s">
        <v>278</v>
      </c>
      <c r="C70" t="s">
        <v>279</v>
      </c>
      <c r="D70" t="s">
        <v>277</v>
      </c>
      <c r="E70" t="s">
        <v>23</v>
      </c>
      <c r="F70" t="s">
        <v>46</v>
      </c>
      <c r="G70">
        <v>1892</v>
      </c>
    </row>
    <row r="71" spans="1:8" x14ac:dyDescent="0.2">
      <c r="A71" t="s">
        <v>280</v>
      </c>
      <c r="B71" t="s">
        <v>281</v>
      </c>
      <c r="C71" t="s">
        <v>282</v>
      </c>
      <c r="D71" t="s">
        <v>277</v>
      </c>
      <c r="E71" t="s">
        <v>62</v>
      </c>
      <c r="F71" t="s">
        <v>283</v>
      </c>
      <c r="G71">
        <v>1893</v>
      </c>
    </row>
    <row r="72" spans="1:8" x14ac:dyDescent="0.2">
      <c r="A72" t="s">
        <v>38</v>
      </c>
      <c r="B72" t="s">
        <v>284</v>
      </c>
      <c r="C72" t="s">
        <v>285</v>
      </c>
      <c r="D72" t="s">
        <v>38</v>
      </c>
      <c r="E72" t="s">
        <v>87</v>
      </c>
      <c r="F72" t="s">
        <v>268</v>
      </c>
      <c r="G72">
        <v>1888</v>
      </c>
    </row>
    <row r="73" spans="1:8" x14ac:dyDescent="0.2">
      <c r="A73" t="s">
        <v>286</v>
      </c>
      <c r="B73" t="s">
        <v>287</v>
      </c>
      <c r="C73" t="s">
        <v>288</v>
      </c>
      <c r="D73" t="s">
        <v>74</v>
      </c>
      <c r="E73" t="s">
        <v>63</v>
      </c>
      <c r="F73" t="s">
        <v>289</v>
      </c>
      <c r="G73">
        <v>1913</v>
      </c>
      <c r="H73">
        <v>1995</v>
      </c>
    </row>
    <row r="74" spans="1:8" x14ac:dyDescent="0.2">
      <c r="A74" t="s">
        <v>290</v>
      </c>
      <c r="B74" t="s">
        <v>291</v>
      </c>
      <c r="C74" t="s">
        <v>292</v>
      </c>
      <c r="D74" t="s">
        <v>173</v>
      </c>
      <c r="E74" t="s">
        <v>28</v>
      </c>
      <c r="F74" t="s">
        <v>293</v>
      </c>
      <c r="G74">
        <v>1899</v>
      </c>
    </row>
    <row r="75" spans="1:8" x14ac:dyDescent="0.2">
      <c r="A75" t="s">
        <v>294</v>
      </c>
      <c r="B75" t="s">
        <v>43</v>
      </c>
      <c r="C75" t="s">
        <v>295</v>
      </c>
      <c r="D75" t="s">
        <v>173</v>
      </c>
      <c r="E75" t="s">
        <v>176</v>
      </c>
      <c r="G75">
        <v>1876</v>
      </c>
    </row>
    <row r="76" spans="1:8" x14ac:dyDescent="0.2">
      <c r="A76" t="s">
        <v>296</v>
      </c>
      <c r="B76" t="s">
        <v>297</v>
      </c>
      <c r="C76" t="s">
        <v>298</v>
      </c>
      <c r="D76" t="s">
        <v>69</v>
      </c>
      <c r="E76" t="s">
        <v>62</v>
      </c>
      <c r="G76">
        <v>1887</v>
      </c>
    </row>
    <row r="77" spans="1:8" x14ac:dyDescent="0.2">
      <c r="A77" t="s">
        <v>27</v>
      </c>
      <c r="B77" t="s">
        <v>299</v>
      </c>
      <c r="C77" t="s">
        <v>158</v>
      </c>
      <c r="D77" t="s">
        <v>27</v>
      </c>
      <c r="E77" t="s">
        <v>28</v>
      </c>
      <c r="F77" t="s">
        <v>242</v>
      </c>
      <c r="G77">
        <v>1894</v>
      </c>
    </row>
    <row r="78" spans="1:8" x14ac:dyDescent="0.2">
      <c r="A78" t="s">
        <v>300</v>
      </c>
      <c r="B78" t="s">
        <v>301</v>
      </c>
      <c r="C78" t="s">
        <v>302</v>
      </c>
      <c r="D78" t="s">
        <v>27</v>
      </c>
      <c r="E78" t="s">
        <v>176</v>
      </c>
      <c r="F78" t="s">
        <v>198</v>
      </c>
      <c r="G78">
        <v>1889</v>
      </c>
    </row>
    <row r="79" spans="1:8" x14ac:dyDescent="0.2">
      <c r="A79" t="s">
        <v>303</v>
      </c>
      <c r="B79" t="s">
        <v>304</v>
      </c>
      <c r="C79" t="s">
        <v>305</v>
      </c>
      <c r="D79" t="s">
        <v>303</v>
      </c>
      <c r="E79" t="s">
        <v>75</v>
      </c>
      <c r="F79" t="s">
        <v>306</v>
      </c>
      <c r="G79">
        <v>1895</v>
      </c>
    </row>
    <row r="80" spans="1:8" x14ac:dyDescent="0.2">
      <c r="A80" t="s">
        <v>307</v>
      </c>
      <c r="B80" t="s">
        <v>308</v>
      </c>
      <c r="C80" t="s">
        <v>309</v>
      </c>
      <c r="D80" t="s">
        <v>303</v>
      </c>
      <c r="E80" t="s">
        <v>75</v>
      </c>
      <c r="F80" t="s">
        <v>306</v>
      </c>
      <c r="G80">
        <v>1901</v>
      </c>
    </row>
    <row r="81" spans="1:8" x14ac:dyDescent="0.2">
      <c r="A81" t="s">
        <v>310</v>
      </c>
      <c r="B81" t="s">
        <v>311</v>
      </c>
      <c r="C81" t="s">
        <v>312</v>
      </c>
      <c r="D81" t="s">
        <v>204</v>
      </c>
      <c r="E81" t="s">
        <v>63</v>
      </c>
      <c r="F81" t="s">
        <v>163</v>
      </c>
      <c r="G81">
        <v>2009</v>
      </c>
      <c r="H81">
        <v>2014</v>
      </c>
    </row>
    <row r="82" spans="1:8" x14ac:dyDescent="0.2">
      <c r="A82" t="s">
        <v>313</v>
      </c>
      <c r="B82" t="s">
        <v>314</v>
      </c>
      <c r="C82" t="s">
        <v>241</v>
      </c>
      <c r="D82" t="s">
        <v>258</v>
      </c>
      <c r="E82" t="s">
        <v>33</v>
      </c>
      <c r="F82" t="s">
        <v>34</v>
      </c>
      <c r="G82">
        <v>1890</v>
      </c>
    </row>
    <row r="83" spans="1:8" x14ac:dyDescent="0.2">
      <c r="A83" t="s">
        <v>315</v>
      </c>
      <c r="B83" t="s">
        <v>316</v>
      </c>
      <c r="C83" t="s">
        <v>317</v>
      </c>
      <c r="D83" t="s">
        <v>315</v>
      </c>
      <c r="E83" t="s">
        <v>45</v>
      </c>
      <c r="F83" t="s">
        <v>318</v>
      </c>
      <c r="G83">
        <v>1894</v>
      </c>
    </row>
    <row r="84" spans="1:8" x14ac:dyDescent="0.2">
      <c r="A84" t="s">
        <v>319</v>
      </c>
      <c r="B84" t="s">
        <v>320</v>
      </c>
      <c r="C84" t="s">
        <v>321</v>
      </c>
      <c r="D84" t="s">
        <v>315</v>
      </c>
      <c r="E84" t="s">
        <v>45</v>
      </c>
      <c r="F84" t="s">
        <v>318</v>
      </c>
      <c r="G84">
        <v>1893</v>
      </c>
    </row>
    <row r="85" spans="1:8" x14ac:dyDescent="0.2">
      <c r="A85" t="s">
        <v>322</v>
      </c>
      <c r="B85" t="s">
        <v>323</v>
      </c>
      <c r="C85" t="s">
        <v>324</v>
      </c>
      <c r="D85" t="s">
        <v>325</v>
      </c>
      <c r="E85" t="s">
        <v>176</v>
      </c>
      <c r="G85">
        <v>1881</v>
      </c>
    </row>
    <row r="86" spans="1:8" x14ac:dyDescent="0.2">
      <c r="A86" t="s">
        <v>326</v>
      </c>
      <c r="B86" t="s">
        <v>141</v>
      </c>
      <c r="C86" t="s">
        <v>326</v>
      </c>
      <c r="D86" t="s">
        <v>325</v>
      </c>
      <c r="E86" t="s">
        <v>87</v>
      </c>
      <c r="F86" t="s">
        <v>88</v>
      </c>
      <c r="G86">
        <v>1890</v>
      </c>
    </row>
    <row r="87" spans="1:8" x14ac:dyDescent="0.2">
      <c r="A87" t="s">
        <v>327</v>
      </c>
      <c r="B87" t="s">
        <v>328</v>
      </c>
      <c r="C87" t="s">
        <v>329</v>
      </c>
      <c r="D87" t="s">
        <v>69</v>
      </c>
      <c r="E87" t="s">
        <v>176</v>
      </c>
      <c r="F87" t="s">
        <v>180</v>
      </c>
      <c r="G87">
        <v>1887</v>
      </c>
    </row>
    <row r="88" spans="1:8" x14ac:dyDescent="0.2">
      <c r="A88" t="s">
        <v>330</v>
      </c>
      <c r="B88" t="s">
        <v>147</v>
      </c>
      <c r="C88" t="s">
        <v>171</v>
      </c>
      <c r="D88" t="s">
        <v>74</v>
      </c>
      <c r="E88" t="s">
        <v>63</v>
      </c>
      <c r="F88" t="s">
        <v>331</v>
      </c>
      <c r="G88">
        <v>1912</v>
      </c>
    </row>
    <row r="89" spans="1:8" x14ac:dyDescent="0.2">
      <c r="A89" t="s">
        <v>332</v>
      </c>
      <c r="B89" t="s">
        <v>333</v>
      </c>
      <c r="C89" t="s">
        <v>334</v>
      </c>
      <c r="D89" t="s">
        <v>335</v>
      </c>
      <c r="E89" t="s">
        <v>176</v>
      </c>
      <c r="F89" t="s">
        <v>336</v>
      </c>
      <c r="G89">
        <v>1869</v>
      </c>
    </row>
    <row r="90" spans="1:8" x14ac:dyDescent="0.2">
      <c r="A90" t="s">
        <v>337</v>
      </c>
      <c r="B90" t="s">
        <v>338</v>
      </c>
      <c r="C90" t="s">
        <v>339</v>
      </c>
      <c r="D90" t="s">
        <v>99</v>
      </c>
      <c r="E90" t="s">
        <v>23</v>
      </c>
      <c r="F90" t="s">
        <v>340</v>
      </c>
      <c r="G90">
        <v>1921</v>
      </c>
      <c r="H90">
        <v>1969</v>
      </c>
    </row>
    <row r="91" spans="1:8" x14ac:dyDescent="0.2">
      <c r="A91" t="s">
        <v>341</v>
      </c>
      <c r="B91" t="s">
        <v>246</v>
      </c>
      <c r="C91" t="s">
        <v>342</v>
      </c>
      <c r="D91" t="s">
        <v>99</v>
      </c>
      <c r="E91" t="s">
        <v>23</v>
      </c>
      <c r="F91" t="s">
        <v>343</v>
      </c>
      <c r="G91">
        <v>1892</v>
      </c>
    </row>
    <row r="92" spans="1:8" x14ac:dyDescent="0.2">
      <c r="A92" t="s">
        <v>344</v>
      </c>
      <c r="B92" t="s">
        <v>345</v>
      </c>
      <c r="C92" t="s">
        <v>324</v>
      </c>
      <c r="D92" t="s">
        <v>74</v>
      </c>
      <c r="E92" t="s">
        <v>113</v>
      </c>
      <c r="F92" t="s">
        <v>346</v>
      </c>
      <c r="G92">
        <v>1915</v>
      </c>
    </row>
    <row r="93" spans="1:8" x14ac:dyDescent="0.2">
      <c r="A93" t="s">
        <v>347</v>
      </c>
      <c r="B93" t="s">
        <v>348</v>
      </c>
      <c r="C93" t="s">
        <v>349</v>
      </c>
      <c r="D93" t="s">
        <v>30</v>
      </c>
      <c r="E93" t="s">
        <v>39</v>
      </c>
      <c r="G93">
        <v>2009</v>
      </c>
      <c r="H93">
        <v>2012</v>
      </c>
    </row>
    <row r="94" spans="1:8" x14ac:dyDescent="0.2">
      <c r="A94" t="s">
        <v>116</v>
      </c>
      <c r="B94" t="s">
        <v>350</v>
      </c>
      <c r="C94" t="s">
        <v>260</v>
      </c>
      <c r="D94" t="s">
        <v>116</v>
      </c>
      <c r="E94" t="s">
        <v>33</v>
      </c>
      <c r="F94" t="s">
        <v>351</v>
      </c>
      <c r="G94">
        <v>1892</v>
      </c>
    </row>
    <row r="95" spans="1:8" x14ac:dyDescent="0.2">
      <c r="A95" t="s">
        <v>352</v>
      </c>
      <c r="B95" t="s">
        <v>92</v>
      </c>
      <c r="C95" t="s">
        <v>353</v>
      </c>
      <c r="D95" t="s">
        <v>143</v>
      </c>
      <c r="E95" t="s">
        <v>113</v>
      </c>
      <c r="F95" t="s">
        <v>354</v>
      </c>
      <c r="G95">
        <v>1997</v>
      </c>
      <c r="H95">
        <v>2001</v>
      </c>
    </row>
    <row r="96" spans="1:8" x14ac:dyDescent="0.2">
      <c r="A96" t="s">
        <v>355</v>
      </c>
      <c r="B96" t="s">
        <v>356</v>
      </c>
      <c r="C96" t="s">
        <v>357</v>
      </c>
      <c r="D96" t="s">
        <v>258</v>
      </c>
      <c r="E96" t="s">
        <v>63</v>
      </c>
      <c r="F96" t="s">
        <v>358</v>
      </c>
      <c r="G96">
        <v>1912</v>
      </c>
    </row>
    <row r="97" spans="1:8" x14ac:dyDescent="0.2">
      <c r="A97" t="s">
        <v>359</v>
      </c>
      <c r="B97" t="s">
        <v>360</v>
      </c>
      <c r="C97" t="s">
        <v>359</v>
      </c>
      <c r="D97" t="s">
        <v>99</v>
      </c>
      <c r="E97" t="s">
        <v>45</v>
      </c>
      <c r="F97" t="s">
        <v>102</v>
      </c>
      <c r="G97">
        <v>1891</v>
      </c>
    </row>
    <row r="98" spans="1:8" x14ac:dyDescent="0.2">
      <c r="A98" t="s">
        <v>361</v>
      </c>
      <c r="B98" t="s">
        <v>362</v>
      </c>
      <c r="C98" t="s">
        <v>361</v>
      </c>
      <c r="D98" t="s">
        <v>61</v>
      </c>
      <c r="E98" t="s">
        <v>87</v>
      </c>
      <c r="F98" t="s">
        <v>88</v>
      </c>
      <c r="G98">
        <v>1889</v>
      </c>
    </row>
    <row r="99" spans="1:8" x14ac:dyDescent="0.2">
      <c r="A99" t="s">
        <v>363</v>
      </c>
      <c r="B99" t="s">
        <v>364</v>
      </c>
      <c r="C99" t="s">
        <v>365</v>
      </c>
      <c r="D99" t="s">
        <v>74</v>
      </c>
      <c r="E99" t="s">
        <v>75</v>
      </c>
      <c r="F99" t="s">
        <v>366</v>
      </c>
      <c r="G99">
        <v>1896</v>
      </c>
    </row>
    <row r="100" spans="1:8" x14ac:dyDescent="0.2">
      <c r="A100" t="s">
        <v>367</v>
      </c>
      <c r="B100" t="s">
        <v>147</v>
      </c>
      <c r="C100" t="s">
        <v>368</v>
      </c>
      <c r="D100" t="s">
        <v>325</v>
      </c>
      <c r="E100" t="s">
        <v>113</v>
      </c>
      <c r="F100" t="s">
        <v>369</v>
      </c>
      <c r="G100">
        <v>1894</v>
      </c>
    </row>
    <row r="101" spans="1:8" x14ac:dyDescent="0.2">
      <c r="A101" t="s">
        <v>232</v>
      </c>
      <c r="B101" t="s">
        <v>370</v>
      </c>
      <c r="C101" t="s">
        <v>371</v>
      </c>
      <c r="D101" t="s">
        <v>232</v>
      </c>
      <c r="E101" t="s">
        <v>33</v>
      </c>
      <c r="F101" t="s">
        <v>34</v>
      </c>
      <c r="G101">
        <v>1891</v>
      </c>
    </row>
    <row r="102" spans="1:8" x14ac:dyDescent="0.2">
      <c r="A102" t="s">
        <v>74</v>
      </c>
      <c r="B102" t="s">
        <v>372</v>
      </c>
      <c r="C102" t="s">
        <v>373</v>
      </c>
      <c r="D102" t="s">
        <v>74</v>
      </c>
      <c r="E102" t="s">
        <v>75</v>
      </c>
      <c r="F102" t="s">
        <v>374</v>
      </c>
      <c r="G102">
        <v>1893</v>
      </c>
    </row>
    <row r="103" spans="1:8" x14ac:dyDescent="0.2">
      <c r="A103" t="s">
        <v>375</v>
      </c>
      <c r="B103" t="s">
        <v>281</v>
      </c>
      <c r="C103" t="s">
        <v>376</v>
      </c>
      <c r="D103" t="s">
        <v>74</v>
      </c>
      <c r="E103" t="s">
        <v>33</v>
      </c>
      <c r="F103" t="s">
        <v>377</v>
      </c>
      <c r="G103">
        <v>1894</v>
      </c>
    </row>
    <row r="104" spans="1:8" x14ac:dyDescent="0.2">
      <c r="A104" t="s">
        <v>378</v>
      </c>
      <c r="B104" t="s">
        <v>299</v>
      </c>
      <c r="C104" t="s">
        <v>379</v>
      </c>
      <c r="D104" t="s">
        <v>74</v>
      </c>
      <c r="E104" t="s">
        <v>39</v>
      </c>
      <c r="F104" t="s">
        <v>380</v>
      </c>
      <c r="G104">
        <v>1904</v>
      </c>
      <c r="H104">
        <v>2012</v>
      </c>
    </row>
    <row r="105" spans="1:8" x14ac:dyDescent="0.2">
      <c r="A105" t="s">
        <v>381</v>
      </c>
      <c r="B105" t="s">
        <v>382</v>
      </c>
      <c r="C105" t="s">
        <v>383</v>
      </c>
      <c r="D105" t="s">
        <v>74</v>
      </c>
      <c r="E105" t="s">
        <v>75</v>
      </c>
      <c r="F105" t="s">
        <v>384</v>
      </c>
      <c r="G105">
        <v>1925</v>
      </c>
    </row>
    <row r="106" spans="1:8" x14ac:dyDescent="0.2">
      <c r="A106" t="s">
        <v>385</v>
      </c>
      <c r="B106" t="s">
        <v>386</v>
      </c>
      <c r="C106" t="s">
        <v>385</v>
      </c>
      <c r="D106" t="s">
        <v>27</v>
      </c>
      <c r="E106" t="s">
        <v>28</v>
      </c>
      <c r="F106" t="s">
        <v>387</v>
      </c>
      <c r="G106">
        <v>1917</v>
      </c>
    </row>
    <row r="107" spans="1:8" x14ac:dyDescent="0.2">
      <c r="A107" t="s">
        <v>388</v>
      </c>
      <c r="B107" t="s">
        <v>389</v>
      </c>
      <c r="C107" t="s">
        <v>388</v>
      </c>
      <c r="D107" t="s">
        <v>30</v>
      </c>
      <c r="E107" t="s">
        <v>39</v>
      </c>
      <c r="F107" t="s">
        <v>390</v>
      </c>
      <c r="G107">
        <v>1909</v>
      </c>
      <c r="H107">
        <v>2002</v>
      </c>
    </row>
    <row r="108" spans="1:8" x14ac:dyDescent="0.2">
      <c r="A108" t="s">
        <v>391</v>
      </c>
      <c r="B108" t="s">
        <v>392</v>
      </c>
      <c r="C108" t="s">
        <v>393</v>
      </c>
      <c r="D108" t="s">
        <v>206</v>
      </c>
      <c r="E108" t="s">
        <v>113</v>
      </c>
      <c r="F108" t="s">
        <v>394</v>
      </c>
      <c r="G108">
        <v>1893</v>
      </c>
    </row>
    <row r="109" spans="1:8" x14ac:dyDescent="0.2">
      <c r="A109" t="s">
        <v>395</v>
      </c>
      <c r="B109" t="s">
        <v>396</v>
      </c>
      <c r="C109" t="s">
        <v>395</v>
      </c>
      <c r="D109" t="s">
        <v>303</v>
      </c>
      <c r="E109" t="s">
        <v>113</v>
      </c>
      <c r="F109" t="s">
        <v>397</v>
      </c>
      <c r="G109">
        <v>1895</v>
      </c>
    </row>
    <row r="110" spans="1:8" x14ac:dyDescent="0.2">
      <c r="A110" t="s">
        <v>398</v>
      </c>
      <c r="B110" t="s">
        <v>399</v>
      </c>
      <c r="C110" t="s">
        <v>400</v>
      </c>
      <c r="D110" t="s">
        <v>30</v>
      </c>
      <c r="E110" t="s">
        <v>63</v>
      </c>
      <c r="G110">
        <v>1991</v>
      </c>
      <c r="H110">
        <v>1999</v>
      </c>
    </row>
    <row r="111" spans="1:8" x14ac:dyDescent="0.2">
      <c r="A111" t="s">
        <v>401</v>
      </c>
      <c r="B111" t="s">
        <v>402</v>
      </c>
      <c r="C111" t="s">
        <v>403</v>
      </c>
      <c r="D111" t="s">
        <v>143</v>
      </c>
      <c r="E111" t="s">
        <v>113</v>
      </c>
      <c r="F111" t="s">
        <v>404</v>
      </c>
      <c r="G111">
        <v>1979</v>
      </c>
      <c r="H111">
        <v>1996</v>
      </c>
    </row>
    <row r="112" spans="1:8" x14ac:dyDescent="0.2">
      <c r="A112" t="s">
        <v>405</v>
      </c>
      <c r="B112" t="s">
        <v>406</v>
      </c>
      <c r="C112" t="s">
        <v>407</v>
      </c>
      <c r="D112" t="s">
        <v>99</v>
      </c>
      <c r="E112" t="s">
        <v>45</v>
      </c>
      <c r="F112" t="s">
        <v>408</v>
      </c>
      <c r="G112">
        <v>1919</v>
      </c>
    </row>
    <row r="113" spans="1:8" x14ac:dyDescent="0.2">
      <c r="A113" t="s">
        <v>409</v>
      </c>
      <c r="B113" t="s">
        <v>291</v>
      </c>
      <c r="C113" t="s">
        <v>410</v>
      </c>
      <c r="D113" t="s">
        <v>411</v>
      </c>
      <c r="E113" t="s">
        <v>113</v>
      </c>
      <c r="F113" t="s">
        <v>412</v>
      </c>
      <c r="G113">
        <v>1896</v>
      </c>
      <c r="H113">
        <v>2000</v>
      </c>
    </row>
    <row r="114" spans="1:8" x14ac:dyDescent="0.2">
      <c r="A114" t="s">
        <v>413</v>
      </c>
      <c r="B114" t="s">
        <v>414</v>
      </c>
      <c r="C114" t="s">
        <v>415</v>
      </c>
      <c r="D114" t="s">
        <v>86</v>
      </c>
      <c r="E114" t="s">
        <v>62</v>
      </c>
      <c r="F114" t="s">
        <v>416</v>
      </c>
      <c r="G114">
        <v>1879</v>
      </c>
      <c r="H114">
        <v>2012</v>
      </c>
    </row>
    <row r="115" spans="1:8" x14ac:dyDescent="0.2">
      <c r="A115" t="s">
        <v>417</v>
      </c>
      <c r="B115" t="s">
        <v>314</v>
      </c>
      <c r="C115" t="s">
        <v>418</v>
      </c>
      <c r="D115" t="s">
        <v>273</v>
      </c>
      <c r="E115" t="s">
        <v>23</v>
      </c>
      <c r="F115" t="s">
        <v>419</v>
      </c>
      <c r="G115">
        <v>1968</v>
      </c>
      <c r="H115">
        <v>1978</v>
      </c>
    </row>
    <row r="116" spans="1:8" x14ac:dyDescent="0.2">
      <c r="A116" t="s">
        <v>420</v>
      </c>
      <c r="B116" t="s">
        <v>389</v>
      </c>
      <c r="C116" t="s">
        <v>407</v>
      </c>
      <c r="D116" t="s">
        <v>99</v>
      </c>
      <c r="E116" t="s">
        <v>45</v>
      </c>
      <c r="F116" t="s">
        <v>102</v>
      </c>
      <c r="G116">
        <v>1888</v>
      </c>
    </row>
    <row r="117" spans="1:8" x14ac:dyDescent="0.2">
      <c r="A117" t="s">
        <v>421</v>
      </c>
      <c r="B117" t="s">
        <v>422</v>
      </c>
      <c r="C117" t="s">
        <v>423</v>
      </c>
      <c r="D117" t="s">
        <v>74</v>
      </c>
      <c r="E117" t="s">
        <v>63</v>
      </c>
      <c r="F117" t="s">
        <v>46</v>
      </c>
      <c r="G117">
        <v>1914</v>
      </c>
    </row>
    <row r="118" spans="1:8" x14ac:dyDescent="0.2">
      <c r="A118" t="s">
        <v>424</v>
      </c>
      <c r="B118" t="s">
        <v>425</v>
      </c>
      <c r="C118" t="s">
        <v>426</v>
      </c>
      <c r="D118" t="s">
        <v>74</v>
      </c>
      <c r="E118" t="s">
        <v>63</v>
      </c>
      <c r="F118" t="s">
        <v>24</v>
      </c>
      <c r="G118">
        <v>2011</v>
      </c>
      <c r="H118">
        <v>2012</v>
      </c>
    </row>
    <row r="119" spans="1:8" x14ac:dyDescent="0.2">
      <c r="A119" t="s">
        <v>97</v>
      </c>
      <c r="B119" t="s">
        <v>427</v>
      </c>
      <c r="C119" t="s">
        <v>428</v>
      </c>
      <c r="D119" t="s">
        <v>97</v>
      </c>
      <c r="E119" t="s">
        <v>45</v>
      </c>
      <c r="F119" t="s">
        <v>429</v>
      </c>
      <c r="G119">
        <v>1892</v>
      </c>
    </row>
    <row r="120" spans="1:8" x14ac:dyDescent="0.2">
      <c r="A120" t="s">
        <v>430</v>
      </c>
      <c r="B120" t="s">
        <v>281</v>
      </c>
      <c r="C120" t="s">
        <v>431</v>
      </c>
      <c r="D120" t="s">
        <v>97</v>
      </c>
      <c r="E120" t="s">
        <v>23</v>
      </c>
      <c r="F120" t="s">
        <v>432</v>
      </c>
      <c r="G120">
        <v>1892</v>
      </c>
    </row>
    <row r="121" spans="1:8" x14ac:dyDescent="0.2">
      <c r="A121" t="s">
        <v>433</v>
      </c>
      <c r="B121" t="s">
        <v>434</v>
      </c>
      <c r="C121" t="s">
        <v>435</v>
      </c>
      <c r="D121" t="s">
        <v>232</v>
      </c>
      <c r="E121" t="s">
        <v>33</v>
      </c>
      <c r="F121" t="s">
        <v>34</v>
      </c>
      <c r="G121">
        <v>1890</v>
      </c>
    </row>
    <row r="122" spans="1:8" x14ac:dyDescent="0.2">
      <c r="A122" t="s">
        <v>204</v>
      </c>
      <c r="B122" t="s">
        <v>436</v>
      </c>
      <c r="C122" t="s">
        <v>437</v>
      </c>
      <c r="D122" t="s">
        <v>204</v>
      </c>
      <c r="E122" t="s">
        <v>87</v>
      </c>
      <c r="F122" t="s">
        <v>438</v>
      </c>
      <c r="G122">
        <v>1888</v>
      </c>
    </row>
    <row r="123" spans="1:8" x14ac:dyDescent="0.2">
      <c r="A123" t="s">
        <v>439</v>
      </c>
      <c r="B123" t="s">
        <v>440</v>
      </c>
      <c r="C123" t="s">
        <v>441</v>
      </c>
      <c r="D123" t="s">
        <v>204</v>
      </c>
      <c r="E123" t="s">
        <v>87</v>
      </c>
      <c r="F123" t="s">
        <v>442</v>
      </c>
      <c r="G123">
        <v>1892</v>
      </c>
    </row>
    <row r="124" spans="1:8" x14ac:dyDescent="0.2">
      <c r="A124" t="s">
        <v>443</v>
      </c>
      <c r="B124" t="s">
        <v>444</v>
      </c>
      <c r="C124" t="s">
        <v>445</v>
      </c>
      <c r="D124" t="s">
        <v>38</v>
      </c>
      <c r="E124" t="s">
        <v>87</v>
      </c>
      <c r="F124" t="s">
        <v>446</v>
      </c>
      <c r="G124">
        <v>1888</v>
      </c>
    </row>
    <row r="125" spans="1:8" x14ac:dyDescent="0.2">
      <c r="A125" t="s">
        <v>447</v>
      </c>
      <c r="B125" t="s">
        <v>291</v>
      </c>
      <c r="C125" t="s">
        <v>448</v>
      </c>
      <c r="D125" t="s">
        <v>447</v>
      </c>
      <c r="E125" t="s">
        <v>45</v>
      </c>
      <c r="F125" t="s">
        <v>102</v>
      </c>
      <c r="G125">
        <v>1889</v>
      </c>
    </row>
    <row r="126" spans="1:8" x14ac:dyDescent="0.2">
      <c r="A126" t="s">
        <v>449</v>
      </c>
      <c r="B126" t="s">
        <v>95</v>
      </c>
      <c r="C126" t="s">
        <v>450</v>
      </c>
      <c r="D126" t="s">
        <v>447</v>
      </c>
      <c r="E126" t="s">
        <v>45</v>
      </c>
      <c r="F126" t="s">
        <v>318</v>
      </c>
      <c r="G126">
        <v>1893</v>
      </c>
    </row>
    <row r="127" spans="1:8" x14ac:dyDescent="0.2">
      <c r="A127" t="s">
        <v>224</v>
      </c>
      <c r="B127" t="s">
        <v>36</v>
      </c>
      <c r="C127" t="s">
        <v>451</v>
      </c>
      <c r="D127" t="s">
        <v>224</v>
      </c>
      <c r="E127" t="s">
        <v>75</v>
      </c>
      <c r="F127" t="s">
        <v>452</v>
      </c>
      <c r="G127">
        <v>1891</v>
      </c>
    </row>
    <row r="128" spans="1:8" x14ac:dyDescent="0.2">
      <c r="A128" t="s">
        <v>453</v>
      </c>
      <c r="B128" t="s">
        <v>454</v>
      </c>
      <c r="C128" t="s">
        <v>89</v>
      </c>
      <c r="D128" t="s">
        <v>199</v>
      </c>
      <c r="E128" t="s">
        <v>63</v>
      </c>
      <c r="F128" t="s">
        <v>455</v>
      </c>
      <c r="G128">
        <v>1913</v>
      </c>
      <c r="H128">
        <v>2009</v>
      </c>
    </row>
    <row r="129" spans="1:7" x14ac:dyDescent="0.2">
      <c r="A129" t="s">
        <v>456</v>
      </c>
      <c r="B129" t="s">
        <v>78</v>
      </c>
      <c r="C129" t="s">
        <v>457</v>
      </c>
      <c r="D129" t="s">
        <v>106</v>
      </c>
      <c r="E129" t="s">
        <v>28</v>
      </c>
      <c r="F129" t="s">
        <v>458</v>
      </c>
      <c r="G129">
        <v>1905</v>
      </c>
    </row>
    <row r="130" spans="1:7" x14ac:dyDescent="0.2">
      <c r="A130" t="s">
        <v>459</v>
      </c>
      <c r="B130" t="s">
        <v>460</v>
      </c>
      <c r="C130" t="s">
        <v>461</v>
      </c>
      <c r="D130" t="s">
        <v>459</v>
      </c>
      <c r="E130" t="s">
        <v>176</v>
      </c>
      <c r="G130">
        <v>1889</v>
      </c>
    </row>
    <row r="131" spans="1:7" x14ac:dyDescent="0.2">
      <c r="A131" t="s">
        <v>462</v>
      </c>
      <c r="B131" t="s">
        <v>308</v>
      </c>
      <c r="C131" t="s">
        <v>463</v>
      </c>
      <c r="D131" t="s">
        <v>462</v>
      </c>
      <c r="E131" t="s">
        <v>23</v>
      </c>
      <c r="F131" t="s">
        <v>464</v>
      </c>
      <c r="G131">
        <v>1893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B6131-8CE7-8B44-8DA1-3B740BC505A7}">
  <dimension ref="A1:K131"/>
  <sheetViews>
    <sheetView workbookViewId="0">
      <selection activeCell="A2" sqref="A2:A131"/>
    </sheetView>
  </sheetViews>
  <sheetFormatPr baseColWidth="10" defaultRowHeight="16" x14ac:dyDescent="0.2"/>
  <cols>
    <col min="1" max="1" width="17.6640625" bestFit="1" customWidth="1"/>
    <col min="2" max="2" width="9.5" bestFit="1" customWidth="1"/>
    <col min="3" max="3" width="11.33203125" bestFit="1" customWidth="1"/>
    <col min="4" max="4" width="7.6640625" customWidth="1"/>
  </cols>
  <sheetData>
    <row r="1" spans="1:11" x14ac:dyDescent="0.2">
      <c r="A1" s="1" t="s">
        <v>1</v>
      </c>
      <c r="B1" s="1" t="s">
        <v>10</v>
      </c>
      <c r="C1" s="1" t="s">
        <v>2</v>
      </c>
      <c r="D1" s="1" t="s">
        <v>3</v>
      </c>
      <c r="E1" s="1" t="s">
        <v>4</v>
      </c>
      <c r="F1" s="1" t="s">
        <v>5</v>
      </c>
      <c r="G1" s="1" t="s">
        <v>6</v>
      </c>
      <c r="H1" s="1" t="s">
        <v>11</v>
      </c>
      <c r="I1" s="1" t="s">
        <v>7</v>
      </c>
      <c r="J1" s="1" t="s">
        <v>8</v>
      </c>
      <c r="K1" s="1" t="s">
        <v>9</v>
      </c>
    </row>
    <row r="2" spans="1:11" x14ac:dyDescent="0.2">
      <c r="A2" t="s">
        <v>19</v>
      </c>
      <c r="B2" s="2"/>
      <c r="C2" s="2"/>
      <c r="D2" s="2"/>
    </row>
    <row r="3" spans="1:11" x14ac:dyDescent="0.2">
      <c r="A3" t="s">
        <v>25</v>
      </c>
    </row>
    <row r="4" spans="1:11" x14ac:dyDescent="0.2">
      <c r="A4" t="s">
        <v>30</v>
      </c>
    </row>
    <row r="5" spans="1:11" x14ac:dyDescent="0.2">
      <c r="A5" t="s">
        <v>35</v>
      </c>
    </row>
    <row r="6" spans="1:11" x14ac:dyDescent="0.2">
      <c r="A6" t="s">
        <v>42</v>
      </c>
    </row>
    <row r="7" spans="1:11" x14ac:dyDescent="0.2">
      <c r="A7" t="s">
        <v>47</v>
      </c>
    </row>
    <row r="8" spans="1:11" x14ac:dyDescent="0.2">
      <c r="A8" t="s">
        <v>50</v>
      </c>
    </row>
    <row r="9" spans="1:11" x14ac:dyDescent="0.2">
      <c r="A9" t="s">
        <v>54</v>
      </c>
    </row>
    <row r="10" spans="1:11" x14ac:dyDescent="0.2">
      <c r="A10" t="s">
        <v>58</v>
      </c>
    </row>
    <row r="11" spans="1:11" x14ac:dyDescent="0.2">
      <c r="A11" t="s">
        <v>64</v>
      </c>
    </row>
    <row r="12" spans="1:11" x14ac:dyDescent="0.2">
      <c r="A12" t="s">
        <v>66</v>
      </c>
    </row>
    <row r="13" spans="1:11" x14ac:dyDescent="0.2">
      <c r="A13" t="s">
        <v>71</v>
      </c>
    </row>
    <row r="14" spans="1:11" x14ac:dyDescent="0.2">
      <c r="A14" t="s">
        <v>77</v>
      </c>
    </row>
    <row r="15" spans="1:11" x14ac:dyDescent="0.2">
      <c r="A15" t="s">
        <v>83</v>
      </c>
    </row>
    <row r="16" spans="1:11" x14ac:dyDescent="0.2">
      <c r="A16" t="s">
        <v>89</v>
      </c>
    </row>
    <row r="17" spans="1:1" x14ac:dyDescent="0.2">
      <c r="A17" t="s">
        <v>91</v>
      </c>
    </row>
    <row r="18" spans="1:1" x14ac:dyDescent="0.2">
      <c r="A18" t="s">
        <v>94</v>
      </c>
    </row>
    <row r="19" spans="1:1" x14ac:dyDescent="0.2">
      <c r="A19" t="s">
        <v>99</v>
      </c>
    </row>
    <row r="20" spans="1:1" x14ac:dyDescent="0.2">
      <c r="A20" t="s">
        <v>103</v>
      </c>
    </row>
    <row r="21" spans="1:1" x14ac:dyDescent="0.2">
      <c r="A21" t="s">
        <v>108</v>
      </c>
    </row>
    <row r="22" spans="1:1" x14ac:dyDescent="0.2">
      <c r="A22" t="s">
        <v>111</v>
      </c>
    </row>
    <row r="23" spans="1:1" x14ac:dyDescent="0.2">
      <c r="A23" t="s">
        <v>115</v>
      </c>
    </row>
    <row r="24" spans="1:1" x14ac:dyDescent="0.2">
      <c r="A24" t="s">
        <v>118</v>
      </c>
    </row>
    <row r="25" spans="1:1" x14ac:dyDescent="0.2">
      <c r="A25" t="s">
        <v>22</v>
      </c>
    </row>
    <row r="26" spans="1:1" x14ac:dyDescent="0.2">
      <c r="A26" t="s">
        <v>125</v>
      </c>
    </row>
    <row r="27" spans="1:1" x14ac:dyDescent="0.2">
      <c r="A27" t="s">
        <v>129</v>
      </c>
    </row>
    <row r="28" spans="1:1" x14ac:dyDescent="0.2">
      <c r="A28" t="s">
        <v>133</v>
      </c>
    </row>
    <row r="29" spans="1:1" x14ac:dyDescent="0.2">
      <c r="A29" t="s">
        <v>137</v>
      </c>
    </row>
    <row r="30" spans="1:1" x14ac:dyDescent="0.2">
      <c r="A30" t="s">
        <v>140</v>
      </c>
    </row>
    <row r="31" spans="1:1" x14ac:dyDescent="0.2">
      <c r="A31" t="s">
        <v>143</v>
      </c>
    </row>
    <row r="32" spans="1:1" x14ac:dyDescent="0.2">
      <c r="A32" t="s">
        <v>146</v>
      </c>
    </row>
    <row r="33" spans="1:1" x14ac:dyDescent="0.2">
      <c r="A33" t="s">
        <v>149</v>
      </c>
    </row>
    <row r="34" spans="1:1" x14ac:dyDescent="0.2">
      <c r="A34" t="s">
        <v>153</v>
      </c>
    </row>
    <row r="35" spans="1:1" x14ac:dyDescent="0.2">
      <c r="A35" t="s">
        <v>157</v>
      </c>
    </row>
    <row r="36" spans="1:1" x14ac:dyDescent="0.2">
      <c r="A36" t="s">
        <v>159</v>
      </c>
    </row>
    <row r="37" spans="1:1" x14ac:dyDescent="0.2">
      <c r="A37" t="s">
        <v>161</v>
      </c>
    </row>
    <row r="38" spans="1:1" x14ac:dyDescent="0.2">
      <c r="A38" t="s">
        <v>164</v>
      </c>
    </row>
    <row r="39" spans="1:1" x14ac:dyDescent="0.2">
      <c r="A39" t="s">
        <v>167</v>
      </c>
    </row>
    <row r="40" spans="1:1" x14ac:dyDescent="0.2">
      <c r="A40" t="s">
        <v>171</v>
      </c>
    </row>
    <row r="41" spans="1:1" x14ac:dyDescent="0.2">
      <c r="A41" t="s">
        <v>173</v>
      </c>
    </row>
    <row r="42" spans="1:1" x14ac:dyDescent="0.2">
      <c r="A42" t="s">
        <v>69</v>
      </c>
    </row>
    <row r="43" spans="1:1" x14ac:dyDescent="0.2">
      <c r="A43" t="s">
        <v>181</v>
      </c>
    </row>
    <row r="44" spans="1:1" x14ac:dyDescent="0.2">
      <c r="A44" t="s">
        <v>185</v>
      </c>
    </row>
    <row r="45" spans="1:1" x14ac:dyDescent="0.2">
      <c r="A45" t="s">
        <v>189</v>
      </c>
    </row>
    <row r="46" spans="1:1" x14ac:dyDescent="0.2">
      <c r="A46" t="s">
        <v>193</v>
      </c>
    </row>
    <row r="47" spans="1:1" x14ac:dyDescent="0.2">
      <c r="A47" t="s">
        <v>195</v>
      </c>
    </row>
    <row r="48" spans="1:1" x14ac:dyDescent="0.2">
      <c r="A48" t="s">
        <v>199</v>
      </c>
    </row>
    <row r="49" spans="1:1" x14ac:dyDescent="0.2">
      <c r="A49" t="s">
        <v>201</v>
      </c>
    </row>
    <row r="50" spans="1:1" x14ac:dyDescent="0.2">
      <c r="A50" t="s">
        <v>206</v>
      </c>
    </row>
    <row r="51" spans="1:1" x14ac:dyDescent="0.2">
      <c r="A51" t="s">
        <v>210</v>
      </c>
    </row>
    <row r="52" spans="1:1" x14ac:dyDescent="0.2">
      <c r="A52" t="s">
        <v>214</v>
      </c>
    </row>
    <row r="53" spans="1:1" x14ac:dyDescent="0.2">
      <c r="A53" t="s">
        <v>217</v>
      </c>
    </row>
    <row r="54" spans="1:1" x14ac:dyDescent="0.2">
      <c r="A54" t="s">
        <v>219</v>
      </c>
    </row>
    <row r="55" spans="1:1" x14ac:dyDescent="0.2">
      <c r="A55" t="s">
        <v>221</v>
      </c>
    </row>
    <row r="56" spans="1:1" x14ac:dyDescent="0.2">
      <c r="A56" t="s">
        <v>227</v>
      </c>
    </row>
    <row r="57" spans="1:1" x14ac:dyDescent="0.2">
      <c r="A57" t="s">
        <v>231</v>
      </c>
    </row>
    <row r="58" spans="1:1" x14ac:dyDescent="0.2">
      <c r="A58" t="s">
        <v>234</v>
      </c>
    </row>
    <row r="59" spans="1:1" x14ac:dyDescent="0.2">
      <c r="A59" t="s">
        <v>239</v>
      </c>
    </row>
    <row r="60" spans="1:1" x14ac:dyDescent="0.2">
      <c r="A60" t="s">
        <v>106</v>
      </c>
    </row>
    <row r="61" spans="1:1" x14ac:dyDescent="0.2">
      <c r="A61" t="s">
        <v>245</v>
      </c>
    </row>
    <row r="62" spans="1:1" x14ac:dyDescent="0.2">
      <c r="A62" t="s">
        <v>249</v>
      </c>
    </row>
    <row r="63" spans="1:1" x14ac:dyDescent="0.2">
      <c r="A63" t="s">
        <v>253</v>
      </c>
    </row>
    <row r="64" spans="1:1" x14ac:dyDescent="0.2">
      <c r="A64" t="s">
        <v>256</v>
      </c>
    </row>
    <row r="65" spans="1:1" x14ac:dyDescent="0.2">
      <c r="A65" t="s">
        <v>259</v>
      </c>
    </row>
    <row r="66" spans="1:1" x14ac:dyDescent="0.2">
      <c r="A66" t="s">
        <v>262</v>
      </c>
    </row>
    <row r="67" spans="1:1" x14ac:dyDescent="0.2">
      <c r="A67" t="s">
        <v>265</v>
      </c>
    </row>
    <row r="68" spans="1:1" x14ac:dyDescent="0.2">
      <c r="A68" t="s">
        <v>269</v>
      </c>
    </row>
    <row r="69" spans="1:1" x14ac:dyDescent="0.2">
      <c r="A69" t="s">
        <v>273</v>
      </c>
    </row>
    <row r="70" spans="1:1" x14ac:dyDescent="0.2">
      <c r="A70" t="s">
        <v>277</v>
      </c>
    </row>
    <row r="71" spans="1:1" x14ac:dyDescent="0.2">
      <c r="A71" t="s">
        <v>280</v>
      </c>
    </row>
    <row r="72" spans="1:1" x14ac:dyDescent="0.2">
      <c r="A72" t="s">
        <v>38</v>
      </c>
    </row>
    <row r="73" spans="1:1" x14ac:dyDescent="0.2">
      <c r="A73" t="s">
        <v>286</v>
      </c>
    </row>
    <row r="74" spans="1:1" x14ac:dyDescent="0.2">
      <c r="A74" t="s">
        <v>290</v>
      </c>
    </row>
    <row r="75" spans="1:1" x14ac:dyDescent="0.2">
      <c r="A75" t="s">
        <v>294</v>
      </c>
    </row>
    <row r="76" spans="1:1" x14ac:dyDescent="0.2">
      <c r="A76" t="s">
        <v>296</v>
      </c>
    </row>
    <row r="77" spans="1:1" x14ac:dyDescent="0.2">
      <c r="A77" t="s">
        <v>27</v>
      </c>
    </row>
    <row r="78" spans="1:1" x14ac:dyDescent="0.2">
      <c r="A78" t="s">
        <v>300</v>
      </c>
    </row>
    <row r="79" spans="1:1" x14ac:dyDescent="0.2">
      <c r="A79" t="s">
        <v>303</v>
      </c>
    </row>
    <row r="80" spans="1:1" x14ac:dyDescent="0.2">
      <c r="A80" t="s">
        <v>307</v>
      </c>
    </row>
    <row r="81" spans="1:1" x14ac:dyDescent="0.2">
      <c r="A81" t="s">
        <v>310</v>
      </c>
    </row>
    <row r="82" spans="1:1" x14ac:dyDescent="0.2">
      <c r="A82" t="s">
        <v>313</v>
      </c>
    </row>
    <row r="83" spans="1:1" x14ac:dyDescent="0.2">
      <c r="A83" t="s">
        <v>315</v>
      </c>
    </row>
    <row r="84" spans="1:1" x14ac:dyDescent="0.2">
      <c r="A84" t="s">
        <v>319</v>
      </c>
    </row>
    <row r="85" spans="1:1" x14ac:dyDescent="0.2">
      <c r="A85" t="s">
        <v>322</v>
      </c>
    </row>
    <row r="86" spans="1:1" x14ac:dyDescent="0.2">
      <c r="A86" t="s">
        <v>326</v>
      </c>
    </row>
    <row r="87" spans="1:1" x14ac:dyDescent="0.2">
      <c r="A87" t="s">
        <v>327</v>
      </c>
    </row>
    <row r="88" spans="1:1" x14ac:dyDescent="0.2">
      <c r="A88" t="s">
        <v>330</v>
      </c>
    </row>
    <row r="89" spans="1:1" x14ac:dyDescent="0.2">
      <c r="A89" t="s">
        <v>332</v>
      </c>
    </row>
    <row r="90" spans="1:1" x14ac:dyDescent="0.2">
      <c r="A90" t="s">
        <v>337</v>
      </c>
    </row>
    <row r="91" spans="1:1" x14ac:dyDescent="0.2">
      <c r="A91" t="s">
        <v>341</v>
      </c>
    </row>
    <row r="92" spans="1:1" x14ac:dyDescent="0.2">
      <c r="A92" t="s">
        <v>344</v>
      </c>
    </row>
    <row r="93" spans="1:1" x14ac:dyDescent="0.2">
      <c r="A93" t="s">
        <v>347</v>
      </c>
    </row>
    <row r="94" spans="1:1" x14ac:dyDescent="0.2">
      <c r="A94" t="s">
        <v>116</v>
      </c>
    </row>
    <row r="95" spans="1:1" x14ac:dyDescent="0.2">
      <c r="A95" t="s">
        <v>352</v>
      </c>
    </row>
    <row r="96" spans="1:1" x14ac:dyDescent="0.2">
      <c r="A96" t="s">
        <v>355</v>
      </c>
    </row>
    <row r="97" spans="1:1" x14ac:dyDescent="0.2">
      <c r="A97" t="s">
        <v>359</v>
      </c>
    </row>
    <row r="98" spans="1:1" x14ac:dyDescent="0.2">
      <c r="A98" t="s">
        <v>361</v>
      </c>
    </row>
    <row r="99" spans="1:1" x14ac:dyDescent="0.2">
      <c r="A99" t="s">
        <v>363</v>
      </c>
    </row>
    <row r="100" spans="1:1" x14ac:dyDescent="0.2">
      <c r="A100" t="s">
        <v>367</v>
      </c>
    </row>
    <row r="101" spans="1:1" x14ac:dyDescent="0.2">
      <c r="A101" t="s">
        <v>232</v>
      </c>
    </row>
    <row r="102" spans="1:1" x14ac:dyDescent="0.2">
      <c r="A102" t="s">
        <v>74</v>
      </c>
    </row>
    <row r="103" spans="1:1" x14ac:dyDescent="0.2">
      <c r="A103" t="s">
        <v>375</v>
      </c>
    </row>
    <row r="104" spans="1:1" x14ac:dyDescent="0.2">
      <c r="A104" t="s">
        <v>378</v>
      </c>
    </row>
    <row r="105" spans="1:1" x14ac:dyDescent="0.2">
      <c r="A105" t="s">
        <v>381</v>
      </c>
    </row>
    <row r="106" spans="1:1" x14ac:dyDescent="0.2">
      <c r="A106" t="s">
        <v>385</v>
      </c>
    </row>
    <row r="107" spans="1:1" x14ac:dyDescent="0.2">
      <c r="A107" t="s">
        <v>388</v>
      </c>
    </row>
    <row r="108" spans="1:1" x14ac:dyDescent="0.2">
      <c r="A108" t="s">
        <v>391</v>
      </c>
    </row>
    <row r="109" spans="1:1" x14ac:dyDescent="0.2">
      <c r="A109" t="s">
        <v>395</v>
      </c>
    </row>
    <row r="110" spans="1:1" x14ac:dyDescent="0.2">
      <c r="A110" t="s">
        <v>398</v>
      </c>
    </row>
    <row r="111" spans="1:1" x14ac:dyDescent="0.2">
      <c r="A111" t="s">
        <v>401</v>
      </c>
    </row>
    <row r="112" spans="1:1" x14ac:dyDescent="0.2">
      <c r="A112" t="s">
        <v>405</v>
      </c>
    </row>
    <row r="113" spans="1:1" x14ac:dyDescent="0.2">
      <c r="A113" t="s">
        <v>409</v>
      </c>
    </row>
    <row r="114" spans="1:1" x14ac:dyDescent="0.2">
      <c r="A114" t="s">
        <v>413</v>
      </c>
    </row>
    <row r="115" spans="1:1" x14ac:dyDescent="0.2">
      <c r="A115" t="s">
        <v>417</v>
      </c>
    </row>
    <row r="116" spans="1:1" x14ac:dyDescent="0.2">
      <c r="A116" t="s">
        <v>420</v>
      </c>
    </row>
    <row r="117" spans="1:1" x14ac:dyDescent="0.2">
      <c r="A117" t="s">
        <v>421</v>
      </c>
    </row>
    <row r="118" spans="1:1" x14ac:dyDescent="0.2">
      <c r="A118" t="s">
        <v>424</v>
      </c>
    </row>
    <row r="119" spans="1:1" x14ac:dyDescent="0.2">
      <c r="A119" t="s">
        <v>97</v>
      </c>
    </row>
    <row r="120" spans="1:1" x14ac:dyDescent="0.2">
      <c r="A120" t="s">
        <v>430</v>
      </c>
    </row>
    <row r="121" spans="1:1" x14ac:dyDescent="0.2">
      <c r="A121" t="s">
        <v>433</v>
      </c>
    </row>
    <row r="122" spans="1:1" x14ac:dyDescent="0.2">
      <c r="A122" t="s">
        <v>204</v>
      </c>
    </row>
    <row r="123" spans="1:1" x14ac:dyDescent="0.2">
      <c r="A123" t="s">
        <v>439</v>
      </c>
    </row>
    <row r="124" spans="1:1" x14ac:dyDescent="0.2">
      <c r="A124" t="s">
        <v>443</v>
      </c>
    </row>
    <row r="125" spans="1:1" x14ac:dyDescent="0.2">
      <c r="A125" t="s">
        <v>447</v>
      </c>
    </row>
    <row r="126" spans="1:1" x14ac:dyDescent="0.2">
      <c r="A126" t="s">
        <v>449</v>
      </c>
    </row>
    <row r="127" spans="1:1" x14ac:dyDescent="0.2">
      <c r="A127" t="s">
        <v>224</v>
      </c>
    </row>
    <row r="128" spans="1:1" x14ac:dyDescent="0.2">
      <c r="A128" t="s">
        <v>453</v>
      </c>
    </row>
    <row r="129" spans="1:1" x14ac:dyDescent="0.2">
      <c r="A129" t="s">
        <v>456</v>
      </c>
    </row>
    <row r="130" spans="1:1" x14ac:dyDescent="0.2">
      <c r="A130" t="s">
        <v>459</v>
      </c>
    </row>
    <row r="131" spans="1:1" x14ac:dyDescent="0.2">
      <c r="A131" t="s">
        <v>462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BRI</vt:lpstr>
      <vt:lpstr>PlaysPerGame</vt:lpstr>
      <vt:lpstr>FPI</vt:lpstr>
      <vt:lpstr>Eff</vt:lpstr>
      <vt:lpstr>FEI</vt:lpstr>
      <vt:lpstr>Billingsley 130</vt:lpstr>
      <vt:lpstr>TeamInfo</vt:lpstr>
      <vt:lpstr>BCS</vt:lpstr>
      <vt:lpstr>'Billingsley 130'!Billingsley</vt:lpstr>
      <vt:lpstr>PlaysPerGame!DefPlaysPerGame</vt:lpstr>
      <vt:lpstr>Eff!efficiencies</vt:lpstr>
      <vt:lpstr>FPI!ESPN</vt:lpstr>
      <vt:lpstr>FEI!fei</vt:lpstr>
      <vt:lpstr>PlaysPerGame!FGAPerGame</vt:lpstr>
      <vt:lpstr>PlaysPerGame!oppFGAPerGame</vt:lpstr>
      <vt:lpstr>PlaysPerGame!oppPuntAttPerGame</vt:lpstr>
      <vt:lpstr>PlaysPerGame!playsPerGame</vt:lpstr>
      <vt:lpstr>PlaysPerGame!puntAttPerGame</vt:lpstr>
      <vt:lpstr>TeamInfo!table_1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Daniel Brant</dc:creator>
  <cp:lastModifiedBy>Christopher Daniel Brant</cp:lastModifiedBy>
  <dcterms:created xsi:type="dcterms:W3CDTF">2019-10-08T17:12:29Z</dcterms:created>
  <dcterms:modified xsi:type="dcterms:W3CDTF">2019-10-09T18:45:55Z</dcterms:modified>
</cp:coreProperties>
</file>