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3.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omments5.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U:\Departments\Engineering\Users\Justin Williams\Spreadsheets\"/>
    </mc:Choice>
  </mc:AlternateContent>
  <xr:revisionPtr revIDLastSave="0" documentId="8_{43448E9A-978C-42F2-ABAF-71F98D891CB0}" xr6:coauthVersionLast="47" xr6:coauthVersionMax="47" xr10:uidLastSave="{00000000-0000-0000-0000-000000000000}"/>
  <bookViews>
    <workbookView xWindow="-28920" yWindow="-120" windowWidth="29040" windowHeight="15720" xr2:uid="{D4A16C7E-25A1-472C-8C78-33A056B33D33}"/>
  </bookViews>
  <sheets>
    <sheet name="Introduction" sheetId="13" r:id="rId1"/>
    <sheet name="0-Test Duty Cycle to Lead Time" sheetId="8" r:id="rId2"/>
    <sheet name="1-Simple Reliability Confidence" sheetId="5" r:id="rId3"/>
    <sheet name="2-Parametric Binomial Reliablty" sheetId="7" r:id="rId4"/>
    <sheet name="3-Test Time Table" sheetId="15" r:id="rId5"/>
    <sheet name="4-PDF" sheetId="10" r:id="rId6"/>
    <sheet name="5-Mean Time Between Failure" sheetId="3"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8" i="13" l="1" a="1"/>
  <c r="A38" i="13" s="1"/>
  <c r="BD4" i="15"/>
  <c r="S17" i="15"/>
  <c r="T17" i="15"/>
  <c r="U17" i="15"/>
  <c r="V17" i="15"/>
  <c r="W17" i="15"/>
  <c r="X17" i="15"/>
  <c r="Y17" i="15"/>
  <c r="Z17" i="15"/>
  <c r="AA17" i="15"/>
  <c r="AB17" i="15"/>
  <c r="R17" i="15"/>
  <c r="BD5" i="15" l="1"/>
  <c r="BD6" i="15" s="1"/>
  <c r="AV2" i="15"/>
  <c r="A49" i="13" a="1"/>
  <c r="A49" i="13" s="1"/>
  <c r="A45" i="13" a="1"/>
  <c r="A45" i="13" s="1"/>
  <c r="A31" i="13" a="1"/>
  <c r="A31" i="13" s="1"/>
  <c r="F49" i="5"/>
  <c r="F47" i="5"/>
  <c r="F17" i="5"/>
  <c r="F29" i="5"/>
  <c r="A27" i="13" a="1"/>
  <c r="A27" i="13" s="1"/>
  <c r="E4" i="5"/>
  <c r="C9" i="8"/>
  <c r="A19" i="13" a="1"/>
  <c r="A19" i="13" s="1"/>
  <c r="AX2" i="15" l="1" a="1"/>
  <c r="AX2" i="15" s="1"/>
  <c r="AY2" i="15" s="1"/>
  <c r="BD7" i="15" s="1"/>
  <c r="B8" i="15" s="1"/>
  <c r="AW2" i="15" a="1"/>
  <c r="AW2" i="15" s="1"/>
  <c r="H3" i="3"/>
  <c r="C20" i="10" l="1"/>
  <c r="C28" i="10"/>
  <c r="E9" i="10"/>
  <c r="D10" i="10"/>
  <c r="D11" i="10" s="1"/>
  <c r="E26" i="5"/>
  <c r="C8" i="8"/>
  <c r="C7" i="8"/>
  <c r="C6" i="8"/>
  <c r="C10" i="8" s="1"/>
  <c r="D29" i="10" l="1"/>
  <c r="E29" i="10"/>
  <c r="C41" i="10"/>
  <c r="D28" i="10"/>
  <c r="E28" i="10"/>
  <c r="D27" i="10"/>
  <c r="F69" i="10"/>
  <c r="D77" i="10"/>
  <c r="F68" i="10"/>
  <c r="E77" i="10"/>
  <c r="F67" i="10"/>
  <c r="D76" i="10"/>
  <c r="F66" i="10"/>
  <c r="E76" i="10"/>
  <c r="F44" i="10"/>
  <c r="D75" i="10"/>
  <c r="F43" i="10"/>
  <c r="E66" i="10"/>
  <c r="F42" i="10"/>
  <c r="D65" i="10"/>
  <c r="F41" i="10"/>
  <c r="E65" i="10"/>
  <c r="C80" i="10"/>
  <c r="D64" i="10"/>
  <c r="C79" i="10"/>
  <c r="D53" i="10"/>
  <c r="C78" i="10"/>
  <c r="E53" i="10"/>
  <c r="C77" i="10"/>
  <c r="D52" i="10"/>
  <c r="C53" i="10"/>
  <c r="E52" i="10"/>
  <c r="C52" i="10"/>
  <c r="D51" i="10"/>
  <c r="C49" i="10"/>
  <c r="E42" i="10"/>
  <c r="C48" i="10"/>
  <c r="D41" i="10"/>
  <c r="C40" i="10"/>
  <c r="E41" i="10"/>
  <c r="C39" i="10"/>
  <c r="D40" i="10"/>
  <c r="E64" i="10"/>
  <c r="E40" i="10"/>
  <c r="F65" i="10"/>
  <c r="C76" i="10"/>
  <c r="D81" i="10"/>
  <c r="D63" i="10"/>
  <c r="D39" i="10"/>
  <c r="F64" i="10"/>
  <c r="C73" i="10"/>
  <c r="E81" i="10"/>
  <c r="D62" i="10"/>
  <c r="D38" i="10"/>
  <c r="F62" i="10"/>
  <c r="C72" i="10"/>
  <c r="D80" i="10"/>
  <c r="D56" i="10"/>
  <c r="E38" i="10"/>
  <c r="F61" i="10"/>
  <c r="C71" i="10"/>
  <c r="E80" i="10"/>
  <c r="E56" i="10"/>
  <c r="D37" i="10"/>
  <c r="F60" i="10"/>
  <c r="C70" i="10"/>
  <c r="D79" i="10"/>
  <c r="D55" i="10"/>
  <c r="D31" i="10"/>
  <c r="F59" i="10"/>
  <c r="C69" i="10"/>
  <c r="E79" i="10"/>
  <c r="E55" i="10"/>
  <c r="E31" i="10"/>
  <c r="F58" i="10"/>
  <c r="C68" i="10"/>
  <c r="D78" i="10"/>
  <c r="D54" i="10"/>
  <c r="D30" i="10"/>
  <c r="F46" i="10"/>
  <c r="C67" i="10"/>
  <c r="E78" i="10"/>
  <c r="E54" i="10"/>
  <c r="E30" i="10"/>
  <c r="F45" i="10"/>
  <c r="C66" i="10"/>
  <c r="E50" i="10"/>
  <c r="F36" i="10"/>
  <c r="D67" i="10"/>
  <c r="D43" i="10"/>
  <c r="F83" i="10"/>
  <c r="F35" i="10"/>
  <c r="C43" i="10"/>
  <c r="E67" i="10"/>
  <c r="E43" i="10"/>
  <c r="F71" i="10"/>
  <c r="F34" i="10"/>
  <c r="C42" i="10"/>
  <c r="F40" i="10"/>
  <c r="C47" i="10"/>
  <c r="E69" i="10"/>
  <c r="D50" i="10"/>
  <c r="D26" i="10"/>
  <c r="F38" i="10"/>
  <c r="C46" i="10"/>
  <c r="D68" i="10"/>
  <c r="E26" i="10"/>
  <c r="F37" i="10"/>
  <c r="C45" i="10"/>
  <c r="E68" i="10"/>
  <c r="E44" i="10"/>
  <c r="F25" i="10"/>
  <c r="C44" i="10"/>
  <c r="D66" i="10"/>
  <c r="D42" i="10"/>
  <c r="F70" i="10"/>
  <c r="F33" i="10"/>
  <c r="C65" i="10"/>
  <c r="D47" i="10"/>
  <c r="C34" i="10"/>
  <c r="D74" i="10"/>
  <c r="E49" i="10"/>
  <c r="C64" i="10"/>
  <c r="D48" i="10"/>
  <c r="F55" i="10"/>
  <c r="F30" i="10"/>
  <c r="D60" i="10"/>
  <c r="F79" i="10"/>
  <c r="F54" i="10"/>
  <c r="F29" i="10"/>
  <c r="C62" i="10"/>
  <c r="C35" i="10"/>
  <c r="D72" i="10"/>
  <c r="E60" i="10"/>
  <c r="E35" i="10"/>
  <c r="F78" i="10"/>
  <c r="F53" i="10"/>
  <c r="F28" i="10"/>
  <c r="C61" i="10"/>
  <c r="D25" i="10"/>
  <c r="E72" i="10"/>
  <c r="D59" i="10"/>
  <c r="E47" i="10"/>
  <c r="D34" i="10"/>
  <c r="F77" i="10"/>
  <c r="F52" i="10"/>
  <c r="F27" i="10"/>
  <c r="C60" i="10"/>
  <c r="C33" i="10"/>
  <c r="E62" i="10"/>
  <c r="E74" i="10"/>
  <c r="F31" i="10"/>
  <c r="F80" i="10"/>
  <c r="C63" i="10"/>
  <c r="D35" i="10"/>
  <c r="E25" i="10"/>
  <c r="D71" i="10"/>
  <c r="E59" i="10"/>
  <c r="D46" i="10"/>
  <c r="E34" i="10"/>
  <c r="F76" i="10"/>
  <c r="F51" i="10"/>
  <c r="F26" i="10"/>
  <c r="G26" i="10" s="1"/>
  <c r="C59" i="10"/>
  <c r="C32" i="10"/>
  <c r="D83" i="10"/>
  <c r="E71" i="10"/>
  <c r="D58" i="10"/>
  <c r="E46" i="10"/>
  <c r="D33" i="10"/>
  <c r="F75" i="10"/>
  <c r="F50" i="10"/>
  <c r="C25" i="10"/>
  <c r="C58" i="10"/>
  <c r="C31" i="10"/>
  <c r="E37" i="10"/>
  <c r="F81" i="10"/>
  <c r="E61" i="10"/>
  <c r="D45" i="10"/>
  <c r="E33" i="10"/>
  <c r="F74" i="10"/>
  <c r="F49" i="10"/>
  <c r="C83" i="10"/>
  <c r="C57" i="10"/>
  <c r="C29" i="10"/>
  <c r="D49" i="10"/>
  <c r="F82" i="10"/>
  <c r="F57" i="10"/>
  <c r="F32" i="10"/>
  <c r="C38" i="10"/>
  <c r="D61" i="10"/>
  <c r="D36" i="10"/>
  <c r="F56" i="10"/>
  <c r="C37" i="10"/>
  <c r="D73" i="10"/>
  <c r="E36" i="10"/>
  <c r="C36" i="10"/>
  <c r="E73" i="10"/>
  <c r="E48" i="10"/>
  <c r="E83" i="10"/>
  <c r="D70" i="10"/>
  <c r="E58" i="10"/>
  <c r="D82" i="10"/>
  <c r="E70" i="10"/>
  <c r="D57" i="10"/>
  <c r="E45" i="10"/>
  <c r="D32" i="10"/>
  <c r="F73" i="10"/>
  <c r="F48" i="10"/>
  <c r="C82" i="10"/>
  <c r="C56" i="10"/>
  <c r="C26" i="10"/>
  <c r="E82" i="10"/>
  <c r="D69" i="10"/>
  <c r="E57" i="10"/>
  <c r="D44" i="10"/>
  <c r="E32" i="10"/>
  <c r="F72" i="10"/>
  <c r="F47" i="10"/>
  <c r="C81" i="10"/>
  <c r="C54" i="10"/>
  <c r="C55" i="10"/>
  <c r="C30" i="10"/>
  <c r="C75" i="10"/>
  <c r="C51" i="10"/>
  <c r="C27" i="10"/>
  <c r="E75" i="10"/>
  <c r="E63" i="10"/>
  <c r="E51" i="10"/>
  <c r="E39" i="10"/>
  <c r="E27" i="10"/>
  <c r="F63" i="10"/>
  <c r="F39" i="10"/>
  <c r="C74" i="10"/>
  <c r="C50" i="10"/>
  <c r="I69" i="5"/>
  <c r="E9" i="7"/>
  <c r="E10" i="7" s="1"/>
  <c r="N2" i="7"/>
  <c r="O2" i="7" s="1" a="1"/>
  <c r="O2" i="7" s="1"/>
  <c r="E20" i="5"/>
  <c r="E19" i="5"/>
  <c r="E12" i="5"/>
  <c r="E10" i="5"/>
  <c r="E7" i="5"/>
  <c r="AB2" i="5"/>
  <c r="F7" i="3"/>
  <c r="I7" i="3"/>
  <c r="K7" i="3" s="1"/>
  <c r="F8" i="3"/>
  <c r="F9" i="3"/>
  <c r="F10" i="3"/>
  <c r="F11" i="3"/>
  <c r="F12" i="3"/>
  <c r="F13" i="3"/>
  <c r="F14" i="3"/>
  <c r="F15" i="3"/>
  <c r="F16" i="3"/>
  <c r="D7" i="3"/>
  <c r="G27" i="10" l="1"/>
  <c r="G28" i="10" s="1"/>
  <c r="G29" i="10" s="1"/>
  <c r="G30" i="10" s="1"/>
  <c r="G31" i="10" s="1"/>
  <c r="G32" i="10" s="1"/>
  <c r="G33" i="10" s="1"/>
  <c r="G34" i="10" s="1"/>
  <c r="G35" i="10" s="1"/>
  <c r="G36" i="10" s="1"/>
  <c r="G37" i="10" s="1"/>
  <c r="G38" i="10" s="1"/>
  <c r="G39" i="10" s="1"/>
  <c r="G40" i="10" s="1"/>
  <c r="G41" i="10" s="1"/>
  <c r="G42" i="10" s="1"/>
  <c r="G43" i="10" s="1"/>
  <c r="G44" i="10" s="1"/>
  <c r="G45" i="10" s="1"/>
  <c r="G46" i="10" s="1"/>
  <c r="G47" i="10" s="1"/>
  <c r="G48" i="10" s="1"/>
  <c r="G49" i="10" s="1"/>
  <c r="G50" i="10" s="1"/>
  <c r="G51" i="10" s="1"/>
  <c r="G52" i="10" s="1"/>
  <c r="G53" i="10" s="1"/>
  <c r="G54" i="10" s="1"/>
  <c r="G55" i="10" s="1"/>
  <c r="G56" i="10" s="1"/>
  <c r="G57" i="10" s="1"/>
  <c r="G58" i="10" s="1"/>
  <c r="G59" i="10" s="1"/>
  <c r="G60" i="10" s="1"/>
  <c r="G61" i="10" s="1"/>
  <c r="G62" i="10" s="1"/>
  <c r="G63" i="10" s="1"/>
  <c r="G64" i="10" s="1"/>
  <c r="G65" i="10" s="1"/>
  <c r="G66" i="10" s="1"/>
  <c r="G67" i="10" s="1"/>
  <c r="G68" i="10" s="1"/>
  <c r="G69" i="10" s="1"/>
  <c r="G70" i="10" s="1"/>
  <c r="G71" i="10" s="1"/>
  <c r="G72" i="10" s="1"/>
  <c r="G73" i="10" s="1"/>
  <c r="G74" i="10" s="1"/>
  <c r="G75" i="10" s="1"/>
  <c r="G76" i="10" s="1"/>
  <c r="G77" i="10" s="1"/>
  <c r="G78" i="10" s="1"/>
  <c r="G79" i="10" s="1"/>
  <c r="G80" i="10" s="1"/>
  <c r="G81" i="10" s="1"/>
  <c r="G82" i="10" s="1"/>
  <c r="G83" i="10" s="1"/>
  <c r="E11" i="7"/>
  <c r="P2" i="7" s="1" a="1"/>
  <c r="P2" i="7" s="1"/>
  <c r="Q2" i="7" s="1"/>
  <c r="E21" i="5"/>
  <c r="E22" i="5" s="1"/>
  <c r="Q69" i="5"/>
  <c r="E49" i="5"/>
  <c r="E50" i="5" s="1"/>
  <c r="E51" i="5" s="1"/>
  <c r="AD2" i="5" s="1" a="1"/>
  <c r="AD2" i="5" s="1"/>
  <c r="AE2" i="5" s="1"/>
  <c r="E52" i="5" s="1"/>
  <c r="E29" i="5"/>
  <c r="AC2" i="5" a="1"/>
  <c r="AC2" i="5" s="1"/>
  <c r="K69" i="5"/>
  <c r="M69" i="5"/>
  <c r="O69" i="5"/>
  <c r="E7" i="3"/>
  <c r="G7" i="3" s="1"/>
  <c r="D8" i="3"/>
  <c r="E12" i="7" l="1"/>
  <c r="D9" i="3"/>
  <c r="E8" i="3"/>
  <c r="G8" i="3" l="1"/>
  <c r="H8" i="3" s="1"/>
  <c r="I8" i="3" s="1"/>
  <c r="K8" i="3" s="1"/>
  <c r="D10" i="3"/>
  <c r="E9" i="3"/>
  <c r="G9" i="3" l="1"/>
  <c r="H9" i="3" s="1"/>
  <c r="I9" i="3" s="1"/>
  <c r="K9" i="3" s="1"/>
  <c r="D11" i="3"/>
  <c r="E10" i="3"/>
  <c r="G10" i="3" l="1"/>
  <c r="H10" i="3" s="1"/>
  <c r="I10" i="3" s="1"/>
  <c r="K10" i="3" s="1"/>
  <c r="D12" i="3"/>
  <c r="E11" i="3"/>
  <c r="G11" i="3" l="1"/>
  <c r="H11" i="3" s="1"/>
  <c r="I11" i="3" s="1"/>
  <c r="K11" i="3" s="1"/>
  <c r="D13" i="3"/>
  <c r="E12" i="3"/>
  <c r="G12" i="3" l="1"/>
  <c r="H12" i="3" s="1"/>
  <c r="I12" i="3" s="1"/>
  <c r="K12" i="3" s="1"/>
  <c r="D14" i="3"/>
  <c r="E13" i="3"/>
  <c r="G13" i="3" l="1"/>
  <c r="H13" i="3" s="1"/>
  <c r="I13" i="3" s="1"/>
  <c r="K13" i="3" s="1"/>
  <c r="D15" i="3"/>
  <c r="E14" i="3"/>
  <c r="G14" i="3" l="1"/>
  <c r="H14" i="3" s="1"/>
  <c r="I14" i="3" s="1"/>
  <c r="K14" i="3" s="1"/>
  <c r="D16" i="3"/>
  <c r="E16" i="3" s="1"/>
  <c r="E15" i="3"/>
  <c r="G16" i="3" l="1"/>
  <c r="G15" i="3"/>
  <c r="H15" i="3" s="1"/>
  <c r="I15" i="3" s="1"/>
  <c r="K15" i="3" s="1"/>
  <c r="H16" i="3" l="1"/>
  <c r="J7" i="3" l="1"/>
  <c r="L7" i="3" s="1"/>
  <c r="J8" i="3"/>
  <c r="L8" i="3" s="1"/>
  <c r="J9" i="3"/>
  <c r="L9" i="3" s="1"/>
  <c r="J10" i="3"/>
  <c r="L10" i="3" s="1"/>
  <c r="J11" i="3"/>
  <c r="L11" i="3" s="1"/>
  <c r="J12" i="3"/>
  <c r="L12" i="3" s="1"/>
  <c r="J13" i="3"/>
  <c r="L13" i="3" s="1"/>
  <c r="J14" i="3"/>
  <c r="L14" i="3" s="1"/>
  <c r="I16" i="3"/>
  <c r="K16" i="3" s="1"/>
  <c r="J15" i="3"/>
  <c r="L15" i="3" s="1"/>
  <c r="J16" i="3"/>
  <c r="L16"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Williams, Justin</author>
  </authors>
  <commentList>
    <comment ref="B6" authorId="0" shapeId="0" xr:uid="{4BA8702A-1BE3-461A-9B8F-28C5D1F837F9}">
      <text>
        <r>
          <rPr>
            <b/>
            <sz val="9"/>
            <color indexed="81"/>
            <rFont val="Tahoma"/>
            <family val="2"/>
          </rPr>
          <t>Williams, Justin:</t>
        </r>
        <r>
          <rPr>
            <sz val="9"/>
            <color indexed="81"/>
            <rFont val="Tahoma"/>
            <family val="2"/>
          </rPr>
          <t xml:space="preserve">
Includes non-test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Williams, Justin</author>
  </authors>
  <commentList>
    <comment ref="E17" authorId="0" shapeId="0" xr:uid="{B181EB8B-DA33-4FFB-8EDB-1D2CF1F21D59}">
      <text>
        <r>
          <rPr>
            <b/>
            <sz val="9"/>
            <color indexed="81"/>
            <rFont val="Tahoma"/>
            <family val="2"/>
          </rPr>
          <t>Williams, Justin:</t>
        </r>
        <r>
          <rPr>
            <sz val="9"/>
            <color indexed="81"/>
            <rFont val="Tahoma"/>
            <family val="2"/>
          </rPr>
          <t xml:space="preserve">
Mix of Golf/Truck/Commercial</t>
        </r>
      </text>
    </comment>
    <comment ref="E26" authorId="0" shapeId="0" xr:uid="{11F218E2-2A39-495D-9078-18B87364D6D7}">
      <text>
        <r>
          <rPr>
            <b/>
            <sz val="9"/>
            <color indexed="81"/>
            <rFont val="Tahoma"/>
            <family val="2"/>
          </rPr>
          <t>Williams, Justin:</t>
        </r>
        <r>
          <rPr>
            <sz val="9"/>
            <color indexed="81"/>
            <rFont val="Tahoma"/>
            <family val="2"/>
          </rPr>
          <t xml:space="preserve">
Mix of Golf/Truck/Commercial</t>
        </r>
      </text>
    </comment>
    <comment ref="E46" authorId="0" shapeId="0" xr:uid="{3F92E338-5F63-4296-9A86-DBA79BA4E765}">
      <text>
        <r>
          <rPr>
            <b/>
            <sz val="9"/>
            <color indexed="81"/>
            <rFont val="Tahoma"/>
            <family val="2"/>
          </rPr>
          <t>Williams, Justin:</t>
        </r>
        <r>
          <rPr>
            <sz val="9"/>
            <color indexed="81"/>
            <rFont val="Tahoma"/>
            <family val="2"/>
          </rPr>
          <t xml:space="preserve">
Beyond 170.999, excel cannot calculate factorials, so this will not be reliable past values of 170. Perhaps if using goal seek, instead set this value to 170 to see what the limit on confidence is first, so you know how high excel can calculate. If get #NUM, it only means excel unable to handle the calculation.</t>
        </r>
      </text>
    </comment>
    <comment ref="C49" authorId="0" shapeId="0" xr:uid="{3CFC76D1-C98C-40CE-BD3B-8BCE24773631}">
      <text>
        <r>
          <rPr>
            <b/>
            <sz val="9"/>
            <color indexed="81"/>
            <rFont val="Tahoma"/>
            <family val="2"/>
          </rPr>
          <t>Williams, Justin:</t>
        </r>
        <r>
          <rPr>
            <sz val="9"/>
            <color indexed="81"/>
            <rFont val="Tahoma"/>
            <family val="2"/>
          </rPr>
          <t xml:space="preserve">
Used to relate Tmission or Rmission to Ttest or Rtest</t>
        </r>
      </text>
    </comment>
    <comment ref="E52" authorId="0" shapeId="0" xr:uid="{C25C4E0E-7A2A-4642-A177-33C232F66E0C}">
      <text>
        <r>
          <rPr>
            <b/>
            <sz val="9"/>
            <color indexed="81"/>
            <rFont val="Tahoma"/>
            <family val="2"/>
          </rPr>
          <t>Williams, Justin:</t>
        </r>
        <r>
          <rPr>
            <sz val="9"/>
            <color indexed="81"/>
            <rFont val="Tahoma"/>
            <family val="2"/>
          </rPr>
          <t xml:space="preserve">
Set as Goal Seek target to Confidence Level Desired, vary any input in Green Input Cells. Do not set sample size above 170, see sample size note.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Williams, Justin</author>
  </authors>
  <commentList>
    <comment ref="E6" authorId="0" shapeId="0" xr:uid="{159B029F-2540-4891-BCDA-BDF44F1FA5F5}">
      <text>
        <r>
          <rPr>
            <b/>
            <sz val="9"/>
            <color indexed="81"/>
            <rFont val="Tahoma"/>
            <family val="2"/>
          </rPr>
          <t>Williams, Justin:</t>
        </r>
        <r>
          <rPr>
            <sz val="9"/>
            <color indexed="81"/>
            <rFont val="Tahoma"/>
            <family val="2"/>
          </rPr>
          <t xml:space="preserve">
Beyond 170.999, excel cannot calculate factorials, so this will not be reliable past values of 170. Perhaps if using goal seek, instead set this value to 170 to see what the limit on confidence is first, so you know how high excel can calculate. If get #NUM, it only means excel unable to handle the calculation.</t>
        </r>
      </text>
    </comment>
    <comment ref="C9" authorId="0" shapeId="0" xr:uid="{3256A733-7B94-43E3-940F-FAEA9DD781CC}">
      <text>
        <r>
          <rPr>
            <b/>
            <sz val="9"/>
            <color indexed="81"/>
            <rFont val="Tahoma"/>
            <family val="2"/>
          </rPr>
          <t>Williams, Justin:</t>
        </r>
        <r>
          <rPr>
            <sz val="9"/>
            <color indexed="81"/>
            <rFont val="Tahoma"/>
            <family val="2"/>
          </rPr>
          <t xml:space="preserve">
Used to relate Tmission or Rmission to Ttest or Rtest</t>
        </r>
      </text>
    </comment>
    <comment ref="E12" authorId="0" shapeId="0" xr:uid="{34E4D9B1-B693-4936-AB8B-2ECA7E4D50AF}">
      <text>
        <r>
          <rPr>
            <b/>
            <sz val="9"/>
            <color indexed="81"/>
            <rFont val="Tahoma"/>
            <family val="2"/>
          </rPr>
          <t>Williams, Justin:</t>
        </r>
        <r>
          <rPr>
            <sz val="9"/>
            <color indexed="81"/>
            <rFont val="Tahoma"/>
            <family val="2"/>
          </rPr>
          <t xml:space="preserve">
Set as Goal Seek target to Confidence Level Desired, vary any input in Green Input Cells. Do not set sample size above 170, see sample size note.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Williams, Justin</author>
  </authors>
  <commentList>
    <comment ref="BD1" authorId="0" shapeId="0" xr:uid="{CAD8B127-399D-4AC8-A56B-1FFD05F738EC}">
      <text>
        <r>
          <rPr>
            <b/>
            <sz val="9"/>
            <color indexed="81"/>
            <rFont val="Tahoma"/>
            <family val="2"/>
          </rPr>
          <t>Williams, Justin:</t>
        </r>
        <r>
          <rPr>
            <sz val="9"/>
            <color indexed="81"/>
            <rFont val="Tahoma"/>
            <family val="2"/>
          </rPr>
          <t xml:space="preserve">
Beyond 170.999, excel cannot calculate factorials, so this will not be reliable past values of 170. Perhaps if using goal seek, instead set this value to 170 to see what the limit on confidence is first, so you know how high excel can calculate. If get #NUM, it only means excel unable to handle the calculation.</t>
        </r>
      </text>
    </comment>
    <comment ref="BB4" authorId="0" shapeId="0" xr:uid="{845A406B-80D4-4227-850F-DC46B31CDE47}">
      <text>
        <r>
          <rPr>
            <b/>
            <sz val="9"/>
            <color indexed="81"/>
            <rFont val="Tahoma"/>
            <family val="2"/>
          </rPr>
          <t>Williams, Justin:</t>
        </r>
        <r>
          <rPr>
            <sz val="9"/>
            <color indexed="81"/>
            <rFont val="Tahoma"/>
            <family val="2"/>
          </rPr>
          <t xml:space="preserve">
Used to relate Tmission or Rmission to Ttest or Rtest</t>
        </r>
      </text>
    </comment>
    <comment ref="BD7" authorId="0" shapeId="0" xr:uid="{8902F181-BE98-40D1-8AE4-E5F9DF17613D}">
      <text>
        <r>
          <rPr>
            <b/>
            <sz val="9"/>
            <color indexed="81"/>
            <rFont val="Tahoma"/>
            <family val="2"/>
          </rPr>
          <t>Williams, Justin:</t>
        </r>
        <r>
          <rPr>
            <sz val="9"/>
            <color indexed="81"/>
            <rFont val="Tahoma"/>
            <family val="2"/>
          </rPr>
          <t xml:space="preserve">
Set as Goal Seek target to Confidence Level Desired, vary any input in Green Input Cells. Do not set sample size above 170, see sample size note.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Williams, Justin</author>
  </authors>
  <commentList>
    <comment ref="E4" authorId="0" shapeId="0" xr:uid="{137DF5E1-FC95-401E-853E-C2DB39157D2C}">
      <text>
        <r>
          <rPr>
            <b/>
            <sz val="9"/>
            <color indexed="81"/>
            <rFont val="Tahoma"/>
            <family val="2"/>
          </rPr>
          <t>Williams, Justin:</t>
        </r>
        <r>
          <rPr>
            <sz val="9"/>
            <color indexed="81"/>
            <rFont val="Tahoma"/>
            <family val="2"/>
          </rPr>
          <t xml:space="preserve">
Mean Time Between Failures
MTBF=TotalTestTime/TotalNumberOfFailures
Look if this is constant or not. 
If design is changed, did this value increase?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<sst xmlns="http://schemas.openxmlformats.org/spreadsheetml/2006/main" count="470" uniqueCount="174">
  <si>
    <t>Confidence Level</t>
  </si>
  <si>
    <t>Reliability</t>
  </si>
  <si>
    <t>alpha</t>
  </si>
  <si>
    <t>CL</t>
  </si>
  <si>
    <t>Beta</t>
  </si>
  <si>
    <t>n</t>
  </si>
  <si>
    <t>Minimum Reliability</t>
  </si>
  <si>
    <t>R_c</t>
  </si>
  <si>
    <t>C</t>
  </si>
  <si>
    <t>Sample Size</t>
  </si>
  <si>
    <t>Alpha Risk Type 1 Error</t>
  </si>
  <si>
    <t>Confidene Level</t>
  </si>
  <si>
    <t>Find Rc</t>
  </si>
  <si>
    <t>Find n</t>
  </si>
  <si>
    <t>Find C</t>
  </si>
  <si>
    <t>Find Alpha</t>
  </si>
  <si>
    <t>Sample Size Required</t>
  </si>
  <si>
    <t>f</t>
  </si>
  <si>
    <t>Number of Allowable Failures</t>
  </si>
  <si>
    <t>min</t>
  </si>
  <si>
    <t>max</t>
  </si>
  <si>
    <t>i</t>
  </si>
  <si>
    <t>1-C</t>
  </si>
  <si>
    <t>k</t>
  </si>
  <si>
    <t>Pass/Fail Zero-Failure Criteria</t>
  </si>
  <si>
    <t>Test Length</t>
  </si>
  <si>
    <t>T</t>
  </si>
  <si>
    <t>t</t>
  </si>
  <si>
    <t>End of Life Time</t>
  </si>
  <si>
    <t>Bogey Ratio</t>
  </si>
  <si>
    <t>hrs</t>
  </si>
  <si>
    <t>Number of Samples Required</t>
  </si>
  <si>
    <r>
      <t>χ</t>
    </r>
    <r>
      <rPr>
        <vertAlign val="subscript"/>
        <sz val="11"/>
        <color theme="1"/>
        <rFont val="Calibri"/>
        <family val="2"/>
        <scheme val="minor"/>
      </rPr>
      <t>1-c,dof=2</t>
    </r>
  </si>
  <si>
    <r>
      <t>n</t>
    </r>
    <r>
      <rPr>
        <vertAlign val="subscript"/>
        <sz val="11"/>
        <color theme="1"/>
        <rFont val="Calibri"/>
        <family val="2"/>
        <scheme val="minor"/>
      </rPr>
      <t>abs</t>
    </r>
  </si>
  <si>
    <t>Chi-Squared Distribution (Right-Tail Probability)</t>
  </si>
  <si>
    <t>Test Time Required (zero failures)</t>
  </si>
  <si>
    <t>Number of Samples</t>
  </si>
  <si>
    <t>Find t</t>
  </si>
  <si>
    <t>Reliability Effort</t>
  </si>
  <si>
    <t>Lower Limit</t>
  </si>
  <si>
    <t>Upper Limit</t>
  </si>
  <si>
    <t>Likely no priority given to reliability improvement</t>
  </si>
  <si>
    <t>Routine attention given to reliability improvement</t>
  </si>
  <si>
    <t>Priority attention given to reliability improvement.</t>
  </si>
  <si>
    <t>Top priority given to elimination of failure modes.</t>
  </si>
  <si>
    <t>Reliability MTBF Growth Rate
Slope (Alpha)</t>
  </si>
  <si>
    <t>Number of Failures</t>
  </si>
  <si>
    <r>
      <rPr>
        <sz val="11"/>
        <color theme="1"/>
        <rFont val="Calibri"/>
        <family val="2"/>
      </rPr>
      <t>θ</t>
    </r>
    <r>
      <rPr>
        <vertAlign val="subscript"/>
        <sz val="11"/>
        <color theme="1"/>
        <rFont val="Calibri"/>
        <family val="2"/>
      </rPr>
      <t>0</t>
    </r>
  </si>
  <si>
    <t>Cumulative MTVF at start of test</t>
  </si>
  <si>
    <t>Cumulative MTBF at time T</t>
  </si>
  <si>
    <t>Time at start of test</t>
  </si>
  <si>
    <r>
      <t>T</t>
    </r>
    <r>
      <rPr>
        <vertAlign val="subscript"/>
        <sz val="11"/>
        <color theme="1"/>
        <rFont val="Calibri"/>
        <family val="2"/>
        <scheme val="minor"/>
      </rPr>
      <t>0</t>
    </r>
  </si>
  <si>
    <t>Time</t>
  </si>
  <si>
    <t>α</t>
  </si>
  <si>
    <t>MTBF Growth Rate</t>
  </si>
  <si>
    <t>Instantaneous Failure Rate</t>
  </si>
  <si>
    <r>
      <t>θ</t>
    </r>
    <r>
      <rPr>
        <vertAlign val="subscript"/>
        <sz val="11"/>
        <color theme="1"/>
        <rFont val="Calibri"/>
        <family val="2"/>
      </rPr>
      <t>i</t>
    </r>
  </si>
  <si>
    <r>
      <t>θ</t>
    </r>
    <r>
      <rPr>
        <vertAlign val="subscript"/>
        <sz val="11"/>
        <color theme="1"/>
        <rFont val="Calibri"/>
        <family val="2"/>
      </rPr>
      <t>c</t>
    </r>
  </si>
  <si>
    <t>Cumulative Field Hours</t>
  </si>
  <si>
    <t>Week</t>
  </si>
  <si>
    <t>-</t>
  </si>
  <si>
    <t>Cumulative Failures</t>
  </si>
  <si>
    <t>Failures throughout week</t>
  </si>
  <si>
    <t>Cumulative MTBF</t>
  </si>
  <si>
    <t>log(t)</t>
  </si>
  <si>
    <t>log(θc)</t>
  </si>
  <si>
    <t>Log of Time</t>
  </si>
  <si>
    <t>Log of Cumulative MTBF</t>
  </si>
  <si>
    <t>Instantaneous Growth Rate</t>
  </si>
  <si>
    <t>Instantaneous MTBF</t>
  </si>
  <si>
    <t>Log of Instantaneous MTBF</t>
  </si>
  <si>
    <t>Growth Rate</t>
  </si>
  <si>
    <t>Log of Instantaneous MTBF (variable growth rate)</t>
  </si>
  <si>
    <t>Instantaneous MTBF (variable growth rate --- no future data)</t>
  </si>
  <si>
    <r>
      <t>log(θ</t>
    </r>
    <r>
      <rPr>
        <b/>
        <vertAlign val="subscript"/>
        <sz val="11"/>
        <color theme="1"/>
        <rFont val="Calibri"/>
        <family val="2"/>
        <scheme val="minor"/>
      </rPr>
      <t>i,var_growth</t>
    </r>
    <r>
      <rPr>
        <b/>
        <sz val="11"/>
        <color theme="1"/>
        <rFont val="Calibri"/>
        <family val="2"/>
        <scheme val="minor"/>
      </rPr>
      <t>)</t>
    </r>
  </si>
  <si>
    <r>
      <t>log(θ</t>
    </r>
    <r>
      <rPr>
        <b/>
        <vertAlign val="subscript"/>
        <sz val="11"/>
        <color theme="1"/>
        <rFont val="Calibri"/>
        <family val="2"/>
        <scheme val="minor"/>
      </rPr>
      <t>i</t>
    </r>
    <r>
      <rPr>
        <b/>
        <sz val="11"/>
        <color theme="1"/>
        <rFont val="Calibri"/>
        <family val="2"/>
        <scheme val="minor"/>
      </rPr>
      <t>)</t>
    </r>
  </si>
  <si>
    <r>
      <t>α</t>
    </r>
    <r>
      <rPr>
        <vertAlign val="subscript"/>
        <sz val="11"/>
        <color theme="1"/>
        <rFont val="Calibri"/>
        <family val="2"/>
      </rPr>
      <t>i</t>
    </r>
  </si>
  <si>
    <r>
      <t>θ</t>
    </r>
    <r>
      <rPr>
        <vertAlign val="subscript"/>
        <sz val="11"/>
        <color theme="1"/>
        <rFont val="Calibri"/>
        <family val="2"/>
      </rPr>
      <t>i,var_growth</t>
    </r>
  </si>
  <si>
    <t>Time Required</t>
  </si>
  <si>
    <t>Reliability Required</t>
  </si>
  <si>
    <t>Beta Shape Parameter</t>
  </si>
  <si>
    <t>β</t>
  </si>
  <si>
    <t>Characteristic Life</t>
  </si>
  <si>
    <t>η</t>
  </si>
  <si>
    <t>Test Time</t>
  </si>
  <si>
    <t>Reliability of Test Min</t>
  </si>
  <si>
    <t>Time of Test</t>
  </si>
  <si>
    <t xml:space="preserve">Varying Reliability </t>
  </si>
  <si>
    <t>Varying Confidence Level</t>
  </si>
  <si>
    <t>Varying EoL</t>
  </si>
  <si>
    <t>Varying Beta</t>
  </si>
  <si>
    <t>Varying Number of Samples</t>
  </si>
  <si>
    <t>Life</t>
  </si>
  <si>
    <t>Data Table (See Results of Varying Inputs)</t>
  </si>
  <si>
    <r>
      <t>T</t>
    </r>
    <r>
      <rPr>
        <vertAlign val="subscript"/>
        <sz val="11"/>
        <color theme="1"/>
        <rFont val="Calibri"/>
        <family val="2"/>
        <scheme val="minor"/>
      </rPr>
      <t>mission</t>
    </r>
  </si>
  <si>
    <r>
      <t>R</t>
    </r>
    <r>
      <rPr>
        <vertAlign val="subscript"/>
        <sz val="11"/>
        <color theme="1"/>
        <rFont val="Calibri"/>
        <family val="2"/>
        <scheme val="minor"/>
      </rPr>
      <t>mission</t>
    </r>
  </si>
  <si>
    <r>
      <t>T</t>
    </r>
    <r>
      <rPr>
        <vertAlign val="subscript"/>
        <sz val="11"/>
        <color theme="1"/>
        <rFont val="Calibri"/>
        <family val="2"/>
      </rPr>
      <t>test</t>
    </r>
  </si>
  <si>
    <r>
      <t>R</t>
    </r>
    <r>
      <rPr>
        <vertAlign val="subscript"/>
        <sz val="11"/>
        <color theme="1"/>
        <rFont val="Calibri"/>
        <family val="2"/>
      </rPr>
      <t>test</t>
    </r>
  </si>
  <si>
    <r>
      <t>R</t>
    </r>
    <r>
      <rPr>
        <vertAlign val="subscript"/>
        <sz val="11"/>
        <color theme="1"/>
        <rFont val="Calibri"/>
        <family val="2"/>
        <scheme val="minor"/>
      </rPr>
      <t>test</t>
    </r>
  </si>
  <si>
    <t>Description</t>
  </si>
  <si>
    <t>Abbrev</t>
  </si>
  <si>
    <t>Value</t>
  </si>
  <si>
    <t>Units</t>
  </si>
  <si>
    <t>Requirements</t>
  </si>
  <si>
    <t>Test Options</t>
  </si>
  <si>
    <t>Output</t>
  </si>
  <si>
    <t>Test Info</t>
  </si>
  <si>
    <t>Set as Goal Seek target to Confidence Level Desired (usually 80%)</t>
  </si>
  <si>
    <t>Parametric Binomial Reliability Demonstration</t>
  </si>
  <si>
    <t>Key</t>
  </si>
  <si>
    <t>Inputs</t>
  </si>
  <si>
    <t>Calculations</t>
  </si>
  <si>
    <t>Outputs</t>
  </si>
  <si>
    <t>Days/Week to Run</t>
  </si>
  <si>
    <t>days</t>
  </si>
  <si>
    <t>Hours per Day to Run</t>
  </si>
  <si>
    <t>Duty Cycle</t>
  </si>
  <si>
    <t>Target Time</t>
  </si>
  <si>
    <t>Days to Achieve Target</t>
  </si>
  <si>
    <t>Weeks to Achieve Target</t>
  </si>
  <si>
    <t>weeks</t>
  </si>
  <si>
    <t>Months to Achieve Target</t>
  </si>
  <si>
    <t>months</t>
  </si>
  <si>
    <t>Shape Parameter</t>
  </si>
  <si>
    <t>eta</t>
  </si>
  <si>
    <t>Scale Parameter</t>
  </si>
  <si>
    <t>Time at which reliability will be 0.368 (failure rate of 63.2%)</t>
  </si>
  <si>
    <t>Reliability at Time</t>
  </si>
  <si>
    <t>Probability of Failure</t>
  </si>
  <si>
    <t>Find R</t>
  </si>
  <si>
    <t>delta</t>
  </si>
  <si>
    <t>Location Parmaeter</t>
  </si>
  <si>
    <t>f(t)</t>
  </si>
  <si>
    <t>Eta</t>
  </si>
  <si>
    <t>Delta</t>
  </si>
  <si>
    <t>char life</t>
  </si>
  <si>
    <t>F(t)</t>
  </si>
  <si>
    <t>cdf</t>
  </si>
  <si>
    <t>R(t)</t>
  </si>
  <si>
    <t>h(t)</t>
  </si>
  <si>
    <t>hazard function</t>
  </si>
  <si>
    <t>H(t)</t>
  </si>
  <si>
    <t>pdf</t>
  </si>
  <si>
    <t>Time to Test</t>
  </si>
  <si>
    <t>If any issues found, please let me know and I will try to fix them at earliest convenience.</t>
  </si>
  <si>
    <t>How-To Use: The spreadsheet has a few different sheets.</t>
  </si>
  <si>
    <t>The main use of the spreadsheet should lie in the sheets to the right of this introduction sheet.</t>
  </si>
  <si>
    <t>The spreadsheet can be used on an individual sheet basis. In general, the sheets towards the right get more complex.</t>
  </si>
  <si>
    <t>The below table is a summary of what each sheet can be used for.</t>
  </si>
  <si>
    <t>Sheet-Use-Case:</t>
  </si>
  <si>
    <t xml:space="preserve">Purpose: 
This spreadsheet was made to help designers/engineers with some testing requirements based on desired reliability and confidence levels.
</t>
  </si>
  <si>
    <t>Test Start Date</t>
  </si>
  <si>
    <t>YYYY-MM-DD</t>
  </si>
  <si>
    <t>Test End Date</t>
  </si>
  <si>
    <t>Find test time required assuming no failures occur, given a reliabiltiy target and confidence level, a product life time, a beta shape parameter, and the number of samples being used.</t>
  </si>
  <si>
    <t>Find the number of samples required if there are no failures, given a reliabilty target and confidence level, test length allowed, end of product life time, and beta shape parameter. Uses the Chi-Squared distribution method.</t>
  </si>
  <si>
    <t>Find various values given others. Assumes test time is equal to product lifetime at reliability target. Also assumes no failures occur.</t>
  </si>
  <si>
    <t>This sheet is used to make a few different simple calculations, assuming no failures occur. Examples include finding number of samples required. Also has a calculation using beta shape parameter to modify the failure rate distribution based on past historical time to failure.</t>
  </si>
  <si>
    <t>Use Goal Seek  to set this to desirable CL, then vary one of the green inputs (if CL is not the desired output).</t>
  </si>
  <si>
    <t>This sheet is used when needing a parametric binomial reliability.
The calculation gives inputs of reliabiltiy required, time at desired reliability, beta shape paramter, sample size, time available to test, and number of allowable failures (or observed failures) and outputs the confidence level of achieving the desired reliabiltiy. 
However, if one of the inputs is the actual desired output and confidence level desired is known, the goal seek function can be used to vary an input to get the target CL.</t>
  </si>
  <si>
    <t>This sheet is still being worked on, but the goal here is to calculate and graph the probability density and hazard functions, as well as the failure and reliabiltiy functions, by inputing the beta shape paramter, time, etc.</t>
  </si>
  <si>
    <t>This sheet is still being worked on, but the goal here is to calcualte the Mean Time Between Failures (MTBF) from given historical data. The main purpose of this is to see if design updates are improving the reliability.</t>
  </si>
  <si>
    <t>The spreadsheet was made with the intent of going left&gt;right while finding testing needs.</t>
  </si>
  <si>
    <t>To the right of the 'Introduction' sheet are sheets which were made to help find testing needs in terms of time, number of samples, etc.</t>
  </si>
  <si>
    <t>NA</t>
  </si>
  <si>
    <t>Desired Confidence Level</t>
  </si>
  <si>
    <r>
      <t>CL</t>
    </r>
    <r>
      <rPr>
        <vertAlign val="subscript"/>
        <sz val="11"/>
        <color theme="1"/>
        <rFont val="Calibri"/>
        <family val="2"/>
      </rPr>
      <t>desired</t>
    </r>
  </si>
  <si>
    <t>Debug On</t>
  </si>
  <si>
    <t>No</t>
  </si>
  <si>
    <t>Macro Related</t>
  </si>
  <si>
    <t>This sheet is used to find the time needed to test by varying both the number of samples and the number of allowable failures.
This sheet uses the parametric binomial reliabiltiy like the previous sheet, but is setup to use a macro to help populate all the possibilities within the tables.
The inputs are the required reliability and confidence level, end of life of the product (at which reliability must be demonstrated), and the beta shape parameter. The output is a table that shows time required for each sample while varying sample size and number of failures. The headers of the tables can be updated. If the 
Note however that this uses Excel's built-in goal seek function, which has some tolerance associated with it. Times given may not be exact but are close.
To use, fill in the 4 input cells then hit the "Goal Seek" button on the sheet, which should fill in the table info with new values.</t>
  </si>
  <si>
    <t>DRAFTING SHEET</t>
  </si>
  <si>
    <t>Author: J.Williams</t>
  </si>
  <si>
    <t>This sheet is used to input total time needed to test, then the frequency of how often the testing can take place and the total timeline of the test is calculated.
For example, perhaps you need 1000 hours of testing, but can only test 5 days per week, and only for 6 hours per day, and maybe you expect the test rig to be down 5% of the time due to maintenance or some other reason. This sheet would then give you time_testing=1000hr * (5 days / 7 days) * (6 hours / 24 hours) * 0.95 = 8.07 months (245.6 days). You can also input a start date and get an expected end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</si>
</sst>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000%"/>
    <numFmt numFmtId="166" formatCode="0E+00"/>
    <numFmt numFmtId="167" formatCode="0.000%"/>
  </numFmts>
  <fonts count="16" x14ac:knownFonts="1">
    <font>
      <sz val="11"/>
      <color theme="1"/>
      <name val="Calibri"/>
      <family val="2"/>
      <scheme val="minor"/>
    </font>
    <font>
      <sz val="11"/>
      <color theme="1"/>
      <name val="Calibri"/>
      <family val="2"/>
      <scheme val="minor"/>
    </font>
    <font>
      <sz val="9"/>
      <color indexed="81"/>
      <name val="Tahoma"/>
      <family val="2"/>
    </font>
    <font>
      <b/>
      <sz val="9"/>
      <color indexed="81"/>
      <name val="Tahoma"/>
      <family val="2"/>
    </font>
    <font>
      <b/>
      <sz val="11"/>
      <color theme="1"/>
      <name val="Calibri"/>
      <family val="2"/>
      <scheme val="minor"/>
    </font>
    <font>
      <sz val="8"/>
      <color theme="1"/>
      <name val="Calibri"/>
      <family val="2"/>
      <scheme val="minor"/>
    </font>
    <font>
      <vertAlign val="subscript"/>
      <sz val="11"/>
      <color theme="1"/>
      <name val="Calibri"/>
      <family val="2"/>
      <scheme val="minor"/>
    </font>
    <font>
      <sz val="11"/>
      <color theme="1"/>
      <name val="Calibri"/>
      <family val="2"/>
    </font>
    <font>
      <vertAlign val="subscript"/>
      <sz val="11"/>
      <color theme="1"/>
      <name val="Calibri"/>
      <family val="2"/>
    </font>
    <font>
      <i/>
      <sz val="11"/>
      <color theme="1"/>
      <name val="Calibri"/>
      <family val="2"/>
      <scheme val="minor"/>
    </font>
    <font>
      <b/>
      <vertAlign val="subscript"/>
      <sz val="11"/>
      <color theme="1"/>
      <name val="Calibri"/>
      <family val="2"/>
      <scheme val="minor"/>
    </font>
    <font>
      <sz val="11"/>
      <name val="Calibri"/>
      <family val="2"/>
      <scheme val="minor"/>
    </font>
    <font>
      <sz val="10"/>
      <color theme="1"/>
      <name val="Calibri"/>
      <family val="2"/>
      <scheme val="minor"/>
    </font>
    <font>
      <sz val="7"/>
      <color theme="1"/>
      <name val="Calibri"/>
      <family val="2"/>
      <scheme val="minor"/>
    </font>
    <font>
      <sz val="10"/>
      <color theme="0" tint="-0.34998626667073579"/>
      <name val="Calibri"/>
      <family val="2"/>
      <scheme val="minor"/>
    </font>
    <font>
      <sz val="11"/>
      <color rgb="FF000000"/>
      <name val="Calibri"/>
      <family val="2"/>
    </font>
  </fonts>
  <fills count="8">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191">
    <xf numFmtId="0" fontId="0" fillId="0" borderId="0" xfId="0"/>
    <xf numFmtId="0" fontId="0" fillId="0" borderId="1" xfId="0" applyBorder="1"/>
    <xf numFmtId="0" fontId="0" fillId="3" borderId="1" xfId="0" applyFill="1" applyBorder="1"/>
    <xf numFmtId="0" fontId="5" fillId="0" borderId="0" xfId="0" applyFont="1"/>
    <xf numFmtId="0" fontId="0" fillId="0" borderId="2" xfId="0" applyBorder="1"/>
    <xf numFmtId="0" fontId="0" fillId="0" borderId="3" xfId="0" applyBorder="1"/>
    <xf numFmtId="0" fontId="0" fillId="3" borderId="4" xfId="0" applyFill="1" applyBorder="1"/>
    <xf numFmtId="0" fontId="0" fillId="0" borderId="5" xfId="0" applyBorder="1"/>
    <xf numFmtId="0" fontId="0" fillId="3" borderId="6" xfId="0" applyFill="1" applyBorder="1"/>
    <xf numFmtId="0" fontId="0" fillId="0" borderId="7" xfId="0" applyBorder="1"/>
    <xf numFmtId="0" fontId="0" fillId="0" borderId="8" xfId="0" applyBorder="1"/>
    <xf numFmtId="0" fontId="0" fillId="2" borderId="9" xfId="0" applyFill="1" applyBorder="1"/>
    <xf numFmtId="10" fontId="0" fillId="2" borderId="9" xfId="1" applyNumberFormat="1" applyFont="1" applyFill="1" applyBorder="1"/>
    <xf numFmtId="9" fontId="0" fillId="3" borderId="6" xfId="1" applyFont="1" applyFill="1" applyBorder="1"/>
    <xf numFmtId="9" fontId="0" fillId="3" borderId="4" xfId="1" applyFont="1" applyFill="1" applyBorder="1"/>
    <xf numFmtId="10" fontId="0" fillId="3" borderId="6" xfId="1" applyNumberFormat="1" applyFont="1" applyFill="1" applyBorder="1"/>
    <xf numFmtId="0" fontId="0" fillId="0" borderId="16" xfId="0" applyBorder="1"/>
    <xf numFmtId="0" fontId="0" fillId="0" borderId="17" xfId="0" applyBorder="1"/>
    <xf numFmtId="10" fontId="0" fillId="2" borderId="18" xfId="1" applyNumberFormat="1" applyFont="1" applyFill="1" applyBorder="1"/>
    <xf numFmtId="0" fontId="4" fillId="0" borderId="0" xfId="0" applyFont="1"/>
    <xf numFmtId="0" fontId="0" fillId="0" borderId="19" xfId="0" applyBorder="1"/>
    <xf numFmtId="0" fontId="0" fillId="0" borderId="20" xfId="0" applyBorder="1"/>
    <xf numFmtId="10" fontId="0" fillId="3" borderId="4" xfId="1" applyNumberFormat="1" applyFont="1" applyFill="1" applyBorder="1"/>
    <xf numFmtId="0" fontId="0" fillId="0" borderId="6" xfId="0" applyBorder="1"/>
    <xf numFmtId="0" fontId="0" fillId="0" borderId="9" xfId="0" applyBorder="1"/>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7" fillId="0" borderId="0" xfId="0" applyFont="1"/>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0" fillId="0" borderId="5" xfId="0" applyBorder="1" applyAlignment="1">
      <alignment horizontal="center" vertical="center" wrapText="1"/>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4" fillId="0" borderId="0" xfId="0" applyFont="1" applyAlignment="1">
      <alignment horizontal="center" vertical="center" wrapText="1"/>
    </xf>
    <xf numFmtId="0" fontId="0" fillId="3" borderId="25" xfId="0" applyFill="1" applyBorder="1"/>
    <xf numFmtId="0" fontId="4" fillId="0" borderId="1" xfId="0" applyFont="1" applyBorder="1" applyAlignment="1">
      <alignment horizontal="center" vertical="center" wrapText="1"/>
    </xf>
    <xf numFmtId="0" fontId="7" fillId="0" borderId="1" xfId="0" applyFont="1" applyBorder="1"/>
    <xf numFmtId="0" fontId="7" fillId="0" borderId="6" xfId="0" applyFont="1" applyBorder="1"/>
    <xf numFmtId="0" fontId="4" fillId="0" borderId="37" xfId="0" applyFont="1" applyBorder="1" applyAlignment="1">
      <alignment horizontal="center" vertical="center" wrapText="1"/>
    </xf>
    <xf numFmtId="0" fontId="0" fillId="0" borderId="38" xfId="0" applyBorder="1" applyAlignment="1">
      <alignment horizontal="center" vertical="center" wrapText="1"/>
    </xf>
    <xf numFmtId="0" fontId="9" fillId="0" borderId="39" xfId="0" applyFont="1" applyBorder="1" applyAlignment="1">
      <alignment horizontal="center" vertical="center" wrapText="1"/>
    </xf>
    <xf numFmtId="0" fontId="0" fillId="3" borderId="33" xfId="0" applyFill="1" applyBorder="1"/>
    <xf numFmtId="0" fontId="0" fillId="3" borderId="8" xfId="0" applyFill="1" applyBorder="1"/>
    <xf numFmtId="0" fontId="0" fillId="3" borderId="9" xfId="0" applyFill="1" applyBorder="1"/>
    <xf numFmtId="0" fontId="0" fillId="0" borderId="40" xfId="0" applyBorder="1"/>
    <xf numFmtId="0" fontId="0" fillId="0" borderId="4" xfId="0" applyBorder="1"/>
    <xf numFmtId="0" fontId="0" fillId="0" borderId="41" xfId="0" applyBorder="1"/>
    <xf numFmtId="0" fontId="0" fillId="0" borderId="42" xfId="0" applyBorder="1"/>
    <xf numFmtId="9" fontId="0" fillId="0" borderId="0" xfId="1" applyFont="1"/>
    <xf numFmtId="0" fontId="7" fillId="0" borderId="8" xfId="0" applyFont="1" applyBorder="1"/>
    <xf numFmtId="0" fontId="4" fillId="0" borderId="43" xfId="0" applyFont="1" applyBorder="1"/>
    <xf numFmtId="0" fontId="4" fillId="0" borderId="44" xfId="0" applyFont="1" applyBorder="1"/>
    <xf numFmtId="0" fontId="0" fillId="0" borderId="45" xfId="0" applyBorder="1" applyAlignment="1">
      <alignment vertical="center" textRotation="90" wrapText="1"/>
    </xf>
    <xf numFmtId="0" fontId="0" fillId="0" borderId="44" xfId="0" applyBorder="1"/>
    <xf numFmtId="0" fontId="0" fillId="0" borderId="18" xfId="0" applyBorder="1"/>
    <xf numFmtId="0" fontId="0" fillId="0" borderId="26" xfId="0" applyBorder="1"/>
    <xf numFmtId="0" fontId="4" fillId="0" borderId="46" xfId="0" applyFont="1" applyBorder="1"/>
    <xf numFmtId="10" fontId="0" fillId="3" borderId="20" xfId="0" applyNumberFormat="1" applyFill="1" applyBorder="1"/>
    <xf numFmtId="0" fontId="0" fillId="3" borderId="19" xfId="0" applyFill="1" applyBorder="1"/>
    <xf numFmtId="0" fontId="0" fillId="3" borderId="47" xfId="0" applyFill="1" applyBorder="1"/>
    <xf numFmtId="0" fontId="0" fillId="3" borderId="21" xfId="0" applyFill="1" applyBorder="1"/>
    <xf numFmtId="10" fontId="0" fillId="0" borderId="21" xfId="1" applyNumberFormat="1" applyFont="1" applyFill="1" applyBorder="1"/>
    <xf numFmtId="0" fontId="7" fillId="0" borderId="18" xfId="0" applyFont="1" applyBorder="1"/>
    <xf numFmtId="0" fontId="7" fillId="0" borderId="4" xfId="0" applyFont="1" applyBorder="1"/>
    <xf numFmtId="0" fontId="0" fillId="0" borderId="43" xfId="0" applyBorder="1"/>
    <xf numFmtId="0" fontId="11" fillId="3" borderId="20" xfId="0" applyFont="1" applyFill="1" applyBorder="1"/>
    <xf numFmtId="10" fontId="11" fillId="2" borderId="46" xfId="1" applyNumberFormat="1" applyFont="1" applyFill="1" applyBorder="1"/>
    <xf numFmtId="0" fontId="4" fillId="0" borderId="0" xfId="0" applyFont="1" applyAlignment="1">
      <alignment horizontal="center"/>
    </xf>
    <xf numFmtId="164" fontId="0" fillId="0" borderId="0" xfId="1" applyNumberFormat="1" applyFont="1"/>
    <xf numFmtId="10" fontId="0" fillId="0" borderId="0" xfId="1" applyNumberFormat="1" applyFont="1"/>
    <xf numFmtId="165" fontId="0" fillId="0" borderId="0" xfId="0" applyNumberFormat="1"/>
    <xf numFmtId="0" fontId="0" fillId="4" borderId="20" xfId="0" applyFill="1" applyBorder="1"/>
    <xf numFmtId="0" fontId="0" fillId="4" borderId="19" xfId="0" applyFill="1" applyBorder="1"/>
    <xf numFmtId="10" fontId="0" fillId="4" borderId="21" xfId="1" applyNumberFormat="1" applyFont="1" applyFill="1" applyBorder="1"/>
    <xf numFmtId="2" fontId="0" fillId="0" borderId="1" xfId="0" applyNumberFormat="1" applyBorder="1"/>
    <xf numFmtId="164" fontId="11" fillId="2" borderId="46" xfId="1" applyNumberFormat="1" applyFont="1" applyFill="1" applyBorder="1"/>
    <xf numFmtId="0" fontId="0" fillId="3" borderId="0" xfId="0" applyFill="1"/>
    <xf numFmtId="166" fontId="0" fillId="0" borderId="0" xfId="0" applyNumberFormat="1"/>
    <xf numFmtId="0" fontId="4" fillId="0" borderId="8" xfId="0" applyFont="1" applyBorder="1"/>
    <xf numFmtId="0" fontId="4" fillId="0" borderId="9" xfId="0" applyFont="1" applyBorder="1"/>
    <xf numFmtId="0" fontId="12" fillId="5" borderId="0" xfId="0" applyFont="1" applyFill="1"/>
    <xf numFmtId="0" fontId="12" fillId="5" borderId="0" xfId="0" applyFont="1" applyFill="1" applyAlignment="1">
      <alignment horizontal="left"/>
    </xf>
    <xf numFmtId="0" fontId="0" fillId="5" borderId="0" xfId="0" applyFill="1"/>
    <xf numFmtId="14" fontId="0" fillId="3" borderId="3" xfId="0" applyNumberFormat="1" applyFill="1" applyBorder="1"/>
    <xf numFmtId="14" fontId="0" fillId="2" borderId="8" xfId="0" applyNumberFormat="1" applyFill="1" applyBorder="1"/>
    <xf numFmtId="0" fontId="0" fillId="3" borderId="3" xfId="0" applyFill="1" applyBorder="1"/>
    <xf numFmtId="0" fontId="0" fillId="2" borderId="8" xfId="0" applyFill="1" applyBorder="1"/>
    <xf numFmtId="0" fontId="4" fillId="0" borderId="0" xfId="0" applyFont="1" applyAlignment="1">
      <alignment horizontal="center" vertical="center"/>
    </xf>
    <xf numFmtId="0" fontId="4" fillId="0" borderId="7" xfId="0" applyFont="1" applyBorder="1" applyAlignment="1">
      <alignment horizontal="center" vertical="center" wrapText="1"/>
    </xf>
    <xf numFmtId="9" fontId="0" fillId="3" borderId="21" xfId="1" applyFont="1" applyFill="1" applyBorder="1"/>
    <xf numFmtId="0" fontId="7" fillId="0" borderId="9" xfId="0" applyFont="1" applyBorder="1"/>
    <xf numFmtId="0" fontId="11" fillId="6" borderId="49" xfId="0" applyFont="1" applyFill="1" applyBorder="1"/>
    <xf numFmtId="0" fontId="0" fillId="6" borderId="19" xfId="0" applyFill="1" applyBorder="1"/>
    <xf numFmtId="0" fontId="0" fillId="6" borderId="21" xfId="0" applyFill="1" applyBorder="1"/>
    <xf numFmtId="164" fontId="11" fillId="6" borderId="46" xfId="1" applyNumberFormat="1" applyFont="1" applyFill="1" applyBorder="1"/>
    <xf numFmtId="0" fontId="0" fillId="0" borderId="49" xfId="0" applyBorder="1"/>
    <xf numFmtId="167" fontId="0" fillId="0" borderId="49" xfId="1" applyNumberFormat="1" applyFont="1" applyBorder="1"/>
    <xf numFmtId="1" fontId="4" fillId="0" borderId="4" xfId="1" applyNumberFormat="1" applyFont="1" applyBorder="1"/>
    <xf numFmtId="1" fontId="4" fillId="0" borderId="6" xfId="1" applyNumberFormat="1" applyFont="1" applyBorder="1"/>
    <xf numFmtId="1" fontId="4" fillId="0" borderId="9" xfId="1" applyNumberFormat="1" applyFont="1" applyBorder="1"/>
    <xf numFmtId="0" fontId="4" fillId="0" borderId="0" xfId="0" applyFont="1" applyAlignment="1">
      <alignment vertical="center" wrapText="1"/>
    </xf>
    <xf numFmtId="0" fontId="0" fillId="5" borderId="22" xfId="0" applyFill="1" applyBorder="1" applyAlignment="1">
      <alignment horizontal="center"/>
    </xf>
    <xf numFmtId="0" fontId="0" fillId="5" borderId="53" xfId="0" applyFill="1" applyBorder="1" applyAlignment="1">
      <alignment horizontal="center"/>
    </xf>
    <xf numFmtId="0" fontId="0" fillId="5" borderId="51" xfId="0" applyFill="1" applyBorder="1" applyAlignment="1">
      <alignment horizontal="center"/>
    </xf>
    <xf numFmtId="0" fontId="12" fillId="5" borderId="0" xfId="0" applyFont="1" applyFill="1" applyAlignment="1">
      <alignment horizontal="left" vertical="top" wrapText="1"/>
    </xf>
    <xf numFmtId="0" fontId="12" fillId="5" borderId="0" xfId="0" applyFont="1" applyFill="1"/>
    <xf numFmtId="0" fontId="12" fillId="5" borderId="0" xfId="0" applyFont="1" applyFill="1" applyAlignment="1">
      <alignment horizontal="left"/>
    </xf>
    <xf numFmtId="0" fontId="12" fillId="5" borderId="0" xfId="0" applyFont="1" applyFill="1" applyAlignment="1">
      <alignment horizontal="left" wrapText="1"/>
    </xf>
    <xf numFmtId="0" fontId="12" fillId="0" borderId="1" xfId="0" applyFont="1" applyBorder="1" applyAlignment="1">
      <alignment horizontal="left" vertical="top" wrapText="1"/>
    </xf>
    <xf numFmtId="0" fontId="12" fillId="0" borderId="1" xfId="0" applyFont="1" applyBorder="1" applyAlignment="1">
      <alignment horizontal="center" vertical="center" wrapText="1"/>
    </xf>
    <xf numFmtId="0" fontId="12" fillId="5" borderId="1" xfId="0" applyFont="1" applyFill="1" applyBorder="1" applyAlignment="1">
      <alignment horizontal="left" vertical="center" wrapText="1"/>
    </xf>
    <xf numFmtId="0" fontId="12" fillId="5" borderId="1" xfId="0" applyFont="1" applyFill="1" applyBorder="1" applyAlignment="1">
      <alignment horizontal="center" vertical="center" wrapText="1"/>
    </xf>
    <xf numFmtId="0" fontId="14" fillId="0" borderId="1" xfId="0" applyFont="1" applyBorder="1" applyAlignment="1">
      <alignment horizontal="left" vertical="top" wrapText="1"/>
    </xf>
    <xf numFmtId="0" fontId="14" fillId="0" borderId="1" xfId="0" applyFont="1" applyBorder="1" applyAlignment="1">
      <alignment horizontal="center" vertical="center" wrapText="1"/>
    </xf>
    <xf numFmtId="0" fontId="4" fillId="0" borderId="11" xfId="0" applyFont="1" applyBorder="1" applyAlignment="1">
      <alignment horizontal="center"/>
    </xf>
    <xf numFmtId="0" fontId="4" fillId="0" borderId="12"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wrapText="1"/>
    </xf>
    <xf numFmtId="0" fontId="0" fillId="0" borderId="15" xfId="0" applyBorder="1" applyAlignment="1">
      <alignment horizontal="center" vertical="center" textRotation="90" wrapText="1"/>
    </xf>
    <xf numFmtId="0" fontId="0" fillId="0" borderId="0" xfId="0" applyAlignment="1">
      <alignment horizontal="center" vertical="center" wrapText="1"/>
    </xf>
    <xf numFmtId="0" fontId="5" fillId="0" borderId="29" xfId="0" applyFont="1" applyBorder="1" applyAlignment="1">
      <alignment horizontal="center" textRotation="90" wrapText="1"/>
    </xf>
    <xf numFmtId="0" fontId="5" fillId="0" borderId="29" xfId="0" applyFont="1" applyBorder="1" applyAlignment="1">
      <alignment horizontal="left" textRotation="90" wrapText="1"/>
    </xf>
    <xf numFmtId="0" fontId="13" fillId="0" borderId="29" xfId="0" applyFont="1" applyBorder="1" applyAlignment="1">
      <alignment horizontal="left" textRotation="90" wrapText="1"/>
    </xf>
    <xf numFmtId="0" fontId="4" fillId="0" borderId="22" xfId="0" applyFont="1" applyBorder="1" applyAlignment="1">
      <alignment horizontal="center" vertical="center"/>
    </xf>
    <xf numFmtId="0" fontId="4" fillId="0" borderId="23" xfId="0" applyFont="1" applyBorder="1" applyAlignment="1">
      <alignment horizontal="center" vertical="center"/>
    </xf>
    <xf numFmtId="0" fontId="4" fillId="0" borderId="24" xfId="0" applyFont="1" applyBorder="1" applyAlignment="1">
      <alignment horizontal="center" vertical="center"/>
    </xf>
    <xf numFmtId="0" fontId="0" fillId="0" borderId="0" xfId="0" applyAlignment="1">
      <alignment horizontal="center"/>
    </xf>
    <xf numFmtId="0" fontId="0" fillId="0" borderId="26" xfId="0" applyBorder="1" applyAlignment="1">
      <alignment horizontal="center" vertical="center" textRotation="90" wrapText="1"/>
    </xf>
    <xf numFmtId="0" fontId="0" fillId="0" borderId="10" xfId="0" applyBorder="1" applyAlignment="1">
      <alignment horizontal="center" vertical="center" textRotation="90" wrapText="1"/>
    </xf>
    <xf numFmtId="0" fontId="4" fillId="0" borderId="15" xfId="0" applyFont="1" applyBorder="1" applyAlignment="1">
      <alignment horizontal="center" vertical="center" wrapText="1"/>
    </xf>
    <xf numFmtId="0" fontId="4" fillId="0" borderId="10" xfId="0" applyFont="1" applyBorder="1" applyAlignment="1">
      <alignment horizontal="center" vertical="center" wrapText="1"/>
    </xf>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12" xfId="0" applyBorder="1" applyAlignment="1">
      <alignment horizontal="center" vertical="center" textRotation="90" wrapText="1"/>
    </xf>
    <xf numFmtId="0" fontId="0" fillId="0" borderId="13" xfId="0" applyBorder="1" applyAlignment="1">
      <alignment horizontal="center" vertical="center" textRotation="90" wrapText="1"/>
    </xf>
    <xf numFmtId="0" fontId="0" fillId="0" borderId="14" xfId="0" applyBorder="1" applyAlignment="1">
      <alignment horizontal="center" vertical="center" textRotation="90" wrapText="1"/>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4" fillId="0" borderId="0" xfId="0" applyFont="1" applyAlignment="1">
      <alignment horizontal="center" vertical="center" wrapText="1"/>
    </xf>
    <xf numFmtId="0" fontId="0" fillId="0" borderId="2" xfId="0" applyBorder="1" applyAlignment="1">
      <alignment horizontal="center" vertical="center" textRotation="90" wrapText="1"/>
    </xf>
    <xf numFmtId="0" fontId="0" fillId="0" borderId="5" xfId="0" applyBorder="1" applyAlignment="1">
      <alignment horizontal="center" vertical="center" textRotation="90" wrapText="1"/>
    </xf>
    <xf numFmtId="0" fontId="0" fillId="0" borderId="7" xfId="0" applyBorder="1" applyAlignment="1">
      <alignment horizontal="center" vertical="center" textRotation="90" wrapText="1"/>
    </xf>
    <xf numFmtId="0" fontId="4" fillId="0" borderId="2" xfId="0" applyFont="1" applyBorder="1" applyAlignment="1">
      <alignment horizontal="center" vertical="center" textRotation="90" wrapText="1"/>
    </xf>
    <xf numFmtId="0" fontId="4" fillId="0" borderId="5" xfId="0" applyFont="1" applyBorder="1" applyAlignment="1">
      <alignment horizontal="center" vertical="center" textRotation="90" wrapText="1"/>
    </xf>
    <xf numFmtId="0" fontId="4" fillId="0" borderId="7" xfId="0" applyFont="1" applyBorder="1" applyAlignment="1">
      <alignment horizontal="center" vertical="center" textRotation="90" wrapText="1"/>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26" xfId="0" applyFont="1" applyBorder="1" applyAlignment="1">
      <alignment horizontal="center" vertical="center" wrapText="1"/>
    </xf>
    <xf numFmtId="0" fontId="4" fillId="0" borderId="52" xfId="0" applyFont="1" applyBorder="1" applyAlignment="1">
      <alignment horizontal="center" vertical="center" wrapText="1"/>
    </xf>
    <xf numFmtId="0" fontId="5" fillId="0" borderId="26" xfId="0" applyFont="1" applyBorder="1" applyAlignment="1">
      <alignment horizontal="left" vertical="center" wrapText="1"/>
    </xf>
    <xf numFmtId="0" fontId="5" fillId="0" borderId="27" xfId="0" applyFont="1" applyBorder="1" applyAlignment="1">
      <alignment horizontal="left" vertical="center" wrapText="1"/>
    </xf>
    <xf numFmtId="0" fontId="5" fillId="0" borderId="28" xfId="0" applyFont="1" applyBorder="1" applyAlignment="1">
      <alignment horizontal="left" vertical="center" wrapText="1"/>
    </xf>
    <xf numFmtId="0" fontId="5" fillId="0" borderId="31" xfId="0" applyFont="1" applyBorder="1" applyAlignment="1">
      <alignment horizontal="left" vertical="center" wrapText="1"/>
    </xf>
    <xf numFmtId="0" fontId="0" fillId="0" borderId="27"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167" fontId="0" fillId="0" borderId="20" xfId="1" applyNumberFormat="1" applyFont="1" applyBorder="1"/>
    <xf numFmtId="167" fontId="0" fillId="0" borderId="54" xfId="1" applyNumberFormat="1" applyFont="1" applyBorder="1"/>
    <xf numFmtId="167" fontId="0" fillId="0" borderId="31" xfId="1" applyNumberFormat="1" applyFont="1" applyBorder="1"/>
    <xf numFmtId="167" fontId="0" fillId="0" borderId="55" xfId="1" applyNumberFormat="1" applyFont="1" applyBorder="1"/>
    <xf numFmtId="167" fontId="0" fillId="0" borderId="30" xfId="1" applyNumberFormat="1" applyFont="1" applyBorder="1"/>
    <xf numFmtId="0" fontId="0" fillId="0" borderId="54" xfId="0" applyBorder="1"/>
    <xf numFmtId="0" fontId="0" fillId="0" borderId="31" xfId="0" applyBorder="1"/>
    <xf numFmtId="0" fontId="0" fillId="0" borderId="24" xfId="0" applyBorder="1"/>
    <xf numFmtId="0" fontId="0" fillId="0" borderId="55" xfId="0" applyBorder="1"/>
    <xf numFmtId="0" fontId="0" fillId="0" borderId="30" xfId="0" applyBorder="1"/>
    <xf numFmtId="0" fontId="0" fillId="0" borderId="0" xfId="0" applyFill="1" applyBorder="1"/>
    <xf numFmtId="0" fontId="4" fillId="0" borderId="34" xfId="0" applyFont="1" applyBorder="1" applyAlignment="1">
      <alignment horizontal="center" vertical="center"/>
    </xf>
    <xf numFmtId="0" fontId="0" fillId="3" borderId="36" xfId="0" applyFill="1" applyBorder="1" applyAlignment="1">
      <alignment horizontal="center" vertical="center"/>
    </xf>
    <xf numFmtId="0" fontId="4" fillId="0" borderId="22" xfId="0" applyFont="1" applyBorder="1"/>
    <xf numFmtId="0" fontId="4" fillId="0" borderId="51" xfId="0" applyFont="1" applyBorder="1"/>
    <xf numFmtId="0" fontId="4" fillId="0" borderId="56" xfId="0" applyFont="1" applyBorder="1"/>
    <xf numFmtId="0" fontId="0" fillId="0" borderId="10" xfId="0" applyBorder="1"/>
    <xf numFmtId="0" fontId="7" fillId="0" borderId="57" xfId="0" applyFont="1" applyBorder="1"/>
    <xf numFmtId="0" fontId="0" fillId="0" borderId="57" xfId="0" applyBorder="1"/>
    <xf numFmtId="0" fontId="0" fillId="3" borderId="11" xfId="0" applyFill="1" applyBorder="1" applyAlignment="1">
      <alignment horizontal="right"/>
    </xf>
    <xf numFmtId="0" fontId="0" fillId="7" borderId="0" xfId="0" applyFill="1"/>
    <xf numFmtId="0" fontId="4" fillId="0" borderId="48" xfId="0" applyFont="1" applyBorder="1" applyAlignment="1">
      <alignment horizontal="center" vertical="center"/>
    </xf>
    <xf numFmtId="0" fontId="0" fillId="3" borderId="50" xfId="0" applyFill="1" applyBorder="1" applyAlignment="1">
      <alignment horizontal="center" vertical="center"/>
    </xf>
    <xf numFmtId="0" fontId="0" fillId="4" borderId="35" xfId="0" applyFill="1" applyBorder="1" applyAlignment="1">
      <alignment horizontal="center" vertical="center"/>
    </xf>
    <xf numFmtId="0" fontId="0" fillId="2" borderId="36" xfId="0" applyFill="1" applyBorder="1" applyAlignment="1">
      <alignment horizontal="center" vertical="center"/>
    </xf>
  </cellXfs>
  <cellStyles count="2">
    <cellStyle name="Normal" xfId="0" builtinId="0"/>
    <cellStyle name="Percent" xfId="1" builtinId="5"/>
  </cellStyles>
  <dxfs count="2">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Time Required</a:t>
            </a:r>
            <a:r>
              <a:rPr lang="en-US" baseline="0"/>
              <a:t> to Test</a:t>
            </a:r>
          </a:p>
          <a:p>
            <a:pPr>
              <a:defRPr/>
            </a:pPr>
            <a:r>
              <a:rPr lang="en-US" baseline="0"/>
              <a:t>to Reach Reliability</a:t>
            </a:r>
            <a:br>
              <a:rPr lang="en-US" baseline="0"/>
            </a:br>
            <a:r>
              <a:rPr lang="en-US" baseline="0"/>
              <a:t>(Assumes zero failures occurs)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'1-Simple Reliability Confidence'!$I$68</c:f>
              <c:strCache>
                <c:ptCount val="1"/>
                <c:pt idx="0">
                  <c:v>Test Time</c:v>
                </c:pt>
              </c:strCache>
            </c:strRef>
          </c:tx>
          <c:spPr>
            <a:ln w="19050" cap="rnd">
              <a:solidFill>
                <a:schemeClr val="accent1"/>
              </a:solidFill>
              <a:round/>
            </a:ln>
            <a:effectLst/>
          </c:spPr>
          <c:marker>
            <c:symbol val="none"/>
          </c:marker>
          <c:xVal>
            <c:numRef>
              <c:f>'1-Simple Reliability Confidence'!$H$69:$H$82</c:f>
              <c:numCache>
                <c:formatCode>General</c:formatCode>
                <c:ptCount val="14"/>
                <c:pt idx="1">
                  <c:v>0.5</c:v>
                </c:pt>
                <c:pt idx="2">
                  <c:v>0.6</c:v>
                </c:pt>
                <c:pt idx="3">
                  <c:v>0.7</c:v>
                </c:pt>
                <c:pt idx="4">
                  <c:v>0.8</c:v>
                </c:pt>
                <c:pt idx="5">
                  <c:v>0.9</c:v>
                </c:pt>
                <c:pt idx="6">
                  <c:v>0.95</c:v>
                </c:pt>
                <c:pt idx="7">
                  <c:v>0.98</c:v>
                </c:pt>
                <c:pt idx="8">
                  <c:v>0.99</c:v>
                </c:pt>
                <c:pt idx="9">
                  <c:v>0.99299999999999999</c:v>
                </c:pt>
                <c:pt idx="10">
                  <c:v>0.995</c:v>
                </c:pt>
                <c:pt idx="11">
                  <c:v>0.998</c:v>
                </c:pt>
                <c:pt idx="12">
                  <c:v>0.999</c:v>
                </c:pt>
                <c:pt idx="13">
                  <c:v>0.999</c:v>
                </c:pt>
              </c:numCache>
            </c:numRef>
          </c:xVal>
          <c:yVal>
            <c:numRef>
              <c:f>'1-Simple Reliability Confidence'!$I$69:$I$82</c:f>
              <c:numCache>
                <c:formatCode>General</c:formatCode>
                <c:ptCount val="14"/>
                <c:pt idx="0">
                  <c:v>2652.8840688964269</c:v>
                </c:pt>
                <c:pt idx="1">
                  <c:v>1376.677256524687</c:v>
                </c:pt>
                <c:pt idx="2">
                  <c:v>1438.0310058905977</c:v>
                </c:pt>
                <c:pt idx="3">
                  <c:v>1513.7493676944994</c:v>
                </c:pt>
                <c:pt idx="4">
                  <c:v>1618.6475630942584</c:v>
                </c:pt>
                <c:pt idx="5">
                  <c:v>1801.8156820980653</c:v>
                </c:pt>
                <c:pt idx="6">
                  <c:v>1996.9628053903939</c:v>
                </c:pt>
                <c:pt idx="7">
                  <c:v>2281.2730223529684</c:v>
                </c:pt>
                <c:pt idx="8">
                  <c:v>2520.5521817579693</c:v>
                </c:pt>
                <c:pt idx="9">
                  <c:v>2652.8840688964269</c:v>
                </c:pt>
                <c:pt idx="10">
                  <c:v>2783.9155662633316</c:v>
                </c:pt>
                <c:pt idx="11">
                  <c:v>3173.9345543539307</c:v>
                </c:pt>
                <c:pt idx="12">
                  <c:v>3504.5584885388148</c:v>
                </c:pt>
                <c:pt idx="13">
                  <c:v>3504.5584885388148</c:v>
                </c:pt>
              </c:numCache>
            </c:numRef>
          </c:yVal>
          <c:smooth val="1"/>
          <c:extLst>
            <c:ext xmlns:c16="http://schemas.microsoft.com/office/drawing/2014/chart" uri="{C3380CC4-5D6E-409C-BE32-E72D297353CC}">
              <c16:uniqueId val="{00000000-EA87-4606-8A76-10F6B2C964AC}"/>
            </c:ext>
          </c:extLst>
        </c:ser>
        <c:dLbls>
          <c:showLegendKey val="0"/>
          <c:showVal val="0"/>
          <c:showCatName val="0"/>
          <c:showSerName val="0"/>
          <c:showPercent val="0"/>
          <c:showBubbleSize val="0"/>
        </c:dLbls>
        <c:axId val="773212991"/>
        <c:axId val="773212511"/>
      </c:scatterChart>
      <c:valAx>
        <c:axId val="773212991"/>
        <c:scaling>
          <c:orientation val="minMax"/>
          <c:max val="1"/>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Reliability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511"/>
        <c:crosses val="autoZero"/>
        <c:crossBetween val="midCat"/>
      </c:valAx>
      <c:valAx>
        <c:axId val="773212511"/>
        <c:scaling>
          <c:orientation val="minMax"/>
          <c:min val="1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Testing Time [hrs]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Confidence Level of</a:t>
            </a:r>
            <a:r>
              <a:rPr lang="en-US" baseline="0"/>
              <a:t> Achieving Reliabiltiy Target of 99.3% vs Hours Tested (Uses Data in E24:E28)</a:t>
            </a:r>
            <a:br>
              <a:rPr lang="en-US" baseline="0"/>
            </a:br>
            <a:r>
              <a:rPr lang="en-US" baseline="0"/>
              <a:t>(Assumes zero failures occurs)</a:t>
            </a:r>
            <a:endParaRPr lang="en-US"/>
          </a:p>
        </c:rich>
      </c:tx>
      <c:layout>
        <c:manualLayout>
          <c:xMode val="edge"/>
          <c:yMode val="edge"/>
          <c:x val="0.13411214144017772"/>
          <c:y val="3.0028467933379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'1-Simple Reliability Confidence'!$I$68</c:f>
              <c:strCache>
                <c:ptCount val="1"/>
                <c:pt idx="0">
                  <c:v>Test Time</c:v>
                </c:pt>
              </c:strCache>
            </c:strRef>
          </c:tx>
          <c:spPr>
            <a:ln w="19050" cap="rnd">
              <a:solidFill>
                <a:schemeClr val="accent1"/>
              </a:solidFill>
              <a:round/>
            </a:ln>
            <a:effectLst/>
          </c:spPr>
          <c:marker>
            <c:symbol val="none"/>
          </c:marker>
          <c:xVal>
            <c:numRef>
              <c:f>'1-Simple Reliability Confidence'!$J$69:$J$82</c:f>
              <c:numCache>
                <c:formatCode>General</c:formatCode>
                <c:ptCount val="14"/>
                <c:pt idx="1">
                  <c:v>0.1</c:v>
                </c:pt>
                <c:pt idx="2">
                  <c:v>0.2</c:v>
                </c:pt>
                <c:pt idx="3">
                  <c:v>0.3</c:v>
                </c:pt>
                <c:pt idx="4">
                  <c:v>0.4</c:v>
                </c:pt>
                <c:pt idx="5">
                  <c:v>0.5</c:v>
                </c:pt>
                <c:pt idx="6">
                  <c:v>0.6</c:v>
                </c:pt>
                <c:pt idx="7">
                  <c:v>0.7</c:v>
                </c:pt>
                <c:pt idx="8">
                  <c:v>0.75</c:v>
                </c:pt>
                <c:pt idx="9">
                  <c:v>0.8</c:v>
                </c:pt>
                <c:pt idx="10">
                  <c:v>0.85</c:v>
                </c:pt>
                <c:pt idx="11">
                  <c:v>0.9</c:v>
                </c:pt>
                <c:pt idx="12">
                  <c:v>0.95</c:v>
                </c:pt>
                <c:pt idx="13">
                  <c:v>0.98</c:v>
                </c:pt>
              </c:numCache>
            </c:numRef>
          </c:xVal>
          <c:yVal>
            <c:numRef>
              <c:f>'1-Simple Reliability Confidence'!$K$69:$K$82</c:f>
              <c:numCache>
                <c:formatCode>General</c:formatCode>
                <c:ptCount val="14"/>
                <c:pt idx="0">
                  <c:v>2652.8840688964269</c:v>
                </c:pt>
                <c:pt idx="1">
                  <c:v>1797.1152826183845</c:v>
                </c:pt>
                <c:pt idx="2">
                  <c:v>2000.4790249521041</c:v>
                </c:pt>
                <c:pt idx="3">
                  <c:v>2139.1060950146666</c:v>
                </c:pt>
                <c:pt idx="4">
                  <c:v>2251.7389997126716</c:v>
                </c:pt>
                <c:pt idx="5">
                  <c:v>2352.0912279281456</c:v>
                </c:pt>
                <c:pt idx="6">
                  <c:v>2447.7641335964217</c:v>
                </c:pt>
                <c:pt idx="7">
                  <c:v>2545.1304695358072</c:v>
                </c:pt>
                <c:pt idx="8">
                  <c:v>2596.9192599596263</c:v>
                </c:pt>
                <c:pt idx="9">
                  <c:v>2652.8840688964269</c:v>
                </c:pt>
                <c:pt idx="10">
                  <c:v>2715.9464984881356</c:v>
                </c:pt>
                <c:pt idx="11">
                  <c:v>2792.1482943208366</c:v>
                </c:pt>
                <c:pt idx="12">
                  <c:v>2899.11363807822</c:v>
                </c:pt>
                <c:pt idx="13">
                  <c:v>3011.772430735492</c:v>
                </c:pt>
              </c:numCache>
            </c:numRef>
          </c:yVal>
          <c:smooth val="1"/>
          <c:extLst>
            <c:ext xmlns:c16="http://schemas.microsoft.com/office/drawing/2014/chart" uri="{C3380CC4-5D6E-409C-BE32-E72D297353CC}">
              <c16:uniqueId val="{00000000-9F69-49DD-B084-D19A0EC63D8C}"/>
            </c:ext>
          </c:extLst>
        </c:ser>
        <c:dLbls>
          <c:showLegendKey val="0"/>
          <c:showVal val="0"/>
          <c:showCatName val="0"/>
          <c:showSerName val="0"/>
          <c:showPercent val="0"/>
          <c:showBubbleSize val="0"/>
        </c:dLbls>
        <c:axId val="773212991"/>
        <c:axId val="773212511"/>
      </c:scatterChart>
      <c:valAx>
        <c:axId val="773212991"/>
        <c:scaling>
          <c:orientation val="minMax"/>
          <c:max val="1"/>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Confidence Level</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511"/>
        <c:crosses val="autoZero"/>
        <c:crossBetween val="midCat"/>
      </c:valAx>
      <c:valAx>
        <c:axId val="773212511"/>
        <c:scaling>
          <c:orientation val="minMax"/>
          <c:min val="1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Testing Time [hrs]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X: End of Life can say we meet Reliabity at CL given, with n number of samples and Beta value</a:t>
            </a:r>
          </a:p>
          <a:p>
            <a:pPr>
              <a:defRPr/>
            </a:pPr>
            <a:r>
              <a:rPr lang="en-US" baseline="0"/>
              <a:t>Y: Number of Hours required to test w/out failure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'1-Simple Reliability Confidence'!$M$68</c:f>
              <c:strCache>
                <c:ptCount val="1"/>
                <c:pt idx="0">
                  <c:v>Test Time</c:v>
                </c:pt>
              </c:strCache>
            </c:strRef>
          </c:tx>
          <c:spPr>
            <a:ln w="19050" cap="rnd">
              <a:solidFill>
                <a:schemeClr val="accent1"/>
              </a:solidFill>
              <a:round/>
            </a:ln>
            <a:effectLst/>
          </c:spPr>
          <c:marker>
            <c:symbol val="none"/>
          </c:marker>
          <c:xVal>
            <c:numRef>
              <c:f>'1-Simple Reliability Confidence'!$L$69:$L$82</c:f>
              <c:numCache>
                <c:formatCode>General</c:formatCode>
                <c:ptCount val="14"/>
                <c:pt idx="1">
                  <c:v>100</c:v>
                </c:pt>
                <c:pt idx="2">
                  <c:v>250</c:v>
                </c:pt>
                <c:pt idx="3">
                  <c:v>500</c:v>
                </c:pt>
                <c:pt idx="4">
                  <c:v>750</c:v>
                </c:pt>
                <c:pt idx="5">
                  <c:v>1000</c:v>
                </c:pt>
                <c:pt idx="6">
                  <c:v>1250</c:v>
                </c:pt>
                <c:pt idx="7">
                  <c:v>1370</c:v>
                </c:pt>
                <c:pt idx="8">
                  <c:v>1500</c:v>
                </c:pt>
                <c:pt idx="9">
                  <c:v>1750</c:v>
                </c:pt>
                <c:pt idx="10">
                  <c:v>2000</c:v>
                </c:pt>
                <c:pt idx="11">
                  <c:v>2500</c:v>
                </c:pt>
                <c:pt idx="12">
                  <c:v>3000</c:v>
                </c:pt>
                <c:pt idx="13">
                  <c:v>4000</c:v>
                </c:pt>
              </c:numCache>
            </c:numRef>
          </c:xVal>
          <c:yVal>
            <c:numRef>
              <c:f>'1-Simple Reliability Confidence'!$M$69:$M$82</c:f>
              <c:numCache>
                <c:formatCode>General</c:formatCode>
                <c:ptCount val="14"/>
                <c:pt idx="0">
                  <c:v>2652.8840688964269</c:v>
                </c:pt>
                <c:pt idx="1">
                  <c:v>185.77619530087026</c:v>
                </c:pt>
                <c:pt idx="2">
                  <c:v>464.44048825217561</c:v>
                </c:pt>
                <c:pt idx="3">
                  <c:v>928.88097650435122</c:v>
                </c:pt>
                <c:pt idx="4">
                  <c:v>1393.3214647565269</c:v>
                </c:pt>
                <c:pt idx="5">
                  <c:v>1857.7619530087024</c:v>
                </c:pt>
                <c:pt idx="6">
                  <c:v>2322.2024412608785</c:v>
                </c:pt>
                <c:pt idx="7">
                  <c:v>2545.1338756219225</c:v>
                </c:pt>
                <c:pt idx="8">
                  <c:v>2786.6429295130538</c:v>
                </c:pt>
                <c:pt idx="9">
                  <c:v>3251.0834177652291</c:v>
                </c:pt>
                <c:pt idx="10">
                  <c:v>3715.5239060174049</c:v>
                </c:pt>
                <c:pt idx="11">
                  <c:v>4644.4048825217569</c:v>
                </c:pt>
                <c:pt idx="12">
                  <c:v>5573.2858590261076</c:v>
                </c:pt>
                <c:pt idx="13">
                  <c:v>7431.0478120348098</c:v>
                </c:pt>
              </c:numCache>
            </c:numRef>
          </c:yVal>
          <c:smooth val="1"/>
          <c:extLst>
            <c:ext xmlns:c16="http://schemas.microsoft.com/office/drawing/2014/chart" uri="{C3380CC4-5D6E-409C-BE32-E72D297353CC}">
              <c16:uniqueId val="{00000000-AAF3-4529-AE0D-81F1320C01EC}"/>
            </c:ext>
          </c:extLst>
        </c:ser>
        <c:dLbls>
          <c:showLegendKey val="0"/>
          <c:showVal val="0"/>
          <c:showCatName val="0"/>
          <c:showSerName val="0"/>
          <c:showPercent val="0"/>
          <c:showBubbleSize val="0"/>
        </c:dLbls>
        <c:axId val="773212991"/>
        <c:axId val="773212511"/>
      </c:scatterChart>
      <c:valAx>
        <c:axId val="77321299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End of Life</a:t>
                </a:r>
                <a:r>
                  <a:rPr lang="en-US" baseline="0"/>
                  <a:t> [hrs]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511"/>
        <c:crosses val="autoZero"/>
        <c:crossBetween val="midCat"/>
      </c:valAx>
      <c:valAx>
        <c:axId val="773212511"/>
        <c:scaling>
          <c:orientation val="minMax"/>
          <c:min val="1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Testing time [hrs]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Testing Time Required vs Beta Parameter to Meet Reliability Goals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'1-Simple Reliability Confidence'!$O$68</c:f>
              <c:strCache>
                <c:ptCount val="1"/>
                <c:pt idx="0">
                  <c:v>Test Time</c:v>
                </c:pt>
              </c:strCache>
            </c:strRef>
          </c:tx>
          <c:spPr>
            <a:ln w="19050" cap="rnd">
              <a:solidFill>
                <a:schemeClr val="accent1"/>
              </a:solidFill>
              <a:round/>
            </a:ln>
            <a:effectLst/>
          </c:spPr>
          <c:marker>
            <c:symbol val="none"/>
          </c:marker>
          <c:xVal>
            <c:numRef>
              <c:f>'1-Simple Reliability Confidence'!$N$69:$N$82</c:f>
              <c:numCache>
                <c:formatCode>General</c:formatCode>
                <c:ptCount val="14"/>
                <c:pt idx="1">
                  <c:v>0.75</c:v>
                </c:pt>
                <c:pt idx="2">
                  <c:v>1</c:v>
                </c:pt>
                <c:pt idx="3">
                  <c:v>1.25</c:v>
                </c:pt>
                <c:pt idx="4">
                  <c:v>1.5</c:v>
                </c:pt>
                <c:pt idx="5">
                  <c:v>1.75</c:v>
                </c:pt>
                <c:pt idx="6">
                  <c:v>2</c:v>
                </c:pt>
                <c:pt idx="7">
                  <c:v>2.5</c:v>
                </c:pt>
                <c:pt idx="8">
                  <c:v>3</c:v>
                </c:pt>
                <c:pt idx="9">
                  <c:v>4</c:v>
                </c:pt>
                <c:pt idx="10">
                  <c:v>5</c:v>
                </c:pt>
                <c:pt idx="11">
                  <c:v>6</c:v>
                </c:pt>
                <c:pt idx="12">
                  <c:v>7</c:v>
                </c:pt>
                <c:pt idx="13">
                  <c:v>8</c:v>
                </c:pt>
              </c:numCache>
            </c:numRef>
          </c:xVal>
          <c:yVal>
            <c:numRef>
              <c:f>'1-Simple Reliability Confidence'!$O$69:$O$82</c:f>
              <c:numCache>
                <c:formatCode>General</c:formatCode>
                <c:ptCount val="14"/>
                <c:pt idx="0">
                  <c:v>2652.8840688964269</c:v>
                </c:pt>
                <c:pt idx="1">
                  <c:v>462702.81394664617</c:v>
                </c:pt>
                <c:pt idx="2">
                  <c:v>109058.28336402477</c:v>
                </c:pt>
                <c:pt idx="3">
                  <c:v>45821.844522404819</c:v>
                </c:pt>
                <c:pt idx="4">
                  <c:v>25704.855928711419</c:v>
                </c:pt>
                <c:pt idx="5">
                  <c:v>17009.379251389906</c:v>
                </c:pt>
                <c:pt idx="6">
                  <c:v>12479.392158427727</c:v>
                </c:pt>
                <c:pt idx="7">
                  <c:v>8089.1034100198076</c:v>
                </c:pt>
                <c:pt idx="8">
                  <c:v>6058.5917725326162</c:v>
                </c:pt>
                <c:pt idx="9">
                  <c:v>4221.4419340119784</c:v>
                </c:pt>
                <c:pt idx="10">
                  <c:v>3398.7114719417245</c:v>
                </c:pt>
                <c:pt idx="11">
                  <c:v>2941.3719674968979</c:v>
                </c:pt>
                <c:pt idx="12">
                  <c:v>2652.8840688964269</c:v>
                </c:pt>
                <c:pt idx="13">
                  <c:v>2455.2431817987203</c:v>
                </c:pt>
              </c:numCache>
            </c:numRef>
          </c:yVal>
          <c:smooth val="1"/>
          <c:extLst>
            <c:ext xmlns:c16="http://schemas.microsoft.com/office/drawing/2014/chart" uri="{C3380CC4-5D6E-409C-BE32-E72D297353CC}">
              <c16:uniqueId val="{00000000-BA51-4B45-8429-9FBB93D8299A}"/>
            </c:ext>
          </c:extLst>
        </c:ser>
        <c:dLbls>
          <c:showLegendKey val="0"/>
          <c:showVal val="0"/>
          <c:showCatName val="0"/>
          <c:showSerName val="0"/>
          <c:showPercent val="0"/>
          <c:showBubbleSize val="0"/>
        </c:dLbls>
        <c:axId val="773212991"/>
        <c:axId val="773212511"/>
      </c:scatterChart>
      <c:valAx>
        <c:axId val="773212991"/>
        <c:scaling>
          <c:orientation val="minMax"/>
          <c:max val="8"/>
          <c:min val="0.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Beta Parameter [-</a:t>
                </a:r>
                <a:r>
                  <a:rPr lang="en-US" baseline="0"/>
                  <a:t>] </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511"/>
        <c:crosses val="autoZero"/>
        <c:crossBetween val="midCat"/>
        <c:majorUnit val="0.5"/>
      </c:valAx>
      <c:valAx>
        <c:axId val="773212511"/>
        <c:scaling>
          <c:orientation val="minMax"/>
          <c:max val="1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Testing time [hrs]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Testing Time Required vs Number of Samples (with Zero-Failures)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'1-Simple Reliability Confidence'!$Q$68</c:f>
              <c:strCache>
                <c:ptCount val="1"/>
                <c:pt idx="0">
                  <c:v>Test Time</c:v>
                </c:pt>
              </c:strCache>
            </c:strRef>
          </c:tx>
          <c:spPr>
            <a:ln w="19050" cap="rnd">
              <a:solidFill>
                <a:schemeClr val="accent1"/>
              </a:solidFill>
              <a:round/>
            </a:ln>
            <a:effectLst/>
          </c:spPr>
          <c:marker>
            <c:symbol val="none"/>
          </c:marker>
          <c:xVal>
            <c:numRef>
              <c:f>'1-Simple Reliability Confidence'!$P$70:$P$90</c:f>
              <c:numCache>
                <c:formatCode>General</c:formatCode>
                <c:ptCount val="21"/>
                <c:pt idx="0">
                  <c:v>1</c:v>
                </c:pt>
                <c:pt idx="1">
                  <c:v>2</c:v>
                </c:pt>
                <c:pt idx="2">
                  <c:v>3</c:v>
                </c:pt>
                <c:pt idx="3">
                  <c:v>4</c:v>
                </c:pt>
                <c:pt idx="4">
                  <c:v>5</c:v>
                </c:pt>
                <c:pt idx="5">
                  <c:v>6</c:v>
                </c:pt>
                <c:pt idx="6">
                  <c:v>7</c:v>
                </c:pt>
                <c:pt idx="7">
                  <c:v>8</c:v>
                </c:pt>
                <c:pt idx="8">
                  <c:v>9</c:v>
                </c:pt>
                <c:pt idx="9">
                  <c:v>10</c:v>
                </c:pt>
                <c:pt idx="10">
                  <c:v>12</c:v>
                </c:pt>
                <c:pt idx="11">
                  <c:v>15</c:v>
                </c:pt>
                <c:pt idx="12">
                  <c:v>20</c:v>
                </c:pt>
                <c:pt idx="13">
                  <c:v>25</c:v>
                </c:pt>
                <c:pt idx="14">
                  <c:v>30</c:v>
                </c:pt>
                <c:pt idx="15">
                  <c:v>50</c:v>
                </c:pt>
                <c:pt idx="16">
                  <c:v>75</c:v>
                </c:pt>
                <c:pt idx="17">
                  <c:v>100</c:v>
                </c:pt>
                <c:pt idx="18">
                  <c:v>150</c:v>
                </c:pt>
                <c:pt idx="19">
                  <c:v>200</c:v>
                </c:pt>
                <c:pt idx="20">
                  <c:v>500</c:v>
                </c:pt>
              </c:numCache>
            </c:numRef>
          </c:xVal>
          <c:yVal>
            <c:numRef>
              <c:f>'1-Simple Reliability Confidence'!$Q$70:$Q$90</c:f>
              <c:numCache>
                <c:formatCode>General</c:formatCode>
                <c:ptCount val="21"/>
                <c:pt idx="0">
                  <c:v>3103.6908148785687</c:v>
                </c:pt>
                <c:pt idx="1">
                  <c:v>2811.0862175940479</c:v>
                </c:pt>
                <c:pt idx="2">
                  <c:v>2652.8840688964269</c:v>
                </c:pt>
                <c:pt idx="3">
                  <c:v>2546.0673095610468</c:v>
                </c:pt>
                <c:pt idx="4">
                  <c:v>2466.1846664994882</c:v>
                </c:pt>
                <c:pt idx="5">
                  <c:v>2402.7798797482142</c:v>
                </c:pt>
                <c:pt idx="6">
                  <c:v>2350.4453588394258</c:v>
                </c:pt>
                <c:pt idx="7">
                  <c:v>2306.033413078178</c:v>
                </c:pt>
                <c:pt idx="8">
                  <c:v>2267.5563716806032</c:v>
                </c:pt>
                <c:pt idx="9">
                  <c:v>2233.6818128933774</c:v>
                </c:pt>
                <c:pt idx="10">
                  <c:v>2176.2545971051413</c:v>
                </c:pt>
                <c:pt idx="11">
                  <c:v>2107.974796119991</c:v>
                </c:pt>
                <c:pt idx="12">
                  <c:v>2023.0984763734355</c:v>
                </c:pt>
                <c:pt idx="13">
                  <c:v>1959.6239355159962</c:v>
                </c:pt>
                <c:pt idx="14">
                  <c:v>1909.2426565177598</c:v>
                </c:pt>
                <c:pt idx="15">
                  <c:v>1774.877771454806</c:v>
                </c:pt>
                <c:pt idx="16">
                  <c:v>1674.991302173861</c:v>
                </c:pt>
                <c:pt idx="17">
                  <c:v>1607.5487987826034</c:v>
                </c:pt>
                <c:pt idx="18">
                  <c:v>1517.0792598150817</c:v>
                </c:pt>
                <c:pt idx="19">
                  <c:v>1455.9949885164212</c:v>
                </c:pt>
                <c:pt idx="20">
                  <c:v>1277.3541034442369</c:v>
                </c:pt>
              </c:numCache>
            </c:numRef>
          </c:yVal>
          <c:smooth val="1"/>
          <c:extLst>
            <c:ext xmlns:c16="http://schemas.microsoft.com/office/drawing/2014/chart" uri="{C3380CC4-5D6E-409C-BE32-E72D297353CC}">
              <c16:uniqueId val="{00000000-3F9C-4987-A550-5B36C5BCB5BE}"/>
            </c:ext>
          </c:extLst>
        </c:ser>
        <c:dLbls>
          <c:showLegendKey val="0"/>
          <c:showVal val="0"/>
          <c:showCatName val="0"/>
          <c:showSerName val="0"/>
          <c:showPercent val="0"/>
          <c:showBubbleSize val="0"/>
        </c:dLbls>
        <c:axId val="773212991"/>
        <c:axId val="773212511"/>
      </c:scatterChart>
      <c:valAx>
        <c:axId val="773212991"/>
        <c:scaling>
          <c:orientation val="minMax"/>
          <c:max val="5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Samples Required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511"/>
        <c:crosses val="autoZero"/>
        <c:crossBetween val="midCat"/>
      </c:valAx>
      <c:valAx>
        <c:axId val="773212511"/>
        <c:scaling>
          <c:orientation val="minMax"/>
          <c:min val="5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Testing time [hrs]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3212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FF0000"/>
                </a:solidFill>
              </a:rPr>
              <a:t>F(t) </a:t>
            </a:r>
            <a:r>
              <a:rPr lang="en-US"/>
              <a:t>and </a:t>
            </a:r>
            <a:r>
              <a:rPr lang="en-US">
                <a:solidFill>
                  <a:srgbClr val="00B050"/>
                </a:solidFill>
              </a:rPr>
              <a:t>R(t</a:t>
            </a:r>
            <a:r>
              <a:rPr lang="en-US"/>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'4-PDF'!$D$24</c:f>
              <c:strCache>
                <c:ptCount val="1"/>
                <c:pt idx="0">
                  <c:v>F(t)</c:v>
                </c:pt>
              </c:strCache>
            </c:strRef>
          </c:tx>
          <c:spPr>
            <a:ln w="19050" cap="rnd">
              <a:solidFill>
                <a:srgbClr val="FF0000"/>
              </a:solidFill>
              <a:round/>
            </a:ln>
            <a:effectLst/>
          </c:spPr>
          <c:marker>
            <c:symbol val="none"/>
          </c:marker>
          <c:xVal>
            <c:numRef>
              <c:f>'4-PDF'!$B$25:$B$83</c:f>
              <c:numCache>
                <c:formatCode>General</c:formatCode>
                <c:ptCount val="59"/>
                <c:pt idx="0">
                  <c:v>1</c:v>
                </c:pt>
                <c:pt idx="1">
                  <c:v>2</c:v>
                </c:pt>
                <c:pt idx="2">
                  <c:v>5</c:v>
                </c:pt>
                <c:pt idx="3">
                  <c:v>10</c:v>
                </c:pt>
                <c:pt idx="4">
                  <c:v>20</c:v>
                </c:pt>
                <c:pt idx="5">
                  <c:v>30</c:v>
                </c:pt>
                <c:pt idx="6">
                  <c:v>40</c:v>
                </c:pt>
                <c:pt idx="7">
                  <c:v>50</c:v>
                </c:pt>
                <c:pt idx="8">
                  <c:v>75</c:v>
                </c:pt>
                <c:pt idx="9">
                  <c:v>100</c:v>
                </c:pt>
                <c:pt idx="10">
                  <c:v>150</c:v>
                </c:pt>
                <c:pt idx="11">
                  <c:v>200</c:v>
                </c:pt>
                <c:pt idx="12">
                  <c:v>300</c:v>
                </c:pt>
                <c:pt idx="13">
                  <c:v>500</c:v>
                </c:pt>
                <c:pt idx="14">
                  <c:v>750</c:v>
                </c:pt>
                <c:pt idx="15">
                  <c:v>1000</c:v>
                </c:pt>
                <c:pt idx="16">
                  <c:v>1250</c:v>
                </c:pt>
                <c:pt idx="17">
                  <c:v>1500</c:v>
                </c:pt>
                <c:pt idx="18">
                  <c:v>1750</c:v>
                </c:pt>
                <c:pt idx="19">
                  <c:v>2000</c:v>
                </c:pt>
                <c:pt idx="20">
                  <c:v>2250</c:v>
                </c:pt>
                <c:pt idx="21">
                  <c:v>2500</c:v>
                </c:pt>
                <c:pt idx="22">
                  <c:v>2600</c:v>
                </c:pt>
                <c:pt idx="23">
                  <c:v>2700</c:v>
                </c:pt>
                <c:pt idx="24">
                  <c:v>2800</c:v>
                </c:pt>
                <c:pt idx="25">
                  <c:v>2900</c:v>
                </c:pt>
                <c:pt idx="26">
                  <c:v>3000</c:v>
                </c:pt>
                <c:pt idx="27">
                  <c:v>3100</c:v>
                </c:pt>
                <c:pt idx="28">
                  <c:v>3200</c:v>
                </c:pt>
                <c:pt idx="29">
                  <c:v>3300</c:v>
                </c:pt>
                <c:pt idx="30">
                  <c:v>3400</c:v>
                </c:pt>
                <c:pt idx="31">
                  <c:v>3500</c:v>
                </c:pt>
                <c:pt idx="32">
                  <c:v>3750</c:v>
                </c:pt>
                <c:pt idx="33">
                  <c:v>4000</c:v>
                </c:pt>
                <c:pt idx="34">
                  <c:v>4250</c:v>
                </c:pt>
                <c:pt idx="35">
                  <c:v>4500</c:v>
                </c:pt>
                <c:pt idx="36">
                  <c:v>4750</c:v>
                </c:pt>
                <c:pt idx="37">
                  <c:v>5000</c:v>
                </c:pt>
                <c:pt idx="38">
                  <c:v>5300</c:v>
                </c:pt>
                <c:pt idx="39">
                  <c:v>5600</c:v>
                </c:pt>
                <c:pt idx="40">
                  <c:v>6000</c:v>
                </c:pt>
                <c:pt idx="41">
                  <c:v>6500</c:v>
                </c:pt>
                <c:pt idx="42">
                  <c:v>7000</c:v>
                </c:pt>
                <c:pt idx="43">
                  <c:v>7500</c:v>
                </c:pt>
                <c:pt idx="44">
                  <c:v>8000</c:v>
                </c:pt>
                <c:pt idx="45">
                  <c:v>8500</c:v>
                </c:pt>
                <c:pt idx="46">
                  <c:v>9000</c:v>
                </c:pt>
                <c:pt idx="47">
                  <c:v>9500</c:v>
                </c:pt>
                <c:pt idx="48">
                  <c:v>10000</c:v>
                </c:pt>
                <c:pt idx="49">
                  <c:v>10500</c:v>
                </c:pt>
                <c:pt idx="50">
                  <c:v>11000</c:v>
                </c:pt>
                <c:pt idx="51">
                  <c:v>11500</c:v>
                </c:pt>
                <c:pt idx="52">
                  <c:v>12000</c:v>
                </c:pt>
                <c:pt idx="53">
                  <c:v>12500</c:v>
                </c:pt>
                <c:pt idx="54">
                  <c:v>13000</c:v>
                </c:pt>
                <c:pt idx="55">
                  <c:v>13500</c:v>
                </c:pt>
                <c:pt idx="56">
                  <c:v>14000</c:v>
                </c:pt>
                <c:pt idx="57">
                  <c:v>14500</c:v>
                </c:pt>
                <c:pt idx="58">
                  <c:v>15000</c:v>
                </c:pt>
              </c:numCache>
            </c:numRef>
          </c:xVal>
          <c:yVal>
            <c:numRef>
              <c:f>'4-PDF'!$D$25:$D$83</c:f>
              <c:numCache>
                <c:formatCode>General</c:formatCode>
                <c:ptCount val="59"/>
                <c:pt idx="0">
                  <c:v>1.4420379335078337E-9</c:v>
                </c:pt>
                <c:pt idx="1">
                  <c:v>8.1573982013694035E-9</c:v>
                </c:pt>
                <c:pt idx="2">
                  <c:v>8.0612366670784752E-8</c:v>
                </c:pt>
                <c:pt idx="3">
                  <c:v>4.5601232323555507E-7</c:v>
                </c:pt>
                <c:pt idx="4">
                  <c:v>2.5795925093774486E-6</c:v>
                </c:pt>
                <c:pt idx="5">
                  <c:v>7.108504969322027E-6</c:v>
                </c:pt>
                <c:pt idx="6">
                  <c:v>1.4592291201265262E-5</c:v>
                </c:pt>
                <c:pt idx="7">
                  <c:v>2.5491544728972748E-5</c:v>
                </c:pt>
                <c:pt idx="8">
                  <c:v>7.0244865083335384E-5</c:v>
                </c:pt>
                <c:pt idx="9">
                  <c:v>1.4419339425597588E-4</c:v>
                </c:pt>
                <c:pt idx="10">
                  <c:v>3.972999760833984E-4</c:v>
                </c:pt>
                <c:pt idx="11">
                  <c:v>8.1540720332418104E-4</c:v>
                </c:pt>
                <c:pt idx="12">
                  <c:v>2.2453899678164246E-3</c:v>
                </c:pt>
                <c:pt idx="13">
                  <c:v>8.0288323504910108E-3</c:v>
                </c:pt>
                <c:pt idx="14">
                  <c:v>2.196923949596008E-2</c:v>
                </c:pt>
                <c:pt idx="15">
                  <c:v>4.4577131932767577E-2</c:v>
                </c:pt>
                <c:pt idx="16">
                  <c:v>7.6571673096076265E-2</c:v>
                </c:pt>
                <c:pt idx="17">
                  <c:v>0.11808733604097021</c:v>
                </c:pt>
                <c:pt idx="18">
                  <c:v>0.16868344157075932</c:v>
                </c:pt>
                <c:pt idx="19">
                  <c:v>0.22737354178372937</c:v>
                </c:pt>
                <c:pt idx="20">
                  <c:v>0.29268872692696291</c:v>
                </c:pt>
                <c:pt idx="21">
                  <c:v>0.36277779084359174</c:v>
                </c:pt>
                <c:pt idx="22">
                  <c:v>0.3916843744438252</c:v>
                </c:pt>
                <c:pt idx="23">
                  <c:v>0.42087866078764713</c:v>
                </c:pt>
                <c:pt idx="24">
                  <c:v>0.45021880943907677</c:v>
                </c:pt>
                <c:pt idx="25">
                  <c:v>0.47956378976945158</c:v>
                </c:pt>
                <c:pt idx="26">
                  <c:v>0.50877500776299656</c:v>
                </c:pt>
                <c:pt idx="27">
                  <c:v>0.53771787437881913</c:v>
                </c:pt>
                <c:pt idx="28">
                  <c:v>0.56626328849640728</c:v>
                </c:pt>
                <c:pt idx="29">
                  <c:v>0.59428900926368533</c:v>
                </c:pt>
                <c:pt idx="30">
                  <c:v>0.62168089511318025</c:v>
                </c:pt>
                <c:pt idx="31">
                  <c:v>0.64833398974077783</c:v>
                </c:pt>
                <c:pt idx="32">
                  <c:v>0.71113884157019402</c:v>
                </c:pt>
                <c:pt idx="33">
                  <c:v>0.76758710445660749</c:v>
                </c:pt>
                <c:pt idx="34">
                  <c:v>0.81695884287546172</c:v>
                </c:pt>
                <c:pt idx="35">
                  <c:v>0.85898381223529197</c:v>
                </c:pt>
                <c:pt idx="36">
                  <c:v>0.89379538317931784</c:v>
                </c:pt>
                <c:pt idx="37">
                  <c:v>0.92185482501034288</c:v>
                </c:pt>
                <c:pt idx="38">
                  <c:v>0.94760493247693645</c:v>
                </c:pt>
                <c:pt idx="39">
                  <c:v>0.96609279405942128</c:v>
                </c:pt>
                <c:pt idx="40">
                  <c:v>0.98206842128875893</c:v>
                </c:pt>
                <c:pt idx="41">
                  <c:v>0.99264238434783103</c:v>
                </c:pt>
                <c:pt idx="42">
                  <c:v>0.99729276602199679</c:v>
                </c:pt>
                <c:pt idx="43">
                  <c:v>0.99911039519834666</c:v>
                </c:pt>
                <c:pt idx="44">
                  <c:v>0.99973996821302902</c:v>
                </c:pt>
                <c:pt idx="45">
                  <c:v>0.99993264873187393</c:v>
                </c:pt>
                <c:pt idx="46">
                  <c:v>0.99998459936753858</c:v>
                </c:pt>
                <c:pt idx="47">
                  <c:v>0.99999690233011695</c:v>
                </c:pt>
                <c:pt idx="48">
                  <c:v>0.99999945385378952</c:v>
                </c:pt>
                <c:pt idx="49">
                  <c:v>0.99999991588507808</c:v>
                </c:pt>
                <c:pt idx="50">
                  <c:v>0.99999998872082418</c:v>
                </c:pt>
                <c:pt idx="51">
                  <c:v>0.99999999868748002</c:v>
                </c:pt>
                <c:pt idx="52">
                  <c:v>0.99999999986787813</c:v>
                </c:pt>
                <c:pt idx="53">
                  <c:v>0.99999999998853095</c:v>
                </c:pt>
                <c:pt idx="54">
                  <c:v>0.99999999999914402</c:v>
                </c:pt>
                <c:pt idx="55">
                  <c:v>0.99999999999994527</c:v>
                </c:pt>
                <c:pt idx="56">
                  <c:v>0.999999999999997</c:v>
                </c:pt>
                <c:pt idx="57">
                  <c:v>0.99999999999999989</c:v>
                </c:pt>
                <c:pt idx="58">
                  <c:v>1</c:v>
                </c:pt>
              </c:numCache>
            </c:numRef>
          </c:yVal>
          <c:smooth val="1"/>
          <c:extLst>
            <c:ext xmlns:c16="http://schemas.microsoft.com/office/drawing/2014/chart" uri="{C3380CC4-5D6E-409C-BE32-E72D297353CC}">
              <c16:uniqueId val="{00000000-3797-4A34-A7A1-A285687F4DF8}"/>
            </c:ext>
          </c:extLst>
        </c:ser>
        <c:ser>
          <c:idx val="1"/>
          <c:order val="1"/>
          <c:tx>
            <c:strRef>
              <c:f>'4-PDF'!$E$24</c:f>
              <c:strCache>
                <c:ptCount val="1"/>
                <c:pt idx="0">
                  <c:v>R(t)</c:v>
                </c:pt>
              </c:strCache>
            </c:strRef>
          </c:tx>
          <c:spPr>
            <a:ln w="19050" cap="rnd">
              <a:solidFill>
                <a:srgbClr val="00B050"/>
              </a:solidFill>
              <a:round/>
            </a:ln>
            <a:effectLst/>
          </c:spPr>
          <c:marker>
            <c:symbol val="none"/>
          </c:marker>
          <c:xVal>
            <c:numRef>
              <c:f>'4-PDF'!$B$25:$B$83</c:f>
              <c:numCache>
                <c:formatCode>General</c:formatCode>
                <c:ptCount val="59"/>
                <c:pt idx="0">
                  <c:v>1</c:v>
                </c:pt>
                <c:pt idx="1">
                  <c:v>2</c:v>
                </c:pt>
                <c:pt idx="2">
                  <c:v>5</c:v>
                </c:pt>
                <c:pt idx="3">
                  <c:v>10</c:v>
                </c:pt>
                <c:pt idx="4">
                  <c:v>20</c:v>
                </c:pt>
                <c:pt idx="5">
                  <c:v>30</c:v>
                </c:pt>
                <c:pt idx="6">
                  <c:v>40</c:v>
                </c:pt>
                <c:pt idx="7">
                  <c:v>50</c:v>
                </c:pt>
                <c:pt idx="8">
                  <c:v>75</c:v>
                </c:pt>
                <c:pt idx="9">
                  <c:v>100</c:v>
                </c:pt>
                <c:pt idx="10">
                  <c:v>150</c:v>
                </c:pt>
                <c:pt idx="11">
                  <c:v>200</c:v>
                </c:pt>
                <c:pt idx="12">
                  <c:v>300</c:v>
                </c:pt>
                <c:pt idx="13">
                  <c:v>500</c:v>
                </c:pt>
                <c:pt idx="14">
                  <c:v>750</c:v>
                </c:pt>
                <c:pt idx="15">
                  <c:v>1000</c:v>
                </c:pt>
                <c:pt idx="16">
                  <c:v>1250</c:v>
                </c:pt>
                <c:pt idx="17">
                  <c:v>1500</c:v>
                </c:pt>
                <c:pt idx="18">
                  <c:v>1750</c:v>
                </c:pt>
                <c:pt idx="19">
                  <c:v>2000</c:v>
                </c:pt>
                <c:pt idx="20">
                  <c:v>2250</c:v>
                </c:pt>
                <c:pt idx="21">
                  <c:v>2500</c:v>
                </c:pt>
                <c:pt idx="22">
                  <c:v>2600</c:v>
                </c:pt>
                <c:pt idx="23">
                  <c:v>2700</c:v>
                </c:pt>
                <c:pt idx="24">
                  <c:v>2800</c:v>
                </c:pt>
                <c:pt idx="25">
                  <c:v>2900</c:v>
                </c:pt>
                <c:pt idx="26">
                  <c:v>3000</c:v>
                </c:pt>
                <c:pt idx="27">
                  <c:v>3100</c:v>
                </c:pt>
                <c:pt idx="28">
                  <c:v>3200</c:v>
                </c:pt>
                <c:pt idx="29">
                  <c:v>3300</c:v>
                </c:pt>
                <c:pt idx="30">
                  <c:v>3400</c:v>
                </c:pt>
                <c:pt idx="31">
                  <c:v>3500</c:v>
                </c:pt>
                <c:pt idx="32">
                  <c:v>3750</c:v>
                </c:pt>
                <c:pt idx="33">
                  <c:v>4000</c:v>
                </c:pt>
                <c:pt idx="34">
                  <c:v>4250</c:v>
                </c:pt>
                <c:pt idx="35">
                  <c:v>4500</c:v>
                </c:pt>
                <c:pt idx="36">
                  <c:v>4750</c:v>
                </c:pt>
                <c:pt idx="37">
                  <c:v>5000</c:v>
                </c:pt>
                <c:pt idx="38">
                  <c:v>5300</c:v>
                </c:pt>
                <c:pt idx="39">
                  <c:v>5600</c:v>
                </c:pt>
                <c:pt idx="40">
                  <c:v>6000</c:v>
                </c:pt>
                <c:pt idx="41">
                  <c:v>6500</c:v>
                </c:pt>
                <c:pt idx="42">
                  <c:v>7000</c:v>
                </c:pt>
                <c:pt idx="43">
                  <c:v>7500</c:v>
                </c:pt>
                <c:pt idx="44">
                  <c:v>8000</c:v>
                </c:pt>
                <c:pt idx="45">
                  <c:v>8500</c:v>
                </c:pt>
                <c:pt idx="46">
                  <c:v>9000</c:v>
                </c:pt>
                <c:pt idx="47">
                  <c:v>9500</c:v>
                </c:pt>
                <c:pt idx="48">
                  <c:v>10000</c:v>
                </c:pt>
                <c:pt idx="49">
                  <c:v>10500</c:v>
                </c:pt>
                <c:pt idx="50">
                  <c:v>11000</c:v>
                </c:pt>
                <c:pt idx="51">
                  <c:v>11500</c:v>
                </c:pt>
                <c:pt idx="52">
                  <c:v>12000</c:v>
                </c:pt>
                <c:pt idx="53">
                  <c:v>12500</c:v>
                </c:pt>
                <c:pt idx="54">
                  <c:v>13000</c:v>
                </c:pt>
                <c:pt idx="55">
                  <c:v>13500</c:v>
                </c:pt>
                <c:pt idx="56">
                  <c:v>14000</c:v>
                </c:pt>
                <c:pt idx="57">
                  <c:v>14500</c:v>
                </c:pt>
                <c:pt idx="58">
                  <c:v>15000</c:v>
                </c:pt>
              </c:numCache>
            </c:numRef>
          </c:xVal>
          <c:yVal>
            <c:numRef>
              <c:f>'4-PDF'!$E$25:$E$83</c:f>
              <c:numCache>
                <c:formatCode>General</c:formatCode>
                <c:ptCount val="59"/>
                <c:pt idx="0">
                  <c:v>0.99999999855796207</c:v>
                </c:pt>
                <c:pt idx="1">
                  <c:v>0.9999999918426018</c:v>
                </c:pt>
                <c:pt idx="2">
                  <c:v>0.99999991938763333</c:v>
                </c:pt>
                <c:pt idx="3">
                  <c:v>0.99999954398767676</c:v>
                </c:pt>
                <c:pt idx="4">
                  <c:v>0.99999742040749062</c:v>
                </c:pt>
                <c:pt idx="5">
                  <c:v>0.99999289149503068</c:v>
                </c:pt>
                <c:pt idx="6">
                  <c:v>0.99998540770879873</c:v>
                </c:pt>
                <c:pt idx="7">
                  <c:v>0.99997450845527103</c:v>
                </c:pt>
                <c:pt idx="8">
                  <c:v>0.99992975513491666</c:v>
                </c:pt>
                <c:pt idx="9">
                  <c:v>0.99985580660574402</c:v>
                </c:pt>
                <c:pt idx="10">
                  <c:v>0.9996027000239166</c:v>
                </c:pt>
                <c:pt idx="11">
                  <c:v>0.99918459279667582</c:v>
                </c:pt>
                <c:pt idx="12">
                  <c:v>0.99775461003218358</c:v>
                </c:pt>
                <c:pt idx="13">
                  <c:v>0.99197116764950899</c:v>
                </c:pt>
                <c:pt idx="14">
                  <c:v>0.97803076050403992</c:v>
                </c:pt>
                <c:pt idx="15">
                  <c:v>0.95542286806723242</c:v>
                </c:pt>
                <c:pt idx="16">
                  <c:v>0.92342832690392374</c:v>
                </c:pt>
                <c:pt idx="17">
                  <c:v>0.88191266395902979</c:v>
                </c:pt>
                <c:pt idx="18">
                  <c:v>0.83131655842924068</c:v>
                </c:pt>
                <c:pt idx="19">
                  <c:v>0.77262645821627063</c:v>
                </c:pt>
                <c:pt idx="20">
                  <c:v>0.70731127307303709</c:v>
                </c:pt>
                <c:pt idx="21">
                  <c:v>0.63722220915640826</c:v>
                </c:pt>
                <c:pt idx="22">
                  <c:v>0.6083156255561748</c:v>
                </c:pt>
                <c:pt idx="23">
                  <c:v>0.57912133921235287</c:v>
                </c:pt>
                <c:pt idx="24">
                  <c:v>0.54978119056092323</c:v>
                </c:pt>
                <c:pt idx="25">
                  <c:v>0.52043621023054842</c:v>
                </c:pt>
                <c:pt idx="26">
                  <c:v>0.49122499223700344</c:v>
                </c:pt>
                <c:pt idx="27">
                  <c:v>0.46228212562118093</c:v>
                </c:pt>
                <c:pt idx="28">
                  <c:v>0.43373671150359272</c:v>
                </c:pt>
                <c:pt idx="29">
                  <c:v>0.40571099073631467</c:v>
                </c:pt>
                <c:pt idx="30">
                  <c:v>0.37831910488681969</c:v>
                </c:pt>
                <c:pt idx="31">
                  <c:v>0.35166601025922223</c:v>
                </c:pt>
                <c:pt idx="32">
                  <c:v>0.28886115842980592</c:v>
                </c:pt>
                <c:pt idx="33">
                  <c:v>0.23241289554339253</c:v>
                </c:pt>
                <c:pt idx="34">
                  <c:v>0.18304115712453828</c:v>
                </c:pt>
                <c:pt idx="35">
                  <c:v>0.14101618776470798</c:v>
                </c:pt>
                <c:pt idx="36">
                  <c:v>0.10620461682068216</c:v>
                </c:pt>
                <c:pt idx="37">
                  <c:v>7.814517498965716E-2</c:v>
                </c:pt>
                <c:pt idx="38">
                  <c:v>5.2395067523063533E-2</c:v>
                </c:pt>
                <c:pt idx="39">
                  <c:v>3.3907205940578666E-2</c:v>
                </c:pt>
                <c:pt idx="40">
                  <c:v>1.7931578711241031E-2</c:v>
                </c:pt>
                <c:pt idx="41">
                  <c:v>7.3576156521690181E-3</c:v>
                </c:pt>
                <c:pt idx="42">
                  <c:v>2.7072339780031779E-3</c:v>
                </c:pt>
                <c:pt idx="43">
                  <c:v>8.8960480165335394E-4</c:v>
                </c:pt>
                <c:pt idx="44">
                  <c:v>2.6003178697100657E-4</c:v>
                </c:pt>
                <c:pt idx="45">
                  <c:v>6.7351268126071909E-5</c:v>
                </c:pt>
                <c:pt idx="46">
                  <c:v>1.5400632461392521E-5</c:v>
                </c:pt>
                <c:pt idx="47">
                  <c:v>3.0976698829980562E-6</c:v>
                </c:pt>
                <c:pt idx="48">
                  <c:v>5.4614621047600379E-7</c:v>
                </c:pt>
                <c:pt idx="49">
                  <c:v>8.4114921870693926E-8</c:v>
                </c:pt>
                <c:pt idx="50">
                  <c:v>1.1279175805876969E-8</c:v>
                </c:pt>
                <c:pt idx="51">
                  <c:v>1.3125199334029276E-9</c:v>
                </c:pt>
                <c:pt idx="52">
                  <c:v>1.3212181850888403E-10</c:v>
                </c:pt>
                <c:pt idx="53">
                  <c:v>1.146908924753305E-11</c:v>
                </c:pt>
                <c:pt idx="54">
                  <c:v>8.5593874173530627E-13</c:v>
                </c:pt>
                <c:pt idx="55">
                  <c:v>5.4753979448055169E-14</c:v>
                </c:pt>
                <c:pt idx="56">
                  <c:v>2.9934541932824709E-15</c:v>
                </c:pt>
                <c:pt idx="57">
                  <c:v>1.3946381907917933E-16</c:v>
                </c:pt>
                <c:pt idx="58">
                  <c:v>5.5214450527919986E-18</c:v>
                </c:pt>
              </c:numCache>
            </c:numRef>
          </c:yVal>
          <c:smooth val="1"/>
          <c:extLst>
            <c:ext xmlns:c16="http://schemas.microsoft.com/office/drawing/2014/chart" uri="{C3380CC4-5D6E-409C-BE32-E72D297353CC}">
              <c16:uniqueId val="{00000001-3797-4A34-A7A1-A285687F4DF8}"/>
            </c:ext>
          </c:extLst>
        </c:ser>
        <c:ser>
          <c:idx val="2"/>
          <c:order val="2"/>
          <c:tx>
            <c:v>t=eta</c:v>
          </c:tx>
          <c:spPr>
            <a:ln w="19050" cap="rnd">
              <a:solidFill>
                <a:schemeClr val="accent3"/>
              </a:solidFill>
              <a:round/>
            </a:ln>
            <a:effectLst/>
          </c:spPr>
          <c:marker>
            <c:symbol val="none"/>
          </c:marker>
          <c:xVal>
            <c:numRef>
              <c:f>('4-PDF'!$C$20,'4-PDF'!$C$20)</c:f>
              <c:numCache>
                <c:formatCode>General</c:formatCode>
                <c:ptCount val="2"/>
                <c:pt idx="0">
                  <c:v>3438.8190880762418</c:v>
                </c:pt>
                <c:pt idx="1">
                  <c:v>3438.8190880762418</c:v>
                </c:pt>
              </c:numCache>
            </c:numRef>
          </c:xVal>
          <c:yVal>
            <c:numLit>
              <c:formatCode>General</c:formatCode>
              <c:ptCount val="2"/>
              <c:pt idx="0">
                <c:v>0</c:v>
              </c:pt>
              <c:pt idx="1">
                <c:v>1</c:v>
              </c:pt>
            </c:numLit>
          </c:yVal>
          <c:smooth val="1"/>
          <c:extLst>
            <c:ext xmlns:c16="http://schemas.microsoft.com/office/drawing/2014/chart" uri="{C3380CC4-5D6E-409C-BE32-E72D297353CC}">
              <c16:uniqueId val="{00000002-3797-4A34-A7A1-A285687F4DF8}"/>
            </c:ext>
          </c:extLst>
        </c:ser>
        <c:dLbls>
          <c:showLegendKey val="0"/>
          <c:showVal val="0"/>
          <c:showCatName val="0"/>
          <c:showSerName val="0"/>
          <c:showPercent val="0"/>
          <c:showBubbleSize val="0"/>
        </c:dLbls>
        <c:axId val="1405618592"/>
        <c:axId val="1405625792"/>
      </c:scatterChart>
      <c:valAx>
        <c:axId val="14056185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625792"/>
        <c:crosses val="autoZero"/>
        <c:crossBetween val="midCat"/>
      </c:valAx>
      <c:valAx>
        <c:axId val="1405625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6185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Density Function</a:t>
            </a:r>
          </a:p>
          <a:p>
            <a:pPr>
              <a:defRPr/>
            </a:pPr>
            <a:r>
              <a:rPr lang="en-US" sz="1000"/>
              <a:t>Relative</a:t>
            </a:r>
            <a:r>
              <a:rPr lang="en-US" sz="1000" baseline="0"/>
              <a:t> liklihood of having failure at certain time</a:t>
            </a:r>
          </a:p>
          <a:p>
            <a:pPr>
              <a:defRPr/>
            </a:pPr>
            <a:r>
              <a:rPr lang="en-US" sz="1000" baseline="0"/>
              <a:t>Beta=7 for Powertrain; Beta=2.5 is normal distrubution</a:t>
            </a:r>
            <a:endParaRPr lang="en-US" sz="10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'4-PDF'!$C$24</c:f>
              <c:strCache>
                <c:ptCount val="1"/>
                <c:pt idx="0">
                  <c:v>f(t)</c:v>
                </c:pt>
              </c:strCache>
            </c:strRef>
          </c:tx>
          <c:spPr>
            <a:ln w="19050" cap="rnd">
              <a:solidFill>
                <a:schemeClr val="accent1"/>
              </a:solidFill>
              <a:round/>
            </a:ln>
            <a:effectLst/>
          </c:spPr>
          <c:marker>
            <c:symbol val="none"/>
          </c:marker>
          <c:xVal>
            <c:numRef>
              <c:f>'4-PDF'!$B$25:$B$83</c:f>
              <c:numCache>
                <c:formatCode>General</c:formatCode>
                <c:ptCount val="59"/>
                <c:pt idx="0">
                  <c:v>1</c:v>
                </c:pt>
                <c:pt idx="1">
                  <c:v>2</c:v>
                </c:pt>
                <c:pt idx="2">
                  <c:v>5</c:v>
                </c:pt>
                <c:pt idx="3">
                  <c:v>10</c:v>
                </c:pt>
                <c:pt idx="4">
                  <c:v>20</c:v>
                </c:pt>
                <c:pt idx="5">
                  <c:v>30</c:v>
                </c:pt>
                <c:pt idx="6">
                  <c:v>40</c:v>
                </c:pt>
                <c:pt idx="7">
                  <c:v>50</c:v>
                </c:pt>
                <c:pt idx="8">
                  <c:v>75</c:v>
                </c:pt>
                <c:pt idx="9">
                  <c:v>100</c:v>
                </c:pt>
                <c:pt idx="10">
                  <c:v>150</c:v>
                </c:pt>
                <c:pt idx="11">
                  <c:v>200</c:v>
                </c:pt>
                <c:pt idx="12">
                  <c:v>300</c:v>
                </c:pt>
                <c:pt idx="13">
                  <c:v>500</c:v>
                </c:pt>
                <c:pt idx="14">
                  <c:v>750</c:v>
                </c:pt>
                <c:pt idx="15">
                  <c:v>1000</c:v>
                </c:pt>
                <c:pt idx="16">
                  <c:v>1250</c:v>
                </c:pt>
                <c:pt idx="17">
                  <c:v>1500</c:v>
                </c:pt>
                <c:pt idx="18">
                  <c:v>1750</c:v>
                </c:pt>
                <c:pt idx="19">
                  <c:v>2000</c:v>
                </c:pt>
                <c:pt idx="20">
                  <c:v>2250</c:v>
                </c:pt>
                <c:pt idx="21">
                  <c:v>2500</c:v>
                </c:pt>
                <c:pt idx="22">
                  <c:v>2600</c:v>
                </c:pt>
                <c:pt idx="23">
                  <c:v>2700</c:v>
                </c:pt>
                <c:pt idx="24">
                  <c:v>2800</c:v>
                </c:pt>
                <c:pt idx="25">
                  <c:v>2900</c:v>
                </c:pt>
                <c:pt idx="26">
                  <c:v>3000</c:v>
                </c:pt>
                <c:pt idx="27">
                  <c:v>3100</c:v>
                </c:pt>
                <c:pt idx="28">
                  <c:v>3200</c:v>
                </c:pt>
                <c:pt idx="29">
                  <c:v>3300</c:v>
                </c:pt>
                <c:pt idx="30">
                  <c:v>3400</c:v>
                </c:pt>
                <c:pt idx="31">
                  <c:v>3500</c:v>
                </c:pt>
                <c:pt idx="32">
                  <c:v>3750</c:v>
                </c:pt>
                <c:pt idx="33">
                  <c:v>4000</c:v>
                </c:pt>
                <c:pt idx="34">
                  <c:v>4250</c:v>
                </c:pt>
                <c:pt idx="35">
                  <c:v>4500</c:v>
                </c:pt>
                <c:pt idx="36">
                  <c:v>4750</c:v>
                </c:pt>
                <c:pt idx="37">
                  <c:v>5000</c:v>
                </c:pt>
                <c:pt idx="38">
                  <c:v>5300</c:v>
                </c:pt>
                <c:pt idx="39">
                  <c:v>5600</c:v>
                </c:pt>
                <c:pt idx="40">
                  <c:v>6000</c:v>
                </c:pt>
                <c:pt idx="41">
                  <c:v>6500</c:v>
                </c:pt>
                <c:pt idx="42">
                  <c:v>7000</c:v>
                </c:pt>
                <c:pt idx="43">
                  <c:v>7500</c:v>
                </c:pt>
                <c:pt idx="44">
                  <c:v>8000</c:v>
                </c:pt>
                <c:pt idx="45">
                  <c:v>8500</c:v>
                </c:pt>
                <c:pt idx="46">
                  <c:v>9000</c:v>
                </c:pt>
                <c:pt idx="47">
                  <c:v>9500</c:v>
                </c:pt>
                <c:pt idx="48">
                  <c:v>10000</c:v>
                </c:pt>
                <c:pt idx="49">
                  <c:v>10500</c:v>
                </c:pt>
                <c:pt idx="50">
                  <c:v>11000</c:v>
                </c:pt>
                <c:pt idx="51">
                  <c:v>11500</c:v>
                </c:pt>
                <c:pt idx="52">
                  <c:v>12000</c:v>
                </c:pt>
                <c:pt idx="53">
                  <c:v>12500</c:v>
                </c:pt>
                <c:pt idx="54">
                  <c:v>13000</c:v>
                </c:pt>
                <c:pt idx="55">
                  <c:v>13500</c:v>
                </c:pt>
                <c:pt idx="56">
                  <c:v>14000</c:v>
                </c:pt>
                <c:pt idx="57">
                  <c:v>14500</c:v>
                </c:pt>
                <c:pt idx="58">
                  <c:v>15000</c:v>
                </c:pt>
              </c:numCache>
            </c:numRef>
          </c:xVal>
          <c:yVal>
            <c:numRef>
              <c:f>'4-PDF'!$C$25:$C$83</c:f>
              <c:numCache>
                <c:formatCode>General</c:formatCode>
                <c:ptCount val="59"/>
                <c:pt idx="0">
                  <c:v>3.6050947728750295E-9</c:v>
                </c:pt>
                <c:pt idx="1">
                  <c:v>1.0196747774405602E-8</c:v>
                </c:pt>
                <c:pt idx="2">
                  <c:v>4.0306181696334733E-8</c:v>
                </c:pt>
                <c:pt idx="3">
                  <c:v>1.1400305480810028E-7</c:v>
                </c:pt>
                <c:pt idx="4">
                  <c:v>3.2244864777583146E-7</c:v>
                </c:pt>
                <c:pt idx="5">
                  <c:v>5.9237330864997432E-7</c:v>
                </c:pt>
                <c:pt idx="6">
                  <c:v>9.1201154582711726E-7</c:v>
                </c:pt>
                <c:pt idx="7">
                  <c:v>1.2745609908413038E-6</c:v>
                </c:pt>
                <c:pt idx="8">
                  <c:v>2.3414132618340177E-6</c:v>
                </c:pt>
                <c:pt idx="9">
                  <c:v>3.6045749472210507E-6</c:v>
                </c:pt>
                <c:pt idx="10">
                  <c:v>6.6203506998951971E-6</c:v>
                </c:pt>
                <c:pt idx="11">
                  <c:v>1.0188433355930972E-5</c:v>
                </c:pt>
                <c:pt idx="12">
                  <c:v>1.8690559923743244E-5</c:v>
                </c:pt>
                <c:pt idx="13">
                  <c:v>3.9982573343896317E-5</c:v>
                </c:pt>
                <c:pt idx="14">
                  <c:v>7.2420429496136506E-5</c:v>
                </c:pt>
                <c:pt idx="15">
                  <c:v>1.0892117526257917E-4</c:v>
                </c:pt>
                <c:pt idx="16">
                  <c:v>1.4712446584360091E-4</c:v>
                </c:pt>
                <c:pt idx="17">
                  <c:v>1.8470521364378177E-4</c:v>
                </c:pt>
                <c:pt idx="18">
                  <c:v>2.1940180232256042E-4</c:v>
                </c:pt>
                <c:pt idx="19">
                  <c:v>2.4913299934928507E-4</c:v>
                </c:pt>
                <c:pt idx="20">
                  <c:v>2.7214542877971714E-4</c:v>
                </c:pt>
                <c:pt idx="21">
                  <c:v>2.8715580733779513E-4</c:v>
                </c:pt>
                <c:pt idx="22">
                  <c:v>2.9074059904743562E-4</c:v>
                </c:pt>
                <c:pt idx="23">
                  <c:v>2.9290845022462991E-4</c:v>
                </c:pt>
                <c:pt idx="24">
                  <c:v>2.9365919995092478E-4</c:v>
                </c:pt>
                <c:pt idx="25">
                  <c:v>2.9300915459158313E-4</c:v>
                </c:pt>
                <c:pt idx="26">
                  <c:v>2.9099064245141951E-4</c:v>
                </c:pt>
                <c:pt idx="27">
                  <c:v>2.8765129206254715E-4</c:v>
                </c:pt>
                <c:pt idx="28">
                  <c:v>2.830530485619217E-4</c:v>
                </c:pt>
                <c:pt idx="29">
                  <c:v>2.7727094945449791E-4</c:v>
                </c:pt>
                <c:pt idx="30">
                  <c:v>2.7039168727572069E-4</c:v>
                </c:pt>
                <c:pt idx="31">
                  <c:v>2.6251199206621384E-4</c:v>
                </c:pt>
                <c:pt idx="32">
                  <c:v>2.3914028197622274E-4</c:v>
                </c:pt>
                <c:pt idx="33">
                  <c:v>2.1196633720920312E-4</c:v>
                </c:pt>
                <c:pt idx="34">
                  <c:v>1.8283057894430459E-4</c:v>
                </c:pt>
                <c:pt idx="35">
                  <c:v>1.534632626975938E-4</c:v>
                </c:pt>
                <c:pt idx="36">
                  <c:v>1.2534311908109536E-4</c:v>
                </c:pt>
                <c:pt idx="37">
                  <c:v>9.9603330707044447E-5</c:v>
                </c:pt>
                <c:pt idx="38">
                  <c:v>7.2882102995173301E-5</c:v>
                </c:pt>
                <c:pt idx="39">
                  <c:v>5.1226033758148024E-5</c:v>
                </c:pt>
                <c:pt idx="40">
                  <c:v>3.0044299960150464E-5</c:v>
                </c:pt>
                <c:pt idx="41">
                  <c:v>1.3900288661447431E-5</c:v>
                </c:pt>
                <c:pt idx="42">
                  <c:v>5.7159647122157341E-6</c:v>
                </c:pt>
                <c:pt idx="43">
                  <c:v>2.0830788059720704E-6</c:v>
                </c:pt>
                <c:pt idx="44">
                  <c:v>6.7077691503137919E-7</c:v>
                </c:pt>
                <c:pt idx="45">
                  <c:v>1.9027899663382678E-7</c:v>
                </c:pt>
                <c:pt idx="46">
                  <c:v>4.7404438574547715E-8</c:v>
                </c:pt>
                <c:pt idx="47">
                  <c:v>1.0340397360101747E-8</c:v>
                </c:pt>
                <c:pt idx="48">
                  <c:v>1.9689088514517905E-9</c:v>
                </c:pt>
                <c:pt idx="49">
                  <c:v>3.2626739939860087E-10</c:v>
                </c:pt>
                <c:pt idx="50">
                  <c:v>4.691190622802235E-11</c:v>
                </c:pt>
                <c:pt idx="51">
                  <c:v>5.8353828566324276E-12</c:v>
                </c:pt>
                <c:pt idx="52">
                  <c:v>6.2612796103339374E-13</c:v>
                </c:pt>
                <c:pt idx="53">
                  <c:v>5.778440404595584E-14</c:v>
                </c:pt>
                <c:pt idx="54">
                  <c:v>4.5737708182689023E-15</c:v>
                </c:pt>
                <c:pt idx="55">
                  <c:v>3.0962286731749724E-16</c:v>
                </c:pt>
                <c:pt idx="56">
                  <c:v>1.7876453237167757E-17</c:v>
                </c:pt>
                <c:pt idx="57">
                  <c:v>8.7787007291449857E-19</c:v>
                </c:pt>
                <c:pt idx="58">
                  <c:v>3.6568431256548046E-20</c:v>
                </c:pt>
              </c:numCache>
            </c:numRef>
          </c:yVal>
          <c:smooth val="1"/>
          <c:extLst>
            <c:ext xmlns:c16="http://schemas.microsoft.com/office/drawing/2014/chart" uri="{C3380CC4-5D6E-409C-BE32-E72D297353CC}">
              <c16:uniqueId val="{00000000-2A24-4AC7-9281-5A49921577BB}"/>
            </c:ext>
          </c:extLst>
        </c:ser>
        <c:dLbls>
          <c:showLegendKey val="0"/>
          <c:showVal val="0"/>
          <c:showCatName val="0"/>
          <c:showSerName val="0"/>
          <c:showPercent val="0"/>
          <c:showBubbleSize val="0"/>
        </c:dLbls>
        <c:axId val="1402301664"/>
        <c:axId val="1402311744"/>
      </c:scatterChart>
      <c:valAx>
        <c:axId val="14023016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311744"/>
        <c:crosses val="autoZero"/>
        <c:crossBetween val="midCat"/>
      </c:valAx>
      <c:valAx>
        <c:axId val="1402311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Density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23016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'4-PDF'!$F$23:$F$24</c:f>
              <c:strCache>
                <c:ptCount val="2"/>
                <c:pt idx="0">
                  <c:v>hazard function</c:v>
                </c:pt>
                <c:pt idx="1">
                  <c:v>h(t)</c:v>
                </c:pt>
              </c:strCache>
            </c:strRef>
          </c:tx>
          <c:spPr>
            <a:ln w="19050" cap="rnd">
              <a:solidFill>
                <a:schemeClr val="accent1"/>
              </a:solidFill>
              <a:round/>
            </a:ln>
            <a:effectLst/>
          </c:spPr>
          <c:marker>
            <c:symbol val="none"/>
          </c:marker>
          <c:xVal>
            <c:numRef>
              <c:f>'4-PDF'!$B$25:$B$83</c:f>
              <c:numCache>
                <c:formatCode>General</c:formatCode>
                <c:ptCount val="59"/>
                <c:pt idx="0">
                  <c:v>1</c:v>
                </c:pt>
                <c:pt idx="1">
                  <c:v>2</c:v>
                </c:pt>
                <c:pt idx="2">
                  <c:v>5</c:v>
                </c:pt>
                <c:pt idx="3">
                  <c:v>10</c:v>
                </c:pt>
                <c:pt idx="4">
                  <c:v>20</c:v>
                </c:pt>
                <c:pt idx="5">
                  <c:v>30</c:v>
                </c:pt>
                <c:pt idx="6">
                  <c:v>40</c:v>
                </c:pt>
                <c:pt idx="7">
                  <c:v>50</c:v>
                </c:pt>
                <c:pt idx="8">
                  <c:v>75</c:v>
                </c:pt>
                <c:pt idx="9">
                  <c:v>100</c:v>
                </c:pt>
                <c:pt idx="10">
                  <c:v>150</c:v>
                </c:pt>
                <c:pt idx="11">
                  <c:v>200</c:v>
                </c:pt>
                <c:pt idx="12">
                  <c:v>300</c:v>
                </c:pt>
                <c:pt idx="13">
                  <c:v>500</c:v>
                </c:pt>
                <c:pt idx="14">
                  <c:v>750</c:v>
                </c:pt>
                <c:pt idx="15">
                  <c:v>1000</c:v>
                </c:pt>
                <c:pt idx="16">
                  <c:v>1250</c:v>
                </c:pt>
                <c:pt idx="17">
                  <c:v>1500</c:v>
                </c:pt>
                <c:pt idx="18">
                  <c:v>1750</c:v>
                </c:pt>
                <c:pt idx="19">
                  <c:v>2000</c:v>
                </c:pt>
                <c:pt idx="20">
                  <c:v>2250</c:v>
                </c:pt>
                <c:pt idx="21">
                  <c:v>2500</c:v>
                </c:pt>
                <c:pt idx="22">
                  <c:v>2600</c:v>
                </c:pt>
                <c:pt idx="23">
                  <c:v>2700</c:v>
                </c:pt>
                <c:pt idx="24">
                  <c:v>2800</c:v>
                </c:pt>
                <c:pt idx="25">
                  <c:v>2900</c:v>
                </c:pt>
                <c:pt idx="26">
                  <c:v>3000</c:v>
                </c:pt>
                <c:pt idx="27">
                  <c:v>3100</c:v>
                </c:pt>
                <c:pt idx="28">
                  <c:v>3200</c:v>
                </c:pt>
                <c:pt idx="29">
                  <c:v>3300</c:v>
                </c:pt>
                <c:pt idx="30">
                  <c:v>3400</c:v>
                </c:pt>
                <c:pt idx="31">
                  <c:v>3500</c:v>
                </c:pt>
                <c:pt idx="32">
                  <c:v>3750</c:v>
                </c:pt>
                <c:pt idx="33">
                  <c:v>4000</c:v>
                </c:pt>
                <c:pt idx="34">
                  <c:v>4250</c:v>
                </c:pt>
                <c:pt idx="35">
                  <c:v>4500</c:v>
                </c:pt>
                <c:pt idx="36">
                  <c:v>4750</c:v>
                </c:pt>
                <c:pt idx="37">
                  <c:v>5000</c:v>
                </c:pt>
                <c:pt idx="38">
                  <c:v>5300</c:v>
                </c:pt>
                <c:pt idx="39">
                  <c:v>5600</c:v>
                </c:pt>
                <c:pt idx="40">
                  <c:v>6000</c:v>
                </c:pt>
                <c:pt idx="41">
                  <c:v>6500</c:v>
                </c:pt>
                <c:pt idx="42">
                  <c:v>7000</c:v>
                </c:pt>
                <c:pt idx="43">
                  <c:v>7500</c:v>
                </c:pt>
                <c:pt idx="44">
                  <c:v>8000</c:v>
                </c:pt>
                <c:pt idx="45">
                  <c:v>8500</c:v>
                </c:pt>
                <c:pt idx="46">
                  <c:v>9000</c:v>
                </c:pt>
                <c:pt idx="47">
                  <c:v>9500</c:v>
                </c:pt>
                <c:pt idx="48">
                  <c:v>10000</c:v>
                </c:pt>
                <c:pt idx="49">
                  <c:v>10500</c:v>
                </c:pt>
                <c:pt idx="50">
                  <c:v>11000</c:v>
                </c:pt>
                <c:pt idx="51">
                  <c:v>11500</c:v>
                </c:pt>
                <c:pt idx="52">
                  <c:v>12000</c:v>
                </c:pt>
                <c:pt idx="53">
                  <c:v>12500</c:v>
                </c:pt>
                <c:pt idx="54">
                  <c:v>13000</c:v>
                </c:pt>
                <c:pt idx="55">
                  <c:v>13500</c:v>
                </c:pt>
                <c:pt idx="56">
                  <c:v>14000</c:v>
                </c:pt>
                <c:pt idx="57">
                  <c:v>14500</c:v>
                </c:pt>
                <c:pt idx="58">
                  <c:v>15000</c:v>
                </c:pt>
              </c:numCache>
            </c:numRef>
          </c:xVal>
          <c:yVal>
            <c:numRef>
              <c:f>'4-PDF'!$F$25:$F$83</c:f>
              <c:numCache>
                <c:formatCode>General</c:formatCode>
                <c:ptCount val="59"/>
                <c:pt idx="0">
                  <c:v>3.6050947780737129E-9</c:v>
                </c:pt>
                <c:pt idx="1">
                  <c:v>1.0196747857584535E-8</c:v>
                </c:pt>
                <c:pt idx="2">
                  <c:v>4.0306184945511694E-8</c:v>
                </c:pt>
                <c:pt idx="3">
                  <c:v>1.1400310679492187E-7</c:v>
                </c:pt>
                <c:pt idx="4">
                  <c:v>3.224494795640936E-7</c:v>
                </c:pt>
                <c:pt idx="5">
                  <c:v>5.9237751956851593E-7</c:v>
                </c:pt>
                <c:pt idx="6">
                  <c:v>9.1202485435937487E-7</c:v>
                </c:pt>
                <c:pt idx="7">
                  <c:v>1.2745934821980665E-6</c:v>
                </c:pt>
                <c:pt idx="8">
                  <c:v>2.3415777456468429E-6</c:v>
                </c:pt>
                <c:pt idx="9">
                  <c:v>3.6050947780737155E-6</c:v>
                </c:pt>
                <c:pt idx="10">
                  <c:v>6.6229820104895653E-6</c:v>
                </c:pt>
                <c:pt idx="11">
                  <c:v>1.0196747857584527E-5</c:v>
                </c:pt>
                <c:pt idx="12">
                  <c:v>1.8732621965174746E-5</c:v>
                </c:pt>
                <c:pt idx="13">
                  <c:v>4.0306184945511715E-5</c:v>
                </c:pt>
                <c:pt idx="14">
                  <c:v>7.4047189946064443E-5</c:v>
                </c:pt>
                <c:pt idx="15">
                  <c:v>1.140031067949218E-4</c:v>
                </c:pt>
                <c:pt idx="16">
                  <c:v>1.5932418527475839E-4</c:v>
                </c:pt>
                <c:pt idx="17">
                  <c:v>2.0943708055468229E-4</c:v>
                </c:pt>
                <c:pt idx="18">
                  <c:v>2.6392088560958849E-4</c:v>
                </c:pt>
                <c:pt idx="19">
                  <c:v>3.2244947956409323E-4</c:v>
                </c:pt>
                <c:pt idx="20">
                  <c:v>3.8476048543286166E-4</c:v>
                </c:pt>
                <c:pt idx="21">
                  <c:v>4.5063684725921377E-4</c:v>
                </c:pt>
                <c:pt idx="22">
                  <c:v>4.779436641654822E-4</c:v>
                </c:pt>
                <c:pt idx="23">
                  <c:v>5.0578079305971821E-4</c:v>
                </c:pt>
                <c:pt idx="24">
                  <c:v>5.3413831719363516E-4</c:v>
                </c:pt>
                <c:pt idx="25">
                  <c:v>5.630068562327414E-4</c:v>
                </c:pt>
                <c:pt idx="26">
                  <c:v>5.9237751956851576E-4</c:v>
                </c:pt>
                <c:pt idx="27">
                  <c:v>6.2224186512948644E-4</c:v>
                </c:pt>
                <c:pt idx="28">
                  <c:v>6.5259186288541113E-4</c:v>
                </c:pt>
                <c:pt idx="29">
                  <c:v>6.8341986237860071E-4</c:v>
                </c:pt>
                <c:pt idx="30">
                  <c:v>7.1471856372839744E-4</c:v>
                </c:pt>
                <c:pt idx="31">
                  <c:v>7.4648099164519597E-4</c:v>
                </c:pt>
                <c:pt idx="32">
                  <c:v>8.278727513111961E-4</c:v>
                </c:pt>
                <c:pt idx="33">
                  <c:v>9.1202485435937458E-4</c:v>
                </c:pt>
                <c:pt idx="34">
                  <c:v>9.9884955829857209E-4</c:v>
                </c:pt>
                <c:pt idx="35">
                  <c:v>1.0882669935288164E-3</c:v>
                </c:pt>
                <c:pt idx="36">
                  <c:v>1.1802040517007561E-3</c:v>
                </c:pt>
                <c:pt idx="37">
                  <c:v>1.2745934821980674E-3</c:v>
                </c:pt>
                <c:pt idx="38">
                  <c:v>1.3910107657193432E-3</c:v>
                </c:pt>
                <c:pt idx="39">
                  <c:v>1.5107713047167635E-3</c:v>
                </c:pt>
                <c:pt idx="40">
                  <c:v>1.6754966444374557E-3</c:v>
                </c:pt>
                <c:pt idx="41">
                  <c:v>1.8892382150119025E-3</c:v>
                </c:pt>
                <c:pt idx="42">
                  <c:v>2.1113670848767045E-3</c:v>
                </c:pt>
                <c:pt idx="43">
                  <c:v>2.3415777456468464E-3</c:v>
                </c:pt>
                <c:pt idx="44">
                  <c:v>2.5795958365127511E-3</c:v>
                </c:pt>
                <c:pt idx="45">
                  <c:v>2.8251731842324304E-3</c:v>
                </c:pt>
                <c:pt idx="46">
                  <c:v>3.0780838834628885E-3</c:v>
                </c:pt>
                <c:pt idx="47">
                  <c:v>3.3381211525657707E-3</c:v>
                </c:pt>
                <c:pt idx="48">
                  <c:v>3.6050947780737175E-3</c:v>
                </c:pt>
                <c:pt idx="49">
                  <c:v>3.8788290132416342E-3</c:v>
                </c:pt>
                <c:pt idx="50">
                  <c:v>4.1591608319092865E-3</c:v>
                </c:pt>
                <c:pt idx="51">
                  <c:v>4.445938463961626E-3</c:v>
                </c:pt>
                <c:pt idx="52">
                  <c:v>4.7390201565481191E-3</c:v>
                </c:pt>
                <c:pt idx="53">
                  <c:v>5.0382731181889623E-3</c:v>
                </c:pt>
                <c:pt idx="54">
                  <c:v>5.3435726124467361E-3</c:v>
                </c:pt>
                <c:pt idx="55">
                  <c:v>5.6548011749764223E-3</c:v>
                </c:pt>
                <c:pt idx="56">
                  <c:v>5.9718479331615695E-3</c:v>
                </c:pt>
                <c:pt idx="57">
                  <c:v>6.2946080116743092E-3</c:v>
                </c:pt>
                <c:pt idx="58">
                  <c:v>6.6229820104895705E-3</c:v>
                </c:pt>
              </c:numCache>
            </c:numRef>
          </c:yVal>
          <c:smooth val="1"/>
          <c:extLst>
            <c:ext xmlns:c16="http://schemas.microsoft.com/office/drawing/2014/chart" uri="{C3380CC4-5D6E-409C-BE32-E72D297353CC}">
              <c16:uniqueId val="{00000000-D426-45C8-BEEA-CF8BF9E7A038}"/>
            </c:ext>
          </c:extLst>
        </c:ser>
        <c:dLbls>
          <c:showLegendKey val="0"/>
          <c:showVal val="0"/>
          <c:showCatName val="0"/>
          <c:showSerName val="0"/>
          <c:showPercent val="0"/>
          <c:showBubbleSize val="0"/>
        </c:dLbls>
        <c:axId val="1426707248"/>
        <c:axId val="1426723568"/>
      </c:scatterChart>
      <c:valAx>
        <c:axId val="1426707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723568"/>
        <c:crosses val="autoZero"/>
        <c:crossBetween val="midCat"/>
      </c:valAx>
      <c:valAx>
        <c:axId val="1426723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7072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Reliability Growth using Duane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'5-Mean Time Between Failure'!$E$4</c:f>
              <c:strCache>
                <c:ptCount val="1"/>
                <c:pt idx="0">
                  <c:v>Cumulative MTBF</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3.5392607174103287E-2"/>
                  <c:y val="0.1699110527850685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'5-Mean Time Between Failure'!$F$7:$F$16</c:f>
              <c:numCache>
                <c:formatCode>General</c:formatCode>
                <c:ptCount val="10"/>
                <c:pt idx="0">
                  <c:v>1.3979400086720377</c:v>
                </c:pt>
                <c:pt idx="1">
                  <c:v>1.6989700043360187</c:v>
                </c:pt>
                <c:pt idx="2">
                  <c:v>1.954242509439325</c:v>
                </c:pt>
                <c:pt idx="3">
                  <c:v>2.0969100130080562</c:v>
                </c:pt>
                <c:pt idx="4">
                  <c:v>2.2041199826559246</c:v>
                </c:pt>
                <c:pt idx="5">
                  <c:v>2.2671717284030137</c:v>
                </c:pt>
                <c:pt idx="6">
                  <c:v>2.3521825181113627</c:v>
                </c:pt>
                <c:pt idx="7">
                  <c:v>2.3891660843645326</c:v>
                </c:pt>
                <c:pt idx="8">
                  <c:v>2.4313637641589874</c:v>
                </c:pt>
                <c:pt idx="9">
                  <c:v>2.4913616938342726</c:v>
                </c:pt>
              </c:numCache>
            </c:numRef>
          </c:xVal>
          <c:yVal>
            <c:numRef>
              <c:f>'5-Mean Time Between Failure'!$G$7:$G$16</c:f>
              <c:numCache>
                <c:formatCode>General</c:formatCode>
                <c:ptCount val="10"/>
                <c:pt idx="0">
                  <c:v>1.3979400086720377</c:v>
                </c:pt>
                <c:pt idx="1">
                  <c:v>1.3979400086720377</c:v>
                </c:pt>
                <c:pt idx="2">
                  <c:v>1.4771212547196624</c:v>
                </c:pt>
                <c:pt idx="3">
                  <c:v>1.494850021680094</c:v>
                </c:pt>
                <c:pt idx="4">
                  <c:v>1.6020599913279623</c:v>
                </c:pt>
                <c:pt idx="5">
                  <c:v>1.568201724066995</c:v>
                </c:pt>
                <c:pt idx="6">
                  <c:v>1.6532125137753437</c:v>
                </c:pt>
                <c:pt idx="7">
                  <c:v>1.611014833980889</c:v>
                </c:pt>
                <c:pt idx="8">
                  <c:v>1.4771212547196624</c:v>
                </c:pt>
                <c:pt idx="9">
                  <c:v>1.4499690086760477</c:v>
                </c:pt>
              </c:numCache>
            </c:numRef>
          </c:yVal>
          <c:smooth val="0"/>
          <c:extLst>
            <c:ext xmlns:c16="http://schemas.microsoft.com/office/drawing/2014/chart" uri="{C3380CC4-5D6E-409C-BE32-E72D297353CC}">
              <c16:uniqueId val="{00000000-531C-4761-9060-049FB6719541}"/>
            </c:ext>
          </c:extLst>
        </c:ser>
        <c:ser>
          <c:idx val="2"/>
          <c:order val="1"/>
          <c:tx>
            <c:strRef>
              <c:f>'5-Mean Time Between Failure'!$J$4</c:f>
              <c:strCache>
                <c:ptCount val="1"/>
                <c:pt idx="0">
                  <c:v>Instantaneous MTBF</c:v>
                </c:pt>
              </c:strCache>
            </c:strRef>
          </c:tx>
          <c:spPr>
            <a:ln w="25400" cap="rnd">
              <a:noFill/>
              <a:round/>
            </a:ln>
            <a:effectLst/>
          </c:spPr>
          <c:marker>
            <c:symbol val="circle"/>
            <c:size val="5"/>
            <c:spPr>
              <a:solidFill>
                <a:schemeClr val="accent3"/>
              </a:solidFill>
              <a:ln w="9525">
                <a:solidFill>
                  <a:schemeClr val="accent3"/>
                </a:solidFill>
              </a:ln>
              <a:effectLst/>
            </c:spPr>
          </c:marker>
          <c:trendline>
            <c:spPr>
              <a:ln w="19050" cap="rnd">
                <a:solidFill>
                  <a:schemeClr val="accent3"/>
                </a:solidFill>
                <a:prstDash val="sysDot"/>
              </a:ln>
              <a:effectLst/>
            </c:spPr>
            <c:trendlineType val="linear"/>
            <c:dispRSqr val="1"/>
            <c:dispEq val="1"/>
            <c:trendlineLbl>
              <c:layout>
                <c:manualLayout>
                  <c:x val="-5.892051902930779E-2"/>
                  <c:y val="-2.883884031481256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'5-Mean Time Between Failure'!$F$7:$F$16</c:f>
              <c:numCache>
                <c:formatCode>General</c:formatCode>
                <c:ptCount val="10"/>
                <c:pt idx="0">
                  <c:v>1.3979400086720377</c:v>
                </c:pt>
                <c:pt idx="1">
                  <c:v>1.6989700043360187</c:v>
                </c:pt>
                <c:pt idx="2">
                  <c:v>1.954242509439325</c:v>
                </c:pt>
                <c:pt idx="3">
                  <c:v>2.0969100130080562</c:v>
                </c:pt>
                <c:pt idx="4">
                  <c:v>2.2041199826559246</c:v>
                </c:pt>
                <c:pt idx="5">
                  <c:v>2.2671717284030137</c:v>
                </c:pt>
                <c:pt idx="6">
                  <c:v>2.3521825181113627</c:v>
                </c:pt>
                <c:pt idx="7">
                  <c:v>2.3891660843645326</c:v>
                </c:pt>
                <c:pt idx="8">
                  <c:v>2.4313637641589874</c:v>
                </c:pt>
                <c:pt idx="9">
                  <c:v>2.4913616938342726</c:v>
                </c:pt>
              </c:numCache>
            </c:numRef>
          </c:xVal>
          <c:yVal>
            <c:numRef>
              <c:f>'5-Mean Time Between Failure'!$L$7:$L$16</c:f>
              <c:numCache>
                <c:formatCode>General</c:formatCode>
                <c:ptCount val="10"/>
                <c:pt idx="0">
                  <c:v>1.4733481478230472</c:v>
                </c:pt>
                <c:pt idx="1">
                  <c:v>1.4733481478230472</c:v>
                </c:pt>
                <c:pt idx="2">
                  <c:v>1.5525293938706719</c:v>
                </c:pt>
                <c:pt idx="3">
                  <c:v>1.5702581608311035</c:v>
                </c:pt>
                <c:pt idx="4">
                  <c:v>1.677468130478972</c:v>
                </c:pt>
                <c:pt idx="5">
                  <c:v>1.6436098632180045</c:v>
                </c:pt>
                <c:pt idx="6">
                  <c:v>1.7286206529263533</c:v>
                </c:pt>
                <c:pt idx="7">
                  <c:v>1.6864229731318985</c:v>
                </c:pt>
                <c:pt idx="8">
                  <c:v>1.5525293938706719</c:v>
                </c:pt>
                <c:pt idx="9">
                  <c:v>1.5253771478270572</c:v>
                </c:pt>
              </c:numCache>
            </c:numRef>
          </c:yVal>
          <c:smooth val="0"/>
          <c:extLst>
            <c:ext xmlns:c16="http://schemas.microsoft.com/office/drawing/2014/chart" uri="{C3380CC4-5D6E-409C-BE32-E72D297353CC}">
              <c16:uniqueId val="{00000003-531C-4761-9060-049FB6719541}"/>
            </c:ext>
          </c:extLst>
        </c:ser>
        <c:dLbls>
          <c:showLegendKey val="0"/>
          <c:showVal val="0"/>
          <c:showCatName val="0"/>
          <c:showSerName val="0"/>
          <c:showPercent val="0"/>
          <c:showBubbleSize val="0"/>
        </c:dLbls>
        <c:axId val="560563631"/>
        <c:axId val="560564591"/>
      </c:scatterChart>
      <c:valAx>
        <c:axId val="5605636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564591"/>
        <c:crosses val="autoZero"/>
        <c:crossBetween val="midCat"/>
      </c:valAx>
      <c:valAx>
        <c:axId val="5605645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Log(MTBF)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05636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png"/><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5.xml"/><Relationship Id="rId5" Type="http://schemas.openxmlformats.org/officeDocument/2006/relationships/image" Target="../media/image5.png"/><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8.png"/><Relationship Id="rId1" Type="http://schemas.openxmlformats.org/officeDocument/2006/relationships/image" Target="../media/image7.png"/><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6</xdr:col>
      <xdr:colOff>43961</xdr:colOff>
      <xdr:row>1</xdr:row>
      <xdr:rowOff>173056</xdr:rowOff>
    </xdr:from>
    <xdr:to>
      <xdr:col>7</xdr:col>
      <xdr:colOff>439421</xdr:colOff>
      <xdr:row>3</xdr:row>
      <xdr:rowOff>157753</xdr:rowOff>
    </xdr:to>
    <xdr:pic>
      <xdr:nvPicPr>
        <xdr:cNvPr id="2" name="Picture 1">
          <a:extLst>
            <a:ext uri="{FF2B5EF4-FFF2-40B4-BE49-F238E27FC236}">
              <a16:creationId xmlns:a16="http://schemas.microsoft.com/office/drawing/2014/main" id="{642EE45D-ED77-40C9-9711-5718C8832573}"/>
            </a:ext>
          </a:extLst>
        </xdr:cNvPr>
        <xdr:cNvPicPr>
          <a:picLocks noChangeAspect="1"/>
        </xdr:cNvPicPr>
      </xdr:nvPicPr>
      <xdr:blipFill>
        <a:blip xmlns:r="http://schemas.openxmlformats.org/officeDocument/2006/relationships" r:embed="rId1"/>
        <a:stretch>
          <a:fillRect/>
        </a:stretch>
      </xdr:blipFill>
      <xdr:spPr>
        <a:xfrm>
          <a:off x="4513384" y="370883"/>
          <a:ext cx="1003595" cy="365697"/>
        </a:xfrm>
        <a:prstGeom prst="rect">
          <a:avLst/>
        </a:prstGeom>
      </xdr:spPr>
    </xdr:pic>
    <xdr:clientData/>
  </xdr:twoCellAnchor>
  <xdr:twoCellAnchor editAs="oneCell">
    <xdr:from>
      <xdr:col>6</xdr:col>
      <xdr:colOff>79443</xdr:colOff>
      <xdr:row>10</xdr:row>
      <xdr:rowOff>80470</xdr:rowOff>
    </xdr:from>
    <xdr:to>
      <xdr:col>7</xdr:col>
      <xdr:colOff>90743</xdr:colOff>
      <xdr:row>11</xdr:row>
      <xdr:rowOff>193472</xdr:rowOff>
    </xdr:to>
    <xdr:pic>
      <xdr:nvPicPr>
        <xdr:cNvPr id="3" name="Picture 2">
          <a:extLst>
            <a:ext uri="{FF2B5EF4-FFF2-40B4-BE49-F238E27FC236}">
              <a16:creationId xmlns:a16="http://schemas.microsoft.com/office/drawing/2014/main" id="{8E5933F7-DBAB-4DBD-9B75-55F8D0BAB4AF}"/>
            </a:ext>
          </a:extLst>
        </xdr:cNvPr>
        <xdr:cNvPicPr>
          <a:picLocks noChangeAspect="1"/>
        </xdr:cNvPicPr>
      </xdr:nvPicPr>
      <xdr:blipFill>
        <a:blip xmlns:r="http://schemas.openxmlformats.org/officeDocument/2006/relationships" r:embed="rId2"/>
        <a:stretch>
          <a:fillRect/>
        </a:stretch>
      </xdr:blipFill>
      <xdr:spPr>
        <a:xfrm>
          <a:off x="4548866" y="2197951"/>
          <a:ext cx="619435" cy="303502"/>
        </a:xfrm>
        <a:prstGeom prst="rect">
          <a:avLst/>
        </a:prstGeom>
      </xdr:spPr>
    </xdr:pic>
    <xdr:clientData/>
  </xdr:twoCellAnchor>
  <xdr:twoCellAnchor editAs="oneCell">
    <xdr:from>
      <xdr:col>9</xdr:col>
      <xdr:colOff>93704</xdr:colOff>
      <xdr:row>47</xdr:row>
      <xdr:rowOff>161774</xdr:rowOff>
    </xdr:from>
    <xdr:to>
      <xdr:col>9</xdr:col>
      <xdr:colOff>1043008</xdr:colOff>
      <xdr:row>50</xdr:row>
      <xdr:rowOff>165046</xdr:rowOff>
    </xdr:to>
    <xdr:pic>
      <xdr:nvPicPr>
        <xdr:cNvPr id="4" name="Picture 3">
          <a:extLst>
            <a:ext uri="{FF2B5EF4-FFF2-40B4-BE49-F238E27FC236}">
              <a16:creationId xmlns:a16="http://schemas.microsoft.com/office/drawing/2014/main" id="{B5ECAB90-BE10-4B9B-BE65-5A60360DCAA9}"/>
            </a:ext>
          </a:extLst>
        </xdr:cNvPr>
        <xdr:cNvPicPr>
          <a:picLocks noChangeAspect="1"/>
        </xdr:cNvPicPr>
      </xdr:nvPicPr>
      <xdr:blipFill>
        <a:blip xmlns:r="http://schemas.openxmlformats.org/officeDocument/2006/relationships" r:embed="rId3"/>
        <a:stretch>
          <a:fillRect/>
        </a:stretch>
      </xdr:blipFill>
      <xdr:spPr>
        <a:xfrm>
          <a:off x="6387531" y="7481370"/>
          <a:ext cx="949304" cy="618734"/>
        </a:xfrm>
        <a:prstGeom prst="rect">
          <a:avLst/>
        </a:prstGeom>
      </xdr:spPr>
    </xdr:pic>
    <xdr:clientData/>
  </xdr:twoCellAnchor>
  <xdr:twoCellAnchor editAs="oneCell">
    <xdr:from>
      <xdr:col>9</xdr:col>
      <xdr:colOff>1129356</xdr:colOff>
      <xdr:row>48</xdr:row>
      <xdr:rowOff>131986</xdr:rowOff>
    </xdr:from>
    <xdr:to>
      <xdr:col>10</xdr:col>
      <xdr:colOff>135161</xdr:colOff>
      <xdr:row>50</xdr:row>
      <xdr:rowOff>24516</xdr:rowOff>
    </xdr:to>
    <xdr:pic>
      <xdr:nvPicPr>
        <xdr:cNvPr id="5" name="Picture 4">
          <a:extLst>
            <a:ext uri="{FF2B5EF4-FFF2-40B4-BE49-F238E27FC236}">
              <a16:creationId xmlns:a16="http://schemas.microsoft.com/office/drawing/2014/main" id="{E1A91FBF-F383-47FE-8464-B7A3FFF2F65F}"/>
            </a:ext>
          </a:extLst>
        </xdr:cNvPr>
        <xdr:cNvPicPr>
          <a:picLocks noChangeAspect="1"/>
        </xdr:cNvPicPr>
      </xdr:nvPicPr>
      <xdr:blipFill>
        <a:blip xmlns:r="http://schemas.openxmlformats.org/officeDocument/2006/relationships" r:embed="rId4"/>
        <a:stretch>
          <a:fillRect/>
        </a:stretch>
      </xdr:blipFill>
      <xdr:spPr>
        <a:xfrm>
          <a:off x="7423183" y="7649409"/>
          <a:ext cx="874170" cy="310165"/>
        </a:xfrm>
        <a:prstGeom prst="rect">
          <a:avLst/>
        </a:prstGeom>
      </xdr:spPr>
    </xdr:pic>
    <xdr:clientData/>
  </xdr:twoCellAnchor>
  <xdr:twoCellAnchor editAs="oneCell">
    <xdr:from>
      <xdr:col>6</xdr:col>
      <xdr:colOff>28698</xdr:colOff>
      <xdr:row>15</xdr:row>
      <xdr:rowOff>129580</xdr:rowOff>
    </xdr:from>
    <xdr:to>
      <xdr:col>8</xdr:col>
      <xdr:colOff>140337</xdr:colOff>
      <xdr:row>18</xdr:row>
      <xdr:rowOff>34107</xdr:rowOff>
    </xdr:to>
    <xdr:pic>
      <xdr:nvPicPr>
        <xdr:cNvPr id="6" name="Picture 5">
          <a:extLst>
            <a:ext uri="{FF2B5EF4-FFF2-40B4-BE49-F238E27FC236}">
              <a16:creationId xmlns:a16="http://schemas.microsoft.com/office/drawing/2014/main" id="{1D027AFE-2012-4878-890A-2F1BD360F793}"/>
            </a:ext>
          </a:extLst>
        </xdr:cNvPr>
        <xdr:cNvPicPr>
          <a:picLocks noChangeAspect="1"/>
        </xdr:cNvPicPr>
      </xdr:nvPicPr>
      <xdr:blipFill>
        <a:blip xmlns:r="http://schemas.openxmlformats.org/officeDocument/2006/relationships" r:embed="rId5"/>
        <a:stretch>
          <a:fillRect/>
        </a:stretch>
      </xdr:blipFill>
      <xdr:spPr>
        <a:xfrm>
          <a:off x="4498121" y="3360753"/>
          <a:ext cx="1327908" cy="476027"/>
        </a:xfrm>
        <a:prstGeom prst="rect">
          <a:avLst/>
        </a:prstGeom>
      </xdr:spPr>
    </xdr:pic>
    <xdr:clientData/>
  </xdr:twoCellAnchor>
  <xdr:twoCellAnchor editAs="oneCell">
    <xdr:from>
      <xdr:col>10</xdr:col>
      <xdr:colOff>388326</xdr:colOff>
      <xdr:row>42</xdr:row>
      <xdr:rowOff>122129</xdr:rowOff>
    </xdr:from>
    <xdr:to>
      <xdr:col>24</xdr:col>
      <xdr:colOff>256652</xdr:colOff>
      <xdr:row>51</xdr:row>
      <xdr:rowOff>39755</xdr:rowOff>
    </xdr:to>
    <xdr:pic>
      <xdr:nvPicPr>
        <xdr:cNvPr id="7" name="Picture 6">
          <a:extLst>
            <a:ext uri="{FF2B5EF4-FFF2-40B4-BE49-F238E27FC236}">
              <a16:creationId xmlns:a16="http://schemas.microsoft.com/office/drawing/2014/main" id="{D9091E99-CB68-4DF6-834F-6862DEA01299}"/>
            </a:ext>
          </a:extLst>
        </xdr:cNvPr>
        <xdr:cNvPicPr>
          <a:picLocks noChangeAspect="1"/>
        </xdr:cNvPicPr>
      </xdr:nvPicPr>
      <xdr:blipFill>
        <a:blip xmlns:r="http://schemas.openxmlformats.org/officeDocument/2006/relationships" r:embed="rId6"/>
        <a:stretch>
          <a:fillRect/>
        </a:stretch>
      </xdr:blipFill>
      <xdr:spPr>
        <a:xfrm>
          <a:off x="8550518" y="6371994"/>
          <a:ext cx="8382211" cy="1844607"/>
        </a:xfrm>
        <a:prstGeom prst="rect">
          <a:avLst/>
        </a:prstGeom>
      </xdr:spPr>
    </xdr:pic>
    <xdr:clientData/>
  </xdr:twoCellAnchor>
  <xdr:twoCellAnchor>
    <xdr:from>
      <xdr:col>1</xdr:col>
      <xdr:colOff>259045</xdr:colOff>
      <xdr:row>69</xdr:row>
      <xdr:rowOff>28846</xdr:rowOff>
    </xdr:from>
    <xdr:to>
      <xdr:col>5</xdr:col>
      <xdr:colOff>574355</xdr:colOff>
      <xdr:row>82</xdr:row>
      <xdr:rowOff>88795</xdr:rowOff>
    </xdr:to>
    <xdr:graphicFrame macro="">
      <xdr:nvGraphicFramePr>
        <xdr:cNvPr id="8" name="Chart 7">
          <a:extLst>
            <a:ext uri="{FF2B5EF4-FFF2-40B4-BE49-F238E27FC236}">
              <a16:creationId xmlns:a16="http://schemas.microsoft.com/office/drawing/2014/main" id="{6F99CA1B-4521-4CFA-BC93-066B89187E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164221</xdr:colOff>
      <xdr:row>78</xdr:row>
      <xdr:rowOff>26276</xdr:rowOff>
    </xdr:from>
    <xdr:to>
      <xdr:col>5</xdr:col>
      <xdr:colOff>479531</xdr:colOff>
      <xdr:row>91</xdr:row>
      <xdr:rowOff>87368</xdr:rowOff>
    </xdr:to>
    <xdr:graphicFrame macro="">
      <xdr:nvGraphicFramePr>
        <xdr:cNvPr id="9" name="Chart 8">
          <a:extLst>
            <a:ext uri="{FF2B5EF4-FFF2-40B4-BE49-F238E27FC236}">
              <a16:creationId xmlns:a16="http://schemas.microsoft.com/office/drawing/2014/main" id="{56A48D30-0E52-467C-AC81-E83BB36F8F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249620</xdr:colOff>
      <xdr:row>75</xdr:row>
      <xdr:rowOff>157654</xdr:rowOff>
    </xdr:from>
    <xdr:to>
      <xdr:col>12</xdr:col>
      <xdr:colOff>164223</xdr:colOff>
      <xdr:row>89</xdr:row>
      <xdr:rowOff>28246</xdr:rowOff>
    </xdr:to>
    <xdr:graphicFrame macro="">
      <xdr:nvGraphicFramePr>
        <xdr:cNvPr id="10" name="Chart 9">
          <a:extLst>
            <a:ext uri="{FF2B5EF4-FFF2-40B4-BE49-F238E27FC236}">
              <a16:creationId xmlns:a16="http://schemas.microsoft.com/office/drawing/2014/main" id="{B9C36EC8-0328-4098-A7CE-F0EA8842A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127953</xdr:colOff>
      <xdr:row>73</xdr:row>
      <xdr:rowOff>87680</xdr:rowOff>
    </xdr:from>
    <xdr:to>
      <xdr:col>20</xdr:col>
      <xdr:colOff>67404</xdr:colOff>
      <xdr:row>86</xdr:row>
      <xdr:rowOff>147629</xdr:rowOff>
    </xdr:to>
    <xdr:graphicFrame macro="">
      <xdr:nvGraphicFramePr>
        <xdr:cNvPr id="11" name="Chart 10">
          <a:extLst>
            <a:ext uri="{FF2B5EF4-FFF2-40B4-BE49-F238E27FC236}">
              <a16:creationId xmlns:a16="http://schemas.microsoft.com/office/drawing/2014/main" id="{0E067C97-B560-4B0C-BC76-D996DBF106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37700</xdr:colOff>
      <xdr:row>68</xdr:row>
      <xdr:rowOff>23706</xdr:rowOff>
    </xdr:from>
    <xdr:to>
      <xdr:col>18</xdr:col>
      <xdr:colOff>565216</xdr:colOff>
      <xdr:row>81</xdr:row>
      <xdr:rowOff>84798</xdr:rowOff>
    </xdr:to>
    <xdr:graphicFrame macro="">
      <xdr:nvGraphicFramePr>
        <xdr:cNvPr id="12" name="Chart 11">
          <a:extLst>
            <a:ext uri="{FF2B5EF4-FFF2-40B4-BE49-F238E27FC236}">
              <a16:creationId xmlns:a16="http://schemas.microsoft.com/office/drawing/2014/main" id="{1F0714A7-AE8E-4BE0-B7D0-28601AB90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66675</xdr:colOff>
          <xdr:row>7</xdr:row>
          <xdr:rowOff>57150</xdr:rowOff>
        </xdr:from>
        <xdr:to>
          <xdr:col>7</xdr:col>
          <xdr:colOff>800100</xdr:colOff>
          <xdr:row>11</xdr:row>
          <xdr:rowOff>123825</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400-000004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Tables Macro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20</xdr:col>
      <xdr:colOff>85725</xdr:colOff>
      <xdr:row>27</xdr:row>
      <xdr:rowOff>53340</xdr:rowOff>
    </xdr:from>
    <xdr:to>
      <xdr:col>25</xdr:col>
      <xdr:colOff>474828</xdr:colOff>
      <xdr:row>40</xdr:row>
      <xdr:rowOff>72721</xdr:rowOff>
    </xdr:to>
    <xdr:pic>
      <xdr:nvPicPr>
        <xdr:cNvPr id="2" name="Picture 1">
          <a:extLst>
            <a:ext uri="{FF2B5EF4-FFF2-40B4-BE49-F238E27FC236}">
              <a16:creationId xmlns:a16="http://schemas.microsoft.com/office/drawing/2014/main" id="{520815E8-7CC4-C931-903B-3060146F816A}"/>
            </a:ext>
          </a:extLst>
        </xdr:cNvPr>
        <xdr:cNvPicPr>
          <a:picLocks noChangeAspect="1"/>
        </xdr:cNvPicPr>
      </xdr:nvPicPr>
      <xdr:blipFill>
        <a:blip xmlns:r="http://schemas.openxmlformats.org/officeDocument/2006/relationships" r:embed="rId1"/>
        <a:stretch>
          <a:fillRect/>
        </a:stretch>
      </xdr:blipFill>
      <xdr:spPr>
        <a:xfrm>
          <a:off x="12001500" y="4939665"/>
          <a:ext cx="3446628" cy="2372056"/>
        </a:xfrm>
        <a:prstGeom prst="rect">
          <a:avLst/>
        </a:prstGeom>
      </xdr:spPr>
    </xdr:pic>
    <xdr:clientData/>
  </xdr:twoCellAnchor>
  <xdr:twoCellAnchor editAs="oneCell">
    <xdr:from>
      <xdr:col>3</xdr:col>
      <xdr:colOff>96797</xdr:colOff>
      <xdr:row>21</xdr:row>
      <xdr:rowOff>47625</xdr:rowOff>
    </xdr:from>
    <xdr:to>
      <xdr:col>3</xdr:col>
      <xdr:colOff>472875</xdr:colOff>
      <xdr:row>21</xdr:row>
      <xdr:rowOff>171586</xdr:rowOff>
    </xdr:to>
    <xdr:pic>
      <xdr:nvPicPr>
        <xdr:cNvPr id="4" name="Picture 3">
          <a:extLst>
            <a:ext uri="{FF2B5EF4-FFF2-40B4-BE49-F238E27FC236}">
              <a16:creationId xmlns:a16="http://schemas.microsoft.com/office/drawing/2014/main" id="{C376D8E4-E811-9161-0C8B-F7B265B9E69C}"/>
            </a:ext>
          </a:extLst>
        </xdr:cNvPr>
        <xdr:cNvPicPr>
          <a:picLocks noChangeAspect="1"/>
        </xdr:cNvPicPr>
      </xdr:nvPicPr>
      <xdr:blipFill>
        <a:blip xmlns:r="http://schemas.openxmlformats.org/officeDocument/2006/relationships" r:embed="rId2"/>
        <a:stretch>
          <a:fillRect/>
        </a:stretch>
      </xdr:blipFill>
      <xdr:spPr>
        <a:xfrm>
          <a:off x="2868572" y="3848100"/>
          <a:ext cx="370363" cy="116341"/>
        </a:xfrm>
        <a:prstGeom prst="rect">
          <a:avLst/>
        </a:prstGeom>
      </xdr:spPr>
    </xdr:pic>
    <xdr:clientData/>
  </xdr:twoCellAnchor>
  <xdr:twoCellAnchor>
    <xdr:from>
      <xdr:col>7</xdr:col>
      <xdr:colOff>597217</xdr:colOff>
      <xdr:row>25</xdr:row>
      <xdr:rowOff>88582</xdr:rowOff>
    </xdr:from>
    <xdr:to>
      <xdr:col>15</xdr:col>
      <xdr:colOff>18097</xdr:colOff>
      <xdr:row>40</xdr:row>
      <xdr:rowOff>122872</xdr:rowOff>
    </xdr:to>
    <xdr:graphicFrame macro="">
      <xdr:nvGraphicFramePr>
        <xdr:cNvPr id="5" name="Chart 4">
          <a:extLst>
            <a:ext uri="{FF2B5EF4-FFF2-40B4-BE49-F238E27FC236}">
              <a16:creationId xmlns:a16="http://schemas.microsoft.com/office/drawing/2014/main" id="{7827AF0C-B945-4B41-64A1-170CE16B0C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314325</xdr:colOff>
      <xdr:row>8</xdr:row>
      <xdr:rowOff>123825</xdr:rowOff>
    </xdr:from>
    <xdr:to>
      <xdr:col>14</xdr:col>
      <xdr:colOff>340995</xdr:colOff>
      <xdr:row>23</xdr:row>
      <xdr:rowOff>148590</xdr:rowOff>
    </xdr:to>
    <xdr:graphicFrame macro="">
      <xdr:nvGraphicFramePr>
        <xdr:cNvPr id="7" name="Chart 6">
          <a:extLst>
            <a:ext uri="{FF2B5EF4-FFF2-40B4-BE49-F238E27FC236}">
              <a16:creationId xmlns:a16="http://schemas.microsoft.com/office/drawing/2014/main" id="{8A7B4081-D707-4E6B-93B1-B76ED1E600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507682</xdr:colOff>
      <xdr:row>8</xdr:row>
      <xdr:rowOff>73342</xdr:rowOff>
    </xdr:from>
    <xdr:to>
      <xdr:col>22</xdr:col>
      <xdr:colOff>210502</xdr:colOff>
      <xdr:row>23</xdr:row>
      <xdr:rowOff>94297</xdr:rowOff>
    </xdr:to>
    <xdr:graphicFrame macro="">
      <xdr:nvGraphicFramePr>
        <xdr:cNvPr id="8" name="Chart 7">
          <a:extLst>
            <a:ext uri="{FF2B5EF4-FFF2-40B4-BE49-F238E27FC236}">
              <a16:creationId xmlns:a16="http://schemas.microsoft.com/office/drawing/2014/main" id="{E94FE2E5-27EB-6D0F-98BF-05D80D2279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27</xdr:col>
      <xdr:colOff>542924</xdr:colOff>
      <xdr:row>0</xdr:row>
      <xdr:rowOff>73397</xdr:rowOff>
    </xdr:from>
    <xdr:to>
      <xdr:col>42</xdr:col>
      <xdr:colOff>124111</xdr:colOff>
      <xdr:row>5</xdr:row>
      <xdr:rowOff>378522</xdr:rowOff>
    </xdr:to>
    <xdr:pic>
      <xdr:nvPicPr>
        <xdr:cNvPr id="2" name="Picture 1">
          <a:extLst>
            <a:ext uri="{FF2B5EF4-FFF2-40B4-BE49-F238E27FC236}">
              <a16:creationId xmlns:a16="http://schemas.microsoft.com/office/drawing/2014/main" id="{D3E92135-DDD9-B010-B80C-00618BF4E277}"/>
            </a:ext>
          </a:extLst>
        </xdr:cNvPr>
        <xdr:cNvPicPr>
          <a:picLocks noChangeAspect="1"/>
        </xdr:cNvPicPr>
      </xdr:nvPicPr>
      <xdr:blipFill>
        <a:blip xmlns:r="http://schemas.openxmlformats.org/officeDocument/2006/relationships" r:embed="rId1"/>
        <a:stretch>
          <a:fillRect/>
        </a:stretch>
      </xdr:blipFill>
      <xdr:spPr>
        <a:xfrm>
          <a:off x="20402549" y="73397"/>
          <a:ext cx="8725187" cy="3086425"/>
        </a:xfrm>
        <a:prstGeom prst="rect">
          <a:avLst/>
        </a:prstGeom>
      </xdr:spPr>
    </xdr:pic>
    <xdr:clientData/>
  </xdr:twoCellAnchor>
  <xdr:twoCellAnchor editAs="oneCell">
    <xdr:from>
      <xdr:col>27</xdr:col>
      <xdr:colOff>523875</xdr:colOff>
      <xdr:row>6</xdr:row>
      <xdr:rowOff>150839</xdr:rowOff>
    </xdr:from>
    <xdr:to>
      <xdr:col>38</xdr:col>
      <xdr:colOff>522225</xdr:colOff>
      <xdr:row>23</xdr:row>
      <xdr:rowOff>44934</xdr:rowOff>
    </xdr:to>
    <xdr:pic>
      <xdr:nvPicPr>
        <xdr:cNvPr id="3" name="Picture 2">
          <a:extLst>
            <a:ext uri="{FF2B5EF4-FFF2-40B4-BE49-F238E27FC236}">
              <a16:creationId xmlns:a16="http://schemas.microsoft.com/office/drawing/2014/main" id="{47772C2B-B5D8-DB7E-94CD-1EB7C32C9678}"/>
            </a:ext>
          </a:extLst>
        </xdr:cNvPr>
        <xdr:cNvPicPr>
          <a:picLocks noChangeAspect="1"/>
        </xdr:cNvPicPr>
      </xdr:nvPicPr>
      <xdr:blipFill>
        <a:blip xmlns:r="http://schemas.openxmlformats.org/officeDocument/2006/relationships" r:embed="rId2"/>
        <a:stretch>
          <a:fillRect/>
        </a:stretch>
      </xdr:blipFill>
      <xdr:spPr>
        <a:xfrm>
          <a:off x="20383500" y="3322664"/>
          <a:ext cx="6703950" cy="3189745"/>
        </a:xfrm>
        <a:prstGeom prst="rect">
          <a:avLst/>
        </a:prstGeom>
      </xdr:spPr>
    </xdr:pic>
    <xdr:clientData/>
  </xdr:twoCellAnchor>
  <xdr:twoCellAnchor>
    <xdr:from>
      <xdr:col>12</xdr:col>
      <xdr:colOff>276225</xdr:colOff>
      <xdr:row>11</xdr:row>
      <xdr:rowOff>23812</xdr:rowOff>
    </xdr:from>
    <xdr:to>
      <xdr:col>19</xdr:col>
      <xdr:colOff>352425</xdr:colOff>
      <xdr:row>24</xdr:row>
      <xdr:rowOff>14287</xdr:rowOff>
    </xdr:to>
    <xdr:graphicFrame macro="">
      <xdr:nvGraphicFramePr>
        <xdr:cNvPr id="4" name="Chart 3">
          <a:extLst>
            <a:ext uri="{FF2B5EF4-FFF2-40B4-BE49-F238E27FC236}">
              <a16:creationId xmlns:a16="http://schemas.microsoft.com/office/drawing/2014/main" id="{9794FE27-CFD1-8F8D-4CE5-D51105BAB0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69A1E-AF90-4787-A2C7-32B092465EB8}">
  <sheetPr codeName="Sheet5"/>
  <dimension ref="A1:H52"/>
  <sheetViews>
    <sheetView tabSelected="1" workbookViewId="0">
      <selection activeCell="I5" sqref="I5"/>
    </sheetView>
  </sheetViews>
  <sheetFormatPr defaultRowHeight="15" x14ac:dyDescent="0.25"/>
  <cols>
    <col min="1" max="1" width="9.7109375" customWidth="1"/>
  </cols>
  <sheetData>
    <row r="1" spans="1:8" x14ac:dyDescent="0.25">
      <c r="A1" s="111" t="s">
        <v>150</v>
      </c>
      <c r="B1" s="111"/>
      <c r="C1" s="111"/>
      <c r="D1" s="111"/>
      <c r="E1" s="111"/>
      <c r="F1" s="111"/>
      <c r="G1" s="111"/>
      <c r="H1" s="111"/>
    </row>
    <row r="2" spans="1:8" x14ac:dyDescent="0.25">
      <c r="A2" s="111"/>
      <c r="B2" s="111"/>
      <c r="C2" s="111"/>
      <c r="D2" s="111"/>
      <c r="E2" s="111"/>
      <c r="F2" s="111"/>
      <c r="G2" s="111"/>
      <c r="H2" s="111"/>
    </row>
    <row r="3" spans="1:8" x14ac:dyDescent="0.25">
      <c r="A3" s="111"/>
      <c r="B3" s="111"/>
      <c r="C3" s="111"/>
      <c r="D3" s="111"/>
      <c r="E3" s="111"/>
      <c r="F3" s="111"/>
      <c r="G3" s="111"/>
      <c r="H3" s="111"/>
    </row>
    <row r="4" spans="1:8" x14ac:dyDescent="0.25">
      <c r="A4" s="111"/>
      <c r="B4" s="111"/>
      <c r="C4" s="111"/>
      <c r="D4" s="111"/>
      <c r="E4" s="111"/>
      <c r="F4" s="111"/>
      <c r="G4" s="111"/>
      <c r="H4" s="111"/>
    </row>
    <row r="5" spans="1:8" x14ac:dyDescent="0.25">
      <c r="A5" s="112" t="s">
        <v>172</v>
      </c>
      <c r="B5" s="112"/>
      <c r="C5" s="112"/>
      <c r="D5" s="112"/>
      <c r="E5" s="112"/>
      <c r="F5" s="112"/>
      <c r="G5" s="112"/>
      <c r="H5" s="112"/>
    </row>
    <row r="6" spans="1:8" x14ac:dyDescent="0.25">
      <c r="A6" s="113" t="s">
        <v>144</v>
      </c>
      <c r="B6" s="113"/>
      <c r="C6" s="113"/>
      <c r="D6" s="113"/>
      <c r="E6" s="113"/>
      <c r="F6" s="113"/>
      <c r="G6" s="113"/>
      <c r="H6" s="113"/>
    </row>
    <row r="7" spans="1:8" x14ac:dyDescent="0.25">
      <c r="A7" s="88"/>
      <c r="B7" s="88"/>
      <c r="C7" s="88"/>
      <c r="D7" s="88"/>
      <c r="E7" s="88"/>
      <c r="F7" s="88"/>
      <c r="G7" s="88"/>
      <c r="H7" s="88"/>
    </row>
    <row r="8" spans="1:8" x14ac:dyDescent="0.25">
      <c r="A8" s="87"/>
      <c r="B8" s="87"/>
      <c r="C8" s="87"/>
      <c r="D8" s="87"/>
      <c r="E8" s="87"/>
      <c r="F8" s="87"/>
      <c r="G8" s="87"/>
      <c r="H8" s="87"/>
    </row>
    <row r="9" spans="1:8" x14ac:dyDescent="0.25">
      <c r="A9" s="113" t="s">
        <v>145</v>
      </c>
      <c r="B9" s="113"/>
      <c r="C9" s="113"/>
      <c r="D9" s="113"/>
      <c r="E9" s="113"/>
      <c r="F9" s="113"/>
      <c r="G9" s="113"/>
      <c r="H9" s="113"/>
    </row>
    <row r="10" spans="1:8" x14ac:dyDescent="0.25">
      <c r="A10" s="111" t="s">
        <v>163</v>
      </c>
      <c r="B10" s="111"/>
      <c r="C10" s="111"/>
      <c r="D10" s="111"/>
      <c r="E10" s="111"/>
      <c r="F10" s="111"/>
      <c r="G10" s="111"/>
      <c r="H10" s="111"/>
    </row>
    <row r="11" spans="1:8" x14ac:dyDescent="0.25">
      <c r="A11" s="111"/>
      <c r="B11" s="111"/>
      <c r="C11" s="111"/>
      <c r="D11" s="111"/>
      <c r="E11" s="111"/>
      <c r="F11" s="111"/>
      <c r="G11" s="111"/>
      <c r="H11" s="111"/>
    </row>
    <row r="12" spans="1:8" x14ac:dyDescent="0.25">
      <c r="A12" s="112" t="s">
        <v>146</v>
      </c>
      <c r="B12" s="112"/>
      <c r="C12" s="112"/>
      <c r="D12" s="112"/>
      <c r="E12" s="112"/>
      <c r="F12" s="112"/>
      <c r="G12" s="112"/>
      <c r="H12" s="112"/>
    </row>
    <row r="13" spans="1:8" x14ac:dyDescent="0.25">
      <c r="A13" s="114" t="s">
        <v>147</v>
      </c>
      <c r="B13" s="114"/>
      <c r="C13" s="114"/>
      <c r="D13" s="114"/>
      <c r="E13" s="114"/>
      <c r="F13" s="114"/>
      <c r="G13" s="114"/>
      <c r="H13" s="114"/>
    </row>
    <row r="14" spans="1:8" x14ac:dyDescent="0.25">
      <c r="A14" s="114"/>
      <c r="B14" s="114"/>
      <c r="C14" s="114"/>
      <c r="D14" s="114"/>
      <c r="E14" s="114"/>
      <c r="F14" s="114"/>
      <c r="G14" s="114"/>
      <c r="H14" s="114"/>
    </row>
    <row r="15" spans="1:8" x14ac:dyDescent="0.25">
      <c r="A15" s="111" t="s">
        <v>162</v>
      </c>
      <c r="B15" s="111"/>
      <c r="C15" s="111"/>
      <c r="D15" s="111"/>
      <c r="E15" s="111"/>
      <c r="F15" s="111"/>
      <c r="G15" s="111"/>
      <c r="H15" s="111"/>
    </row>
    <row r="16" spans="1:8" x14ac:dyDescent="0.25">
      <c r="A16" s="112" t="s">
        <v>148</v>
      </c>
      <c r="B16" s="112"/>
      <c r="C16" s="112"/>
      <c r="D16" s="112"/>
      <c r="E16" s="112"/>
      <c r="F16" s="112"/>
      <c r="G16" s="112"/>
      <c r="H16" s="112"/>
    </row>
    <row r="17" spans="1:8" ht="15.75" thickBot="1" x14ac:dyDescent="0.3">
      <c r="A17" s="89"/>
      <c r="B17" s="89"/>
      <c r="C17" s="89"/>
      <c r="D17" s="89"/>
      <c r="E17" s="89"/>
      <c r="F17" s="89"/>
      <c r="G17" s="89"/>
      <c r="H17" s="89"/>
    </row>
    <row r="18" spans="1:8" x14ac:dyDescent="0.25">
      <c r="A18" s="108" t="s">
        <v>149</v>
      </c>
      <c r="B18" s="109"/>
      <c r="C18" s="109"/>
      <c r="D18" s="109"/>
      <c r="E18" s="109"/>
      <c r="F18" s="109"/>
      <c r="G18" s="109"/>
      <c r="H18" s="110"/>
    </row>
    <row r="19" spans="1:8" ht="15" customHeight="1" x14ac:dyDescent="0.25">
      <c r="A19" s="118" t="str" cm="1">
        <f t="array" aca="1" ref="A19" ca="1">_xlfn.TEXTAFTER(CELL("filename",'0-Test Duty Cycle to Lead Time'!A1),"]")</f>
        <v>0-Test Duty Cycle to Lead Time</v>
      </c>
      <c r="B19" s="117" t="s">
        <v>173</v>
      </c>
      <c r="C19" s="117"/>
      <c r="D19" s="117"/>
      <c r="E19" s="117"/>
      <c r="F19" s="117"/>
      <c r="G19" s="117"/>
      <c r="H19" s="117"/>
    </row>
    <row r="20" spans="1:8" x14ac:dyDescent="0.25">
      <c r="A20" s="118"/>
      <c r="B20" s="117"/>
      <c r="C20" s="117"/>
      <c r="D20" s="117"/>
      <c r="E20" s="117"/>
      <c r="F20" s="117"/>
      <c r="G20" s="117"/>
      <c r="H20" s="117"/>
    </row>
    <row r="21" spans="1:8" x14ac:dyDescent="0.25">
      <c r="A21" s="118"/>
      <c r="B21" s="117"/>
      <c r="C21" s="117"/>
      <c r="D21" s="117"/>
      <c r="E21" s="117"/>
      <c r="F21" s="117"/>
      <c r="G21" s="117"/>
      <c r="H21" s="117"/>
    </row>
    <row r="22" spans="1:8" x14ac:dyDescent="0.25">
      <c r="A22" s="118"/>
      <c r="B22" s="117"/>
      <c r="C22" s="117"/>
      <c r="D22" s="117"/>
      <c r="E22" s="117"/>
      <c r="F22" s="117"/>
      <c r="G22" s="117"/>
      <c r="H22" s="117"/>
    </row>
    <row r="23" spans="1:8" x14ac:dyDescent="0.25">
      <c r="A23" s="118"/>
      <c r="B23" s="117"/>
      <c r="C23" s="117"/>
      <c r="D23" s="117"/>
      <c r="E23" s="117"/>
      <c r="F23" s="117"/>
      <c r="G23" s="117"/>
      <c r="H23" s="117"/>
    </row>
    <row r="24" spans="1:8" x14ac:dyDescent="0.25">
      <c r="A24" s="118"/>
      <c r="B24" s="117"/>
      <c r="C24" s="117"/>
      <c r="D24" s="117"/>
      <c r="E24" s="117"/>
      <c r="F24" s="117"/>
      <c r="G24" s="117"/>
      <c r="H24" s="117"/>
    </row>
    <row r="25" spans="1:8" x14ac:dyDescent="0.25">
      <c r="A25" s="118"/>
      <c r="B25" s="117"/>
      <c r="C25" s="117"/>
      <c r="D25" s="117"/>
      <c r="E25" s="117"/>
      <c r="F25" s="117"/>
      <c r="G25" s="117"/>
      <c r="H25" s="117"/>
    </row>
    <row r="26" spans="1:8" x14ac:dyDescent="0.25">
      <c r="A26" s="118"/>
      <c r="B26" s="117"/>
      <c r="C26" s="117"/>
      <c r="D26" s="117"/>
      <c r="E26" s="117"/>
      <c r="F26" s="117"/>
      <c r="G26" s="117"/>
      <c r="H26" s="117"/>
    </row>
    <row r="27" spans="1:8" ht="15" customHeight="1" x14ac:dyDescent="0.25">
      <c r="A27" s="116" t="str" cm="1">
        <f t="array" aca="1" ref="A27" ca="1">_xlfn.TEXTAFTER(CELL("filename",'1-Simple Reliability Confidence'!A1),"]")</f>
        <v>1-Simple Reliability Confidence</v>
      </c>
      <c r="B27" s="115" t="s">
        <v>157</v>
      </c>
      <c r="C27" s="115"/>
      <c r="D27" s="115"/>
      <c r="E27" s="115"/>
      <c r="F27" s="115"/>
      <c r="G27" s="115"/>
      <c r="H27" s="115"/>
    </row>
    <row r="28" spans="1:8" x14ac:dyDescent="0.25">
      <c r="A28" s="116"/>
      <c r="B28" s="115"/>
      <c r="C28" s="115"/>
      <c r="D28" s="115"/>
      <c r="E28" s="115"/>
      <c r="F28" s="115"/>
      <c r="G28" s="115"/>
      <c r="H28" s="115"/>
    </row>
    <row r="29" spans="1:8" x14ac:dyDescent="0.25">
      <c r="A29" s="116"/>
      <c r="B29" s="115"/>
      <c r="C29" s="115"/>
      <c r="D29" s="115"/>
      <c r="E29" s="115"/>
      <c r="F29" s="115"/>
      <c r="G29" s="115"/>
      <c r="H29" s="115"/>
    </row>
    <row r="30" spans="1:8" x14ac:dyDescent="0.25">
      <c r="A30" s="116"/>
      <c r="B30" s="115"/>
      <c r="C30" s="115"/>
      <c r="D30" s="115"/>
      <c r="E30" s="115"/>
      <c r="F30" s="115"/>
      <c r="G30" s="115"/>
      <c r="H30" s="115"/>
    </row>
    <row r="31" spans="1:8" ht="15" customHeight="1" x14ac:dyDescent="0.25">
      <c r="A31" s="116" t="str" cm="1">
        <f t="array" aca="1" ref="A31" ca="1">_xlfn.TEXTAFTER(CELL("filename",'2-Parametric Binomial Reliablty'!A1),"]")</f>
        <v>2-Parametric Binomial Reliablty</v>
      </c>
      <c r="B31" s="115" t="s">
        <v>159</v>
      </c>
      <c r="C31" s="115"/>
      <c r="D31" s="115"/>
      <c r="E31" s="115"/>
      <c r="F31" s="115"/>
      <c r="G31" s="115"/>
      <c r="H31" s="115"/>
    </row>
    <row r="32" spans="1:8" x14ac:dyDescent="0.25">
      <c r="A32" s="116"/>
      <c r="B32" s="115"/>
      <c r="C32" s="115"/>
      <c r="D32" s="115"/>
      <c r="E32" s="115"/>
      <c r="F32" s="115"/>
      <c r="G32" s="115"/>
      <c r="H32" s="115"/>
    </row>
    <row r="33" spans="1:8" x14ac:dyDescent="0.25">
      <c r="A33" s="116"/>
      <c r="B33" s="115"/>
      <c r="C33" s="115"/>
      <c r="D33" s="115"/>
      <c r="E33" s="115"/>
      <c r="F33" s="115"/>
      <c r="G33" s="115"/>
      <c r="H33" s="115"/>
    </row>
    <row r="34" spans="1:8" x14ac:dyDescent="0.25">
      <c r="A34" s="116"/>
      <c r="B34" s="115"/>
      <c r="C34" s="115"/>
      <c r="D34" s="115"/>
      <c r="E34" s="115"/>
      <c r="F34" s="115"/>
      <c r="G34" s="115"/>
      <c r="H34" s="115"/>
    </row>
    <row r="35" spans="1:8" x14ac:dyDescent="0.25">
      <c r="A35" s="116"/>
      <c r="B35" s="115"/>
      <c r="C35" s="115"/>
      <c r="D35" s="115"/>
      <c r="E35" s="115"/>
      <c r="F35" s="115"/>
      <c r="G35" s="115"/>
      <c r="H35" s="115"/>
    </row>
    <row r="36" spans="1:8" x14ac:dyDescent="0.25">
      <c r="A36" s="116"/>
      <c r="B36" s="115"/>
      <c r="C36" s="115"/>
      <c r="D36" s="115"/>
      <c r="E36" s="115"/>
      <c r="F36" s="115"/>
      <c r="G36" s="115"/>
      <c r="H36" s="115"/>
    </row>
    <row r="37" spans="1:8" x14ac:dyDescent="0.25">
      <c r="A37" s="116"/>
      <c r="B37" s="115"/>
      <c r="C37" s="115"/>
      <c r="D37" s="115"/>
      <c r="E37" s="115"/>
      <c r="F37" s="115"/>
      <c r="G37" s="115"/>
      <c r="H37" s="115"/>
    </row>
    <row r="38" spans="1:8" ht="15" customHeight="1" x14ac:dyDescent="0.25">
      <c r="A38" s="116" t="str" cm="1">
        <f t="array" aca="1" ref="A38" ca="1">_xlfn.TEXTAFTER(CELL("filename",'3-Test Time Table'!A1),"]")</f>
        <v>3-Test Time Table</v>
      </c>
      <c r="B38" s="115" t="s">
        <v>170</v>
      </c>
      <c r="C38" s="115"/>
      <c r="D38" s="115"/>
      <c r="E38" s="115"/>
      <c r="F38" s="115"/>
      <c r="G38" s="115"/>
      <c r="H38" s="115"/>
    </row>
    <row r="39" spans="1:8" x14ac:dyDescent="0.25">
      <c r="A39" s="116"/>
      <c r="B39" s="115"/>
      <c r="C39" s="115"/>
      <c r="D39" s="115"/>
      <c r="E39" s="115"/>
      <c r="F39" s="115"/>
      <c r="G39" s="115"/>
      <c r="H39" s="115"/>
    </row>
    <row r="40" spans="1:8" x14ac:dyDescent="0.25">
      <c r="A40" s="116"/>
      <c r="B40" s="115"/>
      <c r="C40" s="115"/>
      <c r="D40" s="115"/>
      <c r="E40" s="115"/>
      <c r="F40" s="115"/>
      <c r="G40" s="115"/>
      <c r="H40" s="115"/>
    </row>
    <row r="41" spans="1:8" x14ac:dyDescent="0.25">
      <c r="A41" s="116"/>
      <c r="B41" s="115"/>
      <c r="C41" s="115"/>
      <c r="D41" s="115"/>
      <c r="E41" s="115"/>
      <c r="F41" s="115"/>
      <c r="G41" s="115"/>
      <c r="H41" s="115"/>
    </row>
    <row r="42" spans="1:8" x14ac:dyDescent="0.25">
      <c r="A42" s="116"/>
      <c r="B42" s="115"/>
      <c r="C42" s="115"/>
      <c r="D42" s="115"/>
      <c r="E42" s="115"/>
      <c r="F42" s="115"/>
      <c r="G42" s="115"/>
      <c r="H42" s="115"/>
    </row>
    <row r="43" spans="1:8" x14ac:dyDescent="0.25">
      <c r="A43" s="116"/>
      <c r="B43" s="115"/>
      <c r="C43" s="115"/>
      <c r="D43" s="115"/>
      <c r="E43" s="115"/>
      <c r="F43" s="115"/>
      <c r="G43" s="115"/>
      <c r="H43" s="115"/>
    </row>
    <row r="44" spans="1:8" x14ac:dyDescent="0.25">
      <c r="A44" s="116"/>
      <c r="B44" s="115"/>
      <c r="C44" s="115"/>
      <c r="D44" s="115"/>
      <c r="E44" s="115"/>
      <c r="F44" s="115"/>
      <c r="G44" s="115"/>
      <c r="H44" s="115"/>
    </row>
    <row r="45" spans="1:8" ht="15" customHeight="1" x14ac:dyDescent="0.25">
      <c r="A45" s="120" t="str" cm="1">
        <f t="array" aca="1" ref="A45" ca="1">_xlfn.TEXTAFTER(CELL("filename",'4-PDF'!A1),"]")</f>
        <v>4-PDF</v>
      </c>
      <c r="B45" s="119" t="s">
        <v>160</v>
      </c>
      <c r="C45" s="119"/>
      <c r="D45" s="119"/>
      <c r="E45" s="119"/>
      <c r="F45" s="119"/>
      <c r="G45" s="119"/>
      <c r="H45" s="119"/>
    </row>
    <row r="46" spans="1:8" x14ac:dyDescent="0.25">
      <c r="A46" s="120"/>
      <c r="B46" s="119"/>
      <c r="C46" s="119"/>
      <c r="D46" s="119"/>
      <c r="E46" s="119"/>
      <c r="F46" s="119"/>
      <c r="G46" s="119"/>
      <c r="H46" s="119"/>
    </row>
    <row r="47" spans="1:8" x14ac:dyDescent="0.25">
      <c r="A47" s="120"/>
      <c r="B47" s="119"/>
      <c r="C47" s="119"/>
      <c r="D47" s="119"/>
      <c r="E47" s="119"/>
      <c r="F47" s="119"/>
      <c r="G47" s="119"/>
      <c r="H47" s="119"/>
    </row>
    <row r="48" spans="1:8" x14ac:dyDescent="0.25">
      <c r="A48" s="120"/>
      <c r="B48" s="119"/>
      <c r="C48" s="119"/>
      <c r="D48" s="119"/>
      <c r="E48" s="119"/>
      <c r="F48" s="119"/>
      <c r="G48" s="119"/>
      <c r="H48" s="119"/>
    </row>
    <row r="49" spans="1:8" ht="15" customHeight="1" x14ac:dyDescent="0.25">
      <c r="A49" s="120" t="str" cm="1">
        <f t="array" aca="1" ref="A49" ca="1">_xlfn.TEXTAFTER(CELL("filename",'5-Mean Time Between Failure'!A1),"]")</f>
        <v>5-Mean Time Between Failure</v>
      </c>
      <c r="B49" s="119" t="s">
        <v>161</v>
      </c>
      <c r="C49" s="119"/>
      <c r="D49" s="119"/>
      <c r="E49" s="119"/>
      <c r="F49" s="119"/>
      <c r="G49" s="119"/>
      <c r="H49" s="119"/>
    </row>
    <row r="50" spans="1:8" x14ac:dyDescent="0.25">
      <c r="A50" s="120"/>
      <c r="B50" s="119"/>
      <c r="C50" s="119"/>
      <c r="D50" s="119"/>
      <c r="E50" s="119"/>
      <c r="F50" s="119"/>
      <c r="G50" s="119"/>
      <c r="H50" s="119"/>
    </row>
    <row r="51" spans="1:8" x14ac:dyDescent="0.25">
      <c r="A51" s="120"/>
      <c r="B51" s="119"/>
      <c r="C51" s="119"/>
      <c r="D51" s="119"/>
      <c r="E51" s="119"/>
      <c r="F51" s="119"/>
      <c r="G51" s="119"/>
      <c r="H51" s="119"/>
    </row>
    <row r="52" spans="1:8" x14ac:dyDescent="0.25">
      <c r="A52" s="120"/>
      <c r="B52" s="119"/>
      <c r="C52" s="119"/>
      <c r="D52" s="119"/>
      <c r="E52" s="119"/>
      <c r="F52" s="119"/>
      <c r="G52" s="119"/>
      <c r="H52" s="119"/>
    </row>
  </sheetData>
  <mergeCells count="22">
    <mergeCell ref="B49:H52"/>
    <mergeCell ref="A38:A44"/>
    <mergeCell ref="B38:H44"/>
    <mergeCell ref="B45:H48"/>
    <mergeCell ref="A45:A48"/>
    <mergeCell ref="A49:A52"/>
    <mergeCell ref="B31:H37"/>
    <mergeCell ref="A31:A37"/>
    <mergeCell ref="B19:H26"/>
    <mergeCell ref="A19:A26"/>
    <mergeCell ref="B27:H30"/>
    <mergeCell ref="A27:A30"/>
    <mergeCell ref="A18:H18"/>
    <mergeCell ref="A1:H4"/>
    <mergeCell ref="A5:H5"/>
    <mergeCell ref="A6:H6"/>
    <mergeCell ref="A9:H9"/>
    <mergeCell ref="A10:H11"/>
    <mergeCell ref="A12:H12"/>
    <mergeCell ref="A13:H14"/>
    <mergeCell ref="A15:H15"/>
    <mergeCell ref="A16:H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A4417-8F5A-45BD-AC83-0E5C30A32FA9}">
  <sheetPr codeName="Sheet1"/>
  <dimension ref="B1:D10"/>
  <sheetViews>
    <sheetView workbookViewId="0">
      <selection activeCell="D16" sqref="D16"/>
    </sheetView>
  </sheetViews>
  <sheetFormatPr defaultRowHeight="15" x14ac:dyDescent="0.25"/>
  <cols>
    <col min="1" max="1" width="2.140625" customWidth="1"/>
    <col min="2" max="2" width="23.28515625" bestFit="1" customWidth="1"/>
    <col min="3" max="3" width="12" customWidth="1"/>
    <col min="4" max="4" width="12.42578125" bestFit="1" customWidth="1"/>
    <col min="6" max="6" width="24" bestFit="1" customWidth="1"/>
  </cols>
  <sheetData>
    <row r="1" spans="2:4" ht="11.25" customHeight="1" thickBot="1" x14ac:dyDescent="0.3"/>
    <row r="2" spans="2:4" x14ac:dyDescent="0.25">
      <c r="B2" s="4" t="s">
        <v>113</v>
      </c>
      <c r="C2" s="92">
        <v>6</v>
      </c>
      <c r="D2" s="52" t="s">
        <v>114</v>
      </c>
    </row>
    <row r="3" spans="2:4" x14ac:dyDescent="0.25">
      <c r="B3" s="7" t="s">
        <v>115</v>
      </c>
      <c r="C3" s="2">
        <v>7</v>
      </c>
      <c r="D3" s="23" t="s">
        <v>30</v>
      </c>
    </row>
    <row r="4" spans="2:4" x14ac:dyDescent="0.25">
      <c r="B4" s="7" t="s">
        <v>116</v>
      </c>
      <c r="C4" s="2">
        <v>0.9</v>
      </c>
      <c r="D4" s="23" t="s">
        <v>60</v>
      </c>
    </row>
    <row r="5" spans="2:4" x14ac:dyDescent="0.25">
      <c r="B5" s="7" t="s">
        <v>117</v>
      </c>
      <c r="C5" s="2">
        <v>2965</v>
      </c>
      <c r="D5" s="23" t="s">
        <v>30</v>
      </c>
    </row>
    <row r="6" spans="2:4" x14ac:dyDescent="0.25">
      <c r="B6" s="7" t="s">
        <v>118</v>
      </c>
      <c r="C6" s="81">
        <f>(C5)*(1/C4)*(1/C3)*(7/C2)</f>
        <v>549.07407407407413</v>
      </c>
      <c r="D6" s="23" t="s">
        <v>114</v>
      </c>
    </row>
    <row r="7" spans="2:4" x14ac:dyDescent="0.25">
      <c r="B7" s="7" t="s">
        <v>119</v>
      </c>
      <c r="C7" s="81">
        <f>C5*(1/C4)*(1/C3)*(1/C2)</f>
        <v>78.439153439153444</v>
      </c>
      <c r="D7" s="23" t="s">
        <v>120</v>
      </c>
    </row>
    <row r="8" spans="2:4" ht="15.75" thickBot="1" x14ac:dyDescent="0.3">
      <c r="B8" s="9" t="s">
        <v>121</v>
      </c>
      <c r="C8" s="93">
        <f>(C5)*(1/C4)*(1/C3)*(7/C2)*(12/365.25)</f>
        <v>18.039394630770403</v>
      </c>
      <c r="D8" s="24" t="s">
        <v>122</v>
      </c>
    </row>
    <row r="9" spans="2:4" x14ac:dyDescent="0.25">
      <c r="B9" s="4" t="s">
        <v>151</v>
      </c>
      <c r="C9" s="90">
        <f ca="1">TODAY()</f>
        <v>45672</v>
      </c>
      <c r="D9" s="52" t="s">
        <v>152</v>
      </c>
    </row>
    <row r="10" spans="2:4" ht="15.75" thickBot="1" x14ac:dyDescent="0.3">
      <c r="B10" s="9" t="s">
        <v>153</v>
      </c>
      <c r="C10" s="91">
        <f ca="1">C9+C6</f>
        <v>46221.074074074073</v>
      </c>
      <c r="D10" s="24" t="s">
        <v>152</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F9AD9-76F8-4ABD-A253-DA644E1E8237}">
  <sheetPr codeName="Sheet3"/>
  <dimension ref="A1:AE90"/>
  <sheetViews>
    <sheetView zoomScale="115" zoomScaleNormal="115" workbookViewId="0">
      <selection activeCell="I9" sqref="I9"/>
    </sheetView>
  </sheetViews>
  <sheetFormatPr defaultRowHeight="15" x14ac:dyDescent="0.25"/>
  <cols>
    <col min="1" max="1" width="15.7109375" customWidth="1"/>
    <col min="3" max="3" width="21.42578125" customWidth="1"/>
    <col min="5" max="5" width="9.140625" customWidth="1"/>
    <col min="10" max="10" width="28" bestFit="1" customWidth="1"/>
    <col min="27" max="30" width="9.140625" customWidth="1"/>
    <col min="31" max="31" width="12.7109375" customWidth="1"/>
    <col min="32" max="33" width="12.7109375" bestFit="1" customWidth="1"/>
    <col min="35" max="35" width="10.7109375" bestFit="1" customWidth="1"/>
  </cols>
  <sheetData>
    <row r="1" spans="1:31" ht="15.75" thickBot="1" x14ac:dyDescent="0.3">
      <c r="B1" s="121" t="s">
        <v>24</v>
      </c>
      <c r="C1" s="121"/>
      <c r="D1" s="121"/>
      <c r="E1" s="121"/>
      <c r="AA1" t="s">
        <v>19</v>
      </c>
      <c r="AB1" t="s">
        <v>20</v>
      </c>
      <c r="AC1" t="s">
        <v>21</v>
      </c>
      <c r="AD1" t="s">
        <v>22</v>
      </c>
      <c r="AE1" t="s">
        <v>2</v>
      </c>
    </row>
    <row r="2" spans="1:31" ht="15" customHeight="1" x14ac:dyDescent="0.25">
      <c r="A2" s="128" t="s">
        <v>156</v>
      </c>
      <c r="B2" s="122" t="s">
        <v>12</v>
      </c>
      <c r="C2" s="4" t="s">
        <v>9</v>
      </c>
      <c r="D2" s="5" t="s">
        <v>5</v>
      </c>
      <c r="E2" s="6">
        <v>25</v>
      </c>
      <c r="AA2">
        <v>0</v>
      </c>
      <c r="AB2">
        <f>E48</f>
        <v>0</v>
      </c>
      <c r="AC2" cm="1">
        <f t="array" ref="AC2">(ROW($AA$1:INDEX(AA:AA,AB2+1))-(1))</f>
        <v>0</v>
      </c>
      <c r="AD2" cm="1">
        <f t="array" ref="AD2">FACT(E46)/((FACT((ROW($AA$1:INDEX(AA:AA,AB2+1))-(1)))*FACT(E46-(ROW($AA$1:INDEX(AA:AA,AB2+1))-(1))))) * ((1-E51)^(ROW($AA$1:INDEX(AA:AA,AB2+1))-(1))) * (E51^(E46-(ROW($AA$1:INDEX(AA:AA,AB2+1))-(1))))</f>
        <v>0.19999986467286437</v>
      </c>
      <c r="AE2" s="19">
        <f>SUM(AD2:AD10038)</f>
        <v>0.19999986467286437</v>
      </c>
    </row>
    <row r="3" spans="1:31" x14ac:dyDescent="0.25">
      <c r="A3" s="128"/>
      <c r="B3" s="123"/>
      <c r="C3" s="7" t="s">
        <v>0</v>
      </c>
      <c r="D3" s="1" t="s">
        <v>8</v>
      </c>
      <c r="E3" s="13">
        <v>0.9</v>
      </c>
    </row>
    <row r="4" spans="1:31" ht="15.75" thickBot="1" x14ac:dyDescent="0.3">
      <c r="A4" s="128"/>
      <c r="B4" s="124"/>
      <c r="C4" s="9" t="s">
        <v>6</v>
      </c>
      <c r="D4" s="10" t="s">
        <v>7</v>
      </c>
      <c r="E4" s="12">
        <f>(1-E3)^(1/E2)</f>
        <v>0.91201083935590976</v>
      </c>
    </row>
    <row r="5" spans="1:31" x14ac:dyDescent="0.25">
      <c r="A5" s="128"/>
      <c r="B5" s="123" t="s">
        <v>13</v>
      </c>
      <c r="C5" s="4" t="s">
        <v>0</v>
      </c>
      <c r="D5" s="5" t="s">
        <v>8</v>
      </c>
      <c r="E5" s="14">
        <v>0.9</v>
      </c>
    </row>
    <row r="6" spans="1:31" x14ac:dyDescent="0.25">
      <c r="A6" s="128"/>
      <c r="B6" s="123"/>
      <c r="C6" s="7" t="s">
        <v>6</v>
      </c>
      <c r="D6" s="1" t="s">
        <v>7</v>
      </c>
      <c r="E6" s="15">
        <v>0.95</v>
      </c>
    </row>
    <row r="7" spans="1:31" ht="15.75" thickBot="1" x14ac:dyDescent="0.3">
      <c r="A7" s="128"/>
      <c r="B7" s="123"/>
      <c r="C7" s="9" t="s">
        <v>16</v>
      </c>
      <c r="D7" s="10" t="s">
        <v>5</v>
      </c>
      <c r="E7" s="11">
        <f>_xlfn.CEILING.MATH(LN(1-E5)/LN(E6))</f>
        <v>45</v>
      </c>
      <c r="F7" s="3"/>
    </row>
    <row r="8" spans="1:31" x14ac:dyDescent="0.25">
      <c r="A8" s="128"/>
      <c r="B8" s="122" t="s">
        <v>14</v>
      </c>
      <c r="C8" s="4" t="s">
        <v>9</v>
      </c>
      <c r="D8" s="5" t="s">
        <v>5</v>
      </c>
      <c r="E8" s="6">
        <v>20</v>
      </c>
    </row>
    <row r="9" spans="1:31" x14ac:dyDescent="0.25">
      <c r="A9" s="128"/>
      <c r="B9" s="123"/>
      <c r="C9" s="7" t="s">
        <v>6</v>
      </c>
      <c r="D9" s="1" t="s">
        <v>7</v>
      </c>
      <c r="E9" s="15">
        <v>0.95</v>
      </c>
    </row>
    <row r="10" spans="1:31" ht="15.75" thickBot="1" x14ac:dyDescent="0.3">
      <c r="A10" s="128"/>
      <c r="B10" s="124"/>
      <c r="C10" s="16" t="s">
        <v>11</v>
      </c>
      <c r="D10" s="17" t="s">
        <v>8</v>
      </c>
      <c r="E10" s="18">
        <f>1-E9^E8</f>
        <v>0.64151407759145784</v>
      </c>
    </row>
    <row r="11" spans="1:31" x14ac:dyDescent="0.25">
      <c r="A11" s="128"/>
      <c r="B11" s="136" t="s">
        <v>15</v>
      </c>
      <c r="C11" s="4" t="s">
        <v>0</v>
      </c>
      <c r="D11" s="5" t="s">
        <v>8</v>
      </c>
      <c r="E11" s="6">
        <v>0.8</v>
      </c>
    </row>
    <row r="12" spans="1:31" ht="15.75" thickBot="1" x14ac:dyDescent="0.3">
      <c r="A12" s="128"/>
      <c r="B12" s="137"/>
      <c r="C12" s="9" t="s">
        <v>10</v>
      </c>
      <c r="D12" s="56" t="s">
        <v>53</v>
      </c>
      <c r="E12" s="11">
        <f>1-E11</f>
        <v>0.19999999999999996</v>
      </c>
    </row>
    <row r="13" spans="1:31" ht="15.75" thickBot="1" x14ac:dyDescent="0.3"/>
    <row r="14" spans="1:31" x14ac:dyDescent="0.25">
      <c r="A14" s="127" t="s">
        <v>155</v>
      </c>
      <c r="B14" s="122" t="s">
        <v>13</v>
      </c>
      <c r="C14" s="21" t="s">
        <v>6</v>
      </c>
      <c r="D14" s="5" t="s">
        <v>7</v>
      </c>
      <c r="E14" s="22">
        <v>0.99299999999999999</v>
      </c>
    </row>
    <row r="15" spans="1:31" x14ac:dyDescent="0.25">
      <c r="A15" s="127"/>
      <c r="B15" s="123"/>
      <c r="C15" s="20" t="s">
        <v>0</v>
      </c>
      <c r="D15" s="1" t="s">
        <v>8</v>
      </c>
      <c r="E15" s="13">
        <v>0.8</v>
      </c>
    </row>
    <row r="16" spans="1:31" x14ac:dyDescent="0.25">
      <c r="A16" s="127"/>
      <c r="B16" s="123"/>
      <c r="C16" s="20" t="s">
        <v>25</v>
      </c>
      <c r="D16" s="1" t="s">
        <v>26</v>
      </c>
      <c r="E16" s="8">
        <v>3000</v>
      </c>
      <c r="F16" t="s">
        <v>30</v>
      </c>
    </row>
    <row r="17" spans="1:14" x14ac:dyDescent="0.25">
      <c r="A17" s="127"/>
      <c r="B17" s="123"/>
      <c r="C17" s="20" t="s">
        <v>28</v>
      </c>
      <c r="D17" s="1" t="s">
        <v>27</v>
      </c>
      <c r="E17" s="8">
        <v>1428</v>
      </c>
      <c r="F17" t="str">
        <f>F16</f>
        <v>hrs</v>
      </c>
    </row>
    <row r="18" spans="1:14" x14ac:dyDescent="0.25">
      <c r="A18" s="127"/>
      <c r="B18" s="123"/>
      <c r="C18" s="20" t="s">
        <v>4</v>
      </c>
      <c r="D18" s="33" t="s">
        <v>81</v>
      </c>
      <c r="E18" s="8">
        <v>3</v>
      </c>
    </row>
    <row r="19" spans="1:14" x14ac:dyDescent="0.25">
      <c r="A19" s="127"/>
      <c r="B19" s="123"/>
      <c r="C19" s="20" t="s">
        <v>29</v>
      </c>
      <c r="D19" s="1" t="s">
        <v>23</v>
      </c>
      <c r="E19" s="23">
        <f>E16/E17</f>
        <v>2.1008403361344539</v>
      </c>
    </row>
    <row r="20" spans="1:14" ht="18" x14ac:dyDescent="0.35">
      <c r="A20" s="127"/>
      <c r="B20" s="123"/>
      <c r="C20" s="20" t="s">
        <v>34</v>
      </c>
      <c r="D20" s="1" t="s">
        <v>32</v>
      </c>
      <c r="E20" s="23">
        <f>_xlfn.CHISQ.INV.RT((1-E15),2)</f>
        <v>3.218875824868201</v>
      </c>
    </row>
    <row r="21" spans="1:14" ht="18" x14ac:dyDescent="0.35">
      <c r="A21" s="127"/>
      <c r="B21" s="123"/>
      <c r="C21" s="138" t="s">
        <v>31</v>
      </c>
      <c r="D21" s="1" t="s">
        <v>33</v>
      </c>
      <c r="E21" s="23">
        <f>-E20/(2*E19^E18*LN(E14))</f>
        <v>24.709989611487273</v>
      </c>
    </row>
    <row r="22" spans="1:14" ht="15.75" thickBot="1" x14ac:dyDescent="0.3">
      <c r="A22" s="127"/>
      <c r="B22" s="124"/>
      <c r="C22" s="139"/>
      <c r="D22" s="10" t="s">
        <v>5</v>
      </c>
      <c r="E22" s="11">
        <f>_xlfn.CEILING.MATH(E21)</f>
        <v>25</v>
      </c>
    </row>
    <row r="23" spans="1:14" ht="15.75" thickBot="1" x14ac:dyDescent="0.3">
      <c r="N23" s="55"/>
    </row>
    <row r="24" spans="1:14" x14ac:dyDescent="0.25">
      <c r="A24" s="129" t="s">
        <v>154</v>
      </c>
      <c r="B24" s="130" t="s">
        <v>37</v>
      </c>
      <c r="C24" s="5" t="s">
        <v>6</v>
      </c>
      <c r="D24" s="5" t="s">
        <v>7</v>
      </c>
      <c r="E24" s="22">
        <v>0.99299999999999999</v>
      </c>
    </row>
    <row r="25" spans="1:14" x14ac:dyDescent="0.25">
      <c r="A25" s="129"/>
      <c r="B25" s="131"/>
      <c r="C25" s="1" t="s">
        <v>0</v>
      </c>
      <c r="D25" s="1" t="s">
        <v>8</v>
      </c>
      <c r="E25" s="13">
        <v>0.8</v>
      </c>
    </row>
    <row r="26" spans="1:14" x14ac:dyDescent="0.25">
      <c r="A26" s="129"/>
      <c r="B26" s="131"/>
      <c r="C26" s="1" t="s">
        <v>28</v>
      </c>
      <c r="D26" s="1" t="s">
        <v>27</v>
      </c>
      <c r="E26" s="8">
        <f>0.6*1370+0.3*1500+0.1*1560</f>
        <v>1428</v>
      </c>
      <c r="F26" t="s">
        <v>30</v>
      </c>
    </row>
    <row r="27" spans="1:14" x14ac:dyDescent="0.25">
      <c r="A27" s="129"/>
      <c r="B27" s="131"/>
      <c r="C27" s="1" t="s">
        <v>4</v>
      </c>
      <c r="D27" s="33" t="s">
        <v>81</v>
      </c>
      <c r="E27" s="8">
        <v>7</v>
      </c>
    </row>
    <row r="28" spans="1:14" x14ac:dyDescent="0.25">
      <c r="A28" s="129"/>
      <c r="B28" s="131"/>
      <c r="C28" s="1" t="s">
        <v>36</v>
      </c>
      <c r="D28" s="1" t="s">
        <v>5</v>
      </c>
      <c r="E28" s="8">
        <v>3</v>
      </c>
    </row>
    <row r="29" spans="1:14" ht="15.75" thickBot="1" x14ac:dyDescent="0.3">
      <c r="A29" s="129"/>
      <c r="B29" s="132"/>
      <c r="C29" s="10" t="s">
        <v>35</v>
      </c>
      <c r="D29" s="10" t="s">
        <v>26</v>
      </c>
      <c r="E29" s="24">
        <f>E26/(-LN(E24))^(1/E27)*((-LN(1-E25))/E28)^(1/E27)</f>
        <v>2652.8840688964269</v>
      </c>
      <c r="F29" t="str">
        <f>F26</f>
        <v>hrs</v>
      </c>
    </row>
    <row r="30" spans="1:14" x14ac:dyDescent="0.25">
      <c r="B30" s="94"/>
    </row>
    <row r="31" spans="1:14" x14ac:dyDescent="0.25">
      <c r="B31" s="94"/>
    </row>
    <row r="32" spans="1:14" x14ac:dyDescent="0.25">
      <c r="B32" s="94"/>
    </row>
    <row r="33" spans="2:6" x14ac:dyDescent="0.25">
      <c r="B33" s="94"/>
    </row>
    <row r="34" spans="2:6" x14ac:dyDescent="0.25">
      <c r="B34" s="94"/>
    </row>
    <row r="35" spans="2:6" x14ac:dyDescent="0.25">
      <c r="B35" s="94"/>
    </row>
    <row r="36" spans="2:6" x14ac:dyDescent="0.25">
      <c r="B36" s="94"/>
    </row>
    <row r="37" spans="2:6" x14ac:dyDescent="0.25">
      <c r="B37" s="94"/>
    </row>
    <row r="38" spans="2:6" x14ac:dyDescent="0.25">
      <c r="B38" s="94"/>
    </row>
    <row r="39" spans="2:6" x14ac:dyDescent="0.25">
      <c r="B39" s="94"/>
    </row>
    <row r="40" spans="2:6" x14ac:dyDescent="0.25">
      <c r="B40" s="94"/>
    </row>
    <row r="41" spans="2:6" ht="15.75" thickBot="1" x14ac:dyDescent="0.3">
      <c r="B41" s="121" t="s">
        <v>108</v>
      </c>
      <c r="C41" s="121"/>
      <c r="D41" s="121"/>
      <c r="E41" s="121"/>
      <c r="F41" s="121"/>
    </row>
    <row r="42" spans="2:6" ht="15.75" thickBot="1" x14ac:dyDescent="0.3">
      <c r="B42" s="62"/>
      <c r="C42" s="57" t="s">
        <v>99</v>
      </c>
      <c r="D42" s="58" t="s">
        <v>100</v>
      </c>
      <c r="E42" s="63" t="s">
        <v>101</v>
      </c>
      <c r="F42" s="58" t="s">
        <v>102</v>
      </c>
    </row>
    <row r="43" spans="2:6" ht="18" x14ac:dyDescent="0.35">
      <c r="B43" s="125" t="s">
        <v>103</v>
      </c>
      <c r="C43" s="4" t="s">
        <v>79</v>
      </c>
      <c r="D43" s="52" t="s">
        <v>95</v>
      </c>
      <c r="E43" s="64">
        <v>0.99299999999999999</v>
      </c>
      <c r="F43" s="52" t="s">
        <v>60</v>
      </c>
    </row>
    <row r="44" spans="2:6" ht="18" x14ac:dyDescent="0.35">
      <c r="B44" s="125"/>
      <c r="C44" s="7" t="s">
        <v>78</v>
      </c>
      <c r="D44" s="23" t="s">
        <v>94</v>
      </c>
      <c r="E44" s="65">
        <v>1428</v>
      </c>
      <c r="F44" s="23" t="s">
        <v>30</v>
      </c>
    </row>
    <row r="45" spans="2:6" ht="15.75" thickBot="1" x14ac:dyDescent="0.3">
      <c r="B45" s="125"/>
      <c r="C45" s="16" t="s">
        <v>80</v>
      </c>
      <c r="D45" s="69" t="s">
        <v>81</v>
      </c>
      <c r="E45" s="66">
        <v>3</v>
      </c>
      <c r="F45" s="61" t="s">
        <v>60</v>
      </c>
    </row>
    <row r="46" spans="2:6" x14ac:dyDescent="0.25">
      <c r="B46" s="134" t="s">
        <v>104</v>
      </c>
      <c r="C46" s="4" t="s">
        <v>9</v>
      </c>
      <c r="D46" s="52" t="s">
        <v>5</v>
      </c>
      <c r="E46" s="72">
        <v>24.71</v>
      </c>
      <c r="F46" s="52" t="s">
        <v>60</v>
      </c>
    </row>
    <row r="47" spans="2:6" ht="18" x14ac:dyDescent="0.35">
      <c r="B47" s="125"/>
      <c r="C47" s="7" t="s">
        <v>86</v>
      </c>
      <c r="D47" s="44" t="s">
        <v>96</v>
      </c>
      <c r="E47" s="65">
        <v>3000</v>
      </c>
      <c r="F47" s="23" t="str">
        <f>F44</f>
        <v>hrs</v>
      </c>
    </row>
    <row r="48" spans="2:6" ht="15.75" thickBot="1" x14ac:dyDescent="0.3">
      <c r="B48" s="135"/>
      <c r="C48" s="9" t="s">
        <v>18</v>
      </c>
      <c r="D48" s="24" t="s">
        <v>17</v>
      </c>
      <c r="E48" s="67">
        <v>0</v>
      </c>
      <c r="F48" s="24" t="s">
        <v>60</v>
      </c>
    </row>
    <row r="49" spans="2:7" x14ac:dyDescent="0.25">
      <c r="B49" s="134" t="s">
        <v>106</v>
      </c>
      <c r="C49" s="4" t="s">
        <v>82</v>
      </c>
      <c r="D49" s="70" t="s">
        <v>83</v>
      </c>
      <c r="E49" s="21">
        <f>E44*(-LN(E43))^(-1/E45)</f>
        <v>7456.2541001135442</v>
      </c>
      <c r="F49" s="52" t="str">
        <f>F44</f>
        <v>hrs</v>
      </c>
    </row>
    <row r="50" spans="2:7" ht="18" x14ac:dyDescent="0.35">
      <c r="B50" s="125"/>
      <c r="C50" s="7" t="s">
        <v>85</v>
      </c>
      <c r="D50" s="44" t="s">
        <v>97</v>
      </c>
      <c r="E50" s="20">
        <f>EXP(-(E47/E49)^E45)</f>
        <v>0.93694275982564279</v>
      </c>
      <c r="F50" s="23" t="s">
        <v>60</v>
      </c>
    </row>
    <row r="51" spans="2:7" ht="18.75" thickBot="1" x14ac:dyDescent="0.4">
      <c r="B51" s="135"/>
      <c r="C51" s="9" t="s">
        <v>6</v>
      </c>
      <c r="D51" s="24" t="s">
        <v>98</v>
      </c>
      <c r="E51" s="68">
        <f>E50</f>
        <v>0.93694275982564279</v>
      </c>
      <c r="F51" s="24" t="s">
        <v>60</v>
      </c>
    </row>
    <row r="52" spans="2:7" ht="23.25" thickBot="1" x14ac:dyDescent="0.3">
      <c r="B52" s="59" t="s">
        <v>105</v>
      </c>
      <c r="C52" s="71" t="s">
        <v>0</v>
      </c>
      <c r="D52" s="60" t="s">
        <v>8</v>
      </c>
      <c r="E52" s="73">
        <f>1-AE2</f>
        <v>0.80000013532713565</v>
      </c>
      <c r="F52" s="60" t="s">
        <v>60</v>
      </c>
      <c r="G52" t="s">
        <v>107</v>
      </c>
    </row>
    <row r="53" spans="2:7" x14ac:dyDescent="0.25">
      <c r="B53" s="94"/>
    </row>
    <row r="54" spans="2:7" x14ac:dyDescent="0.25">
      <c r="B54" s="94"/>
    </row>
    <row r="55" spans="2:7" x14ac:dyDescent="0.25">
      <c r="B55" s="94"/>
    </row>
    <row r="56" spans="2:7" x14ac:dyDescent="0.25">
      <c r="B56" s="94"/>
    </row>
    <row r="57" spans="2:7" x14ac:dyDescent="0.25">
      <c r="B57" s="94"/>
    </row>
    <row r="58" spans="2:7" x14ac:dyDescent="0.25">
      <c r="B58" s="94"/>
    </row>
    <row r="59" spans="2:7" x14ac:dyDescent="0.25">
      <c r="B59" s="94"/>
    </row>
    <row r="60" spans="2:7" x14ac:dyDescent="0.25">
      <c r="B60" s="94"/>
    </row>
    <row r="61" spans="2:7" x14ac:dyDescent="0.25">
      <c r="B61" s="94"/>
    </row>
    <row r="62" spans="2:7" x14ac:dyDescent="0.25">
      <c r="B62" s="94"/>
    </row>
    <row r="63" spans="2:7" x14ac:dyDescent="0.25">
      <c r="B63" s="94"/>
    </row>
    <row r="64" spans="2:7" x14ac:dyDescent="0.25">
      <c r="B64" s="94"/>
    </row>
    <row r="65" spans="2:17" x14ac:dyDescent="0.25">
      <c r="B65" s="94"/>
    </row>
    <row r="66" spans="2:17" x14ac:dyDescent="0.25">
      <c r="H66" s="133" t="s">
        <v>93</v>
      </c>
      <c r="I66" s="133"/>
      <c r="J66" s="133"/>
      <c r="K66" s="133"/>
      <c r="L66" s="133"/>
      <c r="M66" s="133"/>
      <c r="N66" s="133"/>
      <c r="O66" s="133"/>
      <c r="P66" s="133"/>
      <c r="Q66" s="133"/>
    </row>
    <row r="67" spans="2:17" ht="34.5" customHeight="1" x14ac:dyDescent="0.25">
      <c r="H67" s="126" t="s">
        <v>87</v>
      </c>
      <c r="I67" s="126"/>
      <c r="J67" s="126" t="s">
        <v>88</v>
      </c>
      <c r="K67" s="126"/>
      <c r="L67" s="126" t="s">
        <v>89</v>
      </c>
      <c r="M67" s="126"/>
      <c r="N67" s="126" t="s">
        <v>90</v>
      </c>
      <c r="O67" s="126"/>
      <c r="P67" s="126" t="s">
        <v>91</v>
      </c>
      <c r="Q67" s="126"/>
    </row>
    <row r="68" spans="2:17" x14ac:dyDescent="0.25">
      <c r="H68" t="s">
        <v>1</v>
      </c>
      <c r="I68" t="s">
        <v>84</v>
      </c>
      <c r="J68" t="s">
        <v>3</v>
      </c>
      <c r="K68" t="s">
        <v>84</v>
      </c>
      <c r="L68" t="s">
        <v>92</v>
      </c>
      <c r="M68" t="s">
        <v>84</v>
      </c>
      <c r="N68" t="s">
        <v>4</v>
      </c>
      <c r="O68" t="s">
        <v>84</v>
      </c>
      <c r="Q68" t="s">
        <v>84</v>
      </c>
    </row>
    <row r="69" spans="2:17" x14ac:dyDescent="0.25">
      <c r="I69">
        <f>E26/(-LN(E24))^(1/E27)*((-LN(1-E25))/E28)^(1/E27)</f>
        <v>2652.8840688964269</v>
      </c>
      <c r="K69">
        <f>E26/(-LN(E24))^(1/E27)*((-LN(1-E25))/E28)^(1/E27)</f>
        <v>2652.8840688964269</v>
      </c>
      <c r="M69">
        <f>E26/(-LN(E24))^(1/E27)*((-LN(1-E25))/E28)^(1/E27)</f>
        <v>2652.8840688964269</v>
      </c>
      <c r="O69">
        <f>E26/(-LN(E24))^(1/E27)*((-LN(1-E25))/E28)^(1/E27)</f>
        <v>2652.8840688964269</v>
      </c>
      <c r="Q69">
        <f>E26/(-LN(E24))^(1/E27)*((-LN(1-E25))/E28)^(1/E27)</f>
        <v>2652.8840688964269</v>
      </c>
    </row>
    <row r="70" spans="2:17" x14ac:dyDescent="0.25">
      <c r="H70">
        <v>0.5</v>
      </c>
      <c r="I70">
        <f t="dataTable" ref="I70:I82" dt2D="0" dtr="0" r1="E24"/>
        <v>1376.677256524687</v>
      </c>
      <c r="J70">
        <v>0.1</v>
      </c>
      <c r="K70">
        <f t="dataTable" ref="K70:K82" dt2D="0" dtr="0" r1="E25"/>
        <v>1797.1152826183845</v>
      </c>
      <c r="L70">
        <v>100</v>
      </c>
      <c r="M70">
        <f t="dataTable" ref="M70:M82" dt2D="0" dtr="0" r1="E26"/>
        <v>185.77619530087026</v>
      </c>
      <c r="N70">
        <v>0.75</v>
      </c>
      <c r="O70">
        <f t="dataTable" ref="O70:O82" dt2D="0" dtr="0" r1="E27"/>
        <v>462702.81394664617</v>
      </c>
      <c r="P70">
        <v>1</v>
      </c>
      <c r="Q70">
        <f t="dataTable" ref="Q70:Q90" dt2D="0" dtr="0" r1="E28"/>
        <v>3103.6908148785687</v>
      </c>
    </row>
    <row r="71" spans="2:17" x14ac:dyDescent="0.25">
      <c r="H71">
        <v>0.6</v>
      </c>
      <c r="I71">
        <v>1438.0310058905977</v>
      </c>
      <c r="J71">
        <v>0.2</v>
      </c>
      <c r="K71">
        <v>2000.4790249521041</v>
      </c>
      <c r="L71">
        <v>250</v>
      </c>
      <c r="M71">
        <v>464.44048825217561</v>
      </c>
      <c r="N71">
        <v>1</v>
      </c>
      <c r="O71">
        <v>109058.28336402477</v>
      </c>
      <c r="P71">
        <v>2</v>
      </c>
      <c r="Q71">
        <v>2811.0862175940479</v>
      </c>
    </row>
    <row r="72" spans="2:17" x14ac:dyDescent="0.25">
      <c r="H72">
        <v>0.7</v>
      </c>
      <c r="I72">
        <v>1513.7493676944994</v>
      </c>
      <c r="J72">
        <v>0.3</v>
      </c>
      <c r="K72">
        <v>2139.1060950146666</v>
      </c>
      <c r="L72">
        <v>500</v>
      </c>
      <c r="M72">
        <v>928.88097650435122</v>
      </c>
      <c r="N72">
        <v>1.25</v>
      </c>
      <c r="O72">
        <v>45821.844522404819</v>
      </c>
      <c r="P72">
        <v>3</v>
      </c>
      <c r="Q72">
        <v>2652.8840688964269</v>
      </c>
    </row>
    <row r="73" spans="2:17" x14ac:dyDescent="0.25">
      <c r="H73">
        <v>0.8</v>
      </c>
      <c r="I73">
        <v>1618.6475630942584</v>
      </c>
      <c r="J73">
        <v>0.4</v>
      </c>
      <c r="K73">
        <v>2251.7389997126716</v>
      </c>
      <c r="L73">
        <v>750</v>
      </c>
      <c r="M73">
        <v>1393.3214647565269</v>
      </c>
      <c r="N73">
        <v>1.5</v>
      </c>
      <c r="O73">
        <v>25704.855928711419</v>
      </c>
      <c r="P73">
        <v>4</v>
      </c>
      <c r="Q73">
        <v>2546.0673095610468</v>
      </c>
    </row>
    <row r="74" spans="2:17" x14ac:dyDescent="0.25">
      <c r="H74">
        <v>0.9</v>
      </c>
      <c r="I74">
        <v>1801.8156820980653</v>
      </c>
      <c r="J74">
        <v>0.5</v>
      </c>
      <c r="K74">
        <v>2352.0912279281456</v>
      </c>
      <c r="L74">
        <v>1000</v>
      </c>
      <c r="M74">
        <v>1857.7619530087024</v>
      </c>
      <c r="N74">
        <v>1.75</v>
      </c>
      <c r="O74">
        <v>17009.379251389906</v>
      </c>
      <c r="P74">
        <v>5</v>
      </c>
      <c r="Q74">
        <v>2466.1846664994882</v>
      </c>
    </row>
    <row r="75" spans="2:17" x14ac:dyDescent="0.25">
      <c r="H75">
        <v>0.95</v>
      </c>
      <c r="I75">
        <v>1996.9628053903939</v>
      </c>
      <c r="J75">
        <v>0.6</v>
      </c>
      <c r="K75">
        <v>2447.7641335964217</v>
      </c>
      <c r="L75">
        <v>1250</v>
      </c>
      <c r="M75">
        <v>2322.2024412608785</v>
      </c>
      <c r="N75">
        <v>2</v>
      </c>
      <c r="O75">
        <v>12479.392158427727</v>
      </c>
      <c r="P75">
        <v>6</v>
      </c>
      <c r="Q75">
        <v>2402.7798797482142</v>
      </c>
    </row>
    <row r="76" spans="2:17" x14ac:dyDescent="0.25">
      <c r="H76">
        <v>0.98</v>
      </c>
      <c r="I76">
        <v>2281.2730223529684</v>
      </c>
      <c r="J76">
        <v>0.7</v>
      </c>
      <c r="K76">
        <v>2545.1304695358072</v>
      </c>
      <c r="L76">
        <v>1370</v>
      </c>
      <c r="M76">
        <v>2545.1338756219225</v>
      </c>
      <c r="N76">
        <v>2.5</v>
      </c>
      <c r="O76">
        <v>8089.1034100198076</v>
      </c>
      <c r="P76">
        <v>7</v>
      </c>
      <c r="Q76">
        <v>2350.4453588394258</v>
      </c>
    </row>
    <row r="77" spans="2:17" x14ac:dyDescent="0.25">
      <c r="H77">
        <v>0.99</v>
      </c>
      <c r="I77">
        <v>2520.5521817579693</v>
      </c>
      <c r="J77">
        <v>0.75</v>
      </c>
      <c r="K77">
        <v>2596.9192599596263</v>
      </c>
      <c r="L77">
        <v>1500</v>
      </c>
      <c r="M77">
        <v>2786.6429295130538</v>
      </c>
      <c r="N77">
        <v>3</v>
      </c>
      <c r="O77">
        <v>6058.5917725326162</v>
      </c>
      <c r="P77">
        <v>8</v>
      </c>
      <c r="Q77">
        <v>2306.033413078178</v>
      </c>
    </row>
    <row r="78" spans="2:17" x14ac:dyDescent="0.25">
      <c r="H78">
        <v>0.99299999999999999</v>
      </c>
      <c r="I78">
        <v>2652.8840688964269</v>
      </c>
      <c r="J78">
        <v>0.8</v>
      </c>
      <c r="K78">
        <v>2652.8840688964269</v>
      </c>
      <c r="L78">
        <v>1750</v>
      </c>
      <c r="M78">
        <v>3251.0834177652291</v>
      </c>
      <c r="N78">
        <v>4</v>
      </c>
      <c r="O78">
        <v>4221.4419340119784</v>
      </c>
      <c r="P78">
        <v>9</v>
      </c>
      <c r="Q78">
        <v>2267.5563716806032</v>
      </c>
    </row>
    <row r="79" spans="2:17" x14ac:dyDescent="0.25">
      <c r="H79">
        <v>0.995</v>
      </c>
      <c r="I79">
        <v>2783.9155662633316</v>
      </c>
      <c r="J79">
        <v>0.85</v>
      </c>
      <c r="K79">
        <v>2715.9464984881356</v>
      </c>
      <c r="L79">
        <v>2000</v>
      </c>
      <c r="M79">
        <v>3715.5239060174049</v>
      </c>
      <c r="N79">
        <v>5</v>
      </c>
      <c r="O79">
        <v>3398.7114719417245</v>
      </c>
      <c r="P79">
        <v>10</v>
      </c>
      <c r="Q79">
        <v>2233.6818128933774</v>
      </c>
    </row>
    <row r="80" spans="2:17" x14ac:dyDescent="0.25">
      <c r="H80">
        <v>0.998</v>
      </c>
      <c r="I80">
        <v>3173.9345543539307</v>
      </c>
      <c r="J80">
        <v>0.9</v>
      </c>
      <c r="K80">
        <v>2792.1482943208366</v>
      </c>
      <c r="L80">
        <v>2500</v>
      </c>
      <c r="M80">
        <v>4644.4048825217569</v>
      </c>
      <c r="N80">
        <v>6</v>
      </c>
      <c r="O80">
        <v>2941.3719674968979</v>
      </c>
      <c r="P80">
        <v>12</v>
      </c>
      <c r="Q80">
        <v>2176.2545971051413</v>
      </c>
    </row>
    <row r="81" spans="8:17" x14ac:dyDescent="0.25">
      <c r="H81">
        <v>0.999</v>
      </c>
      <c r="I81">
        <v>3504.5584885388148</v>
      </c>
      <c r="J81">
        <v>0.95</v>
      </c>
      <c r="K81">
        <v>2899.11363807822</v>
      </c>
      <c r="L81">
        <v>3000</v>
      </c>
      <c r="M81">
        <v>5573.2858590261076</v>
      </c>
      <c r="N81">
        <v>7</v>
      </c>
      <c r="O81">
        <v>2652.8840688964269</v>
      </c>
      <c r="P81">
        <v>15</v>
      </c>
      <c r="Q81">
        <v>2107.974796119991</v>
      </c>
    </row>
    <row r="82" spans="8:17" x14ac:dyDescent="0.25">
      <c r="H82">
        <v>0.999</v>
      </c>
      <c r="I82">
        <v>3504.5584885388148</v>
      </c>
      <c r="J82">
        <v>0.98</v>
      </c>
      <c r="K82">
        <v>3011.772430735492</v>
      </c>
      <c r="L82">
        <v>4000</v>
      </c>
      <c r="M82">
        <v>7431.0478120348098</v>
      </c>
      <c r="N82">
        <v>8</v>
      </c>
      <c r="O82">
        <v>2455.2431817987203</v>
      </c>
      <c r="P82">
        <v>20</v>
      </c>
      <c r="Q82">
        <v>2023.0984763734355</v>
      </c>
    </row>
    <row r="83" spans="8:17" x14ac:dyDescent="0.25">
      <c r="P83">
        <v>25</v>
      </c>
      <c r="Q83">
        <v>1959.6239355159962</v>
      </c>
    </row>
    <row r="84" spans="8:17" x14ac:dyDescent="0.25">
      <c r="P84">
        <v>30</v>
      </c>
      <c r="Q84">
        <v>1909.2426565177598</v>
      </c>
    </row>
    <row r="85" spans="8:17" x14ac:dyDescent="0.25">
      <c r="P85">
        <v>50</v>
      </c>
      <c r="Q85">
        <v>1774.877771454806</v>
      </c>
    </row>
    <row r="86" spans="8:17" x14ac:dyDescent="0.25">
      <c r="P86">
        <v>75</v>
      </c>
      <c r="Q86">
        <v>1674.991302173861</v>
      </c>
    </row>
    <row r="87" spans="8:17" x14ac:dyDescent="0.25">
      <c r="P87">
        <v>100</v>
      </c>
      <c r="Q87">
        <v>1607.5487987826034</v>
      </c>
    </row>
    <row r="88" spans="8:17" x14ac:dyDescent="0.25">
      <c r="P88">
        <v>150</v>
      </c>
      <c r="Q88">
        <v>1517.0792598150817</v>
      </c>
    </row>
    <row r="89" spans="8:17" x14ac:dyDescent="0.25">
      <c r="P89">
        <v>200</v>
      </c>
      <c r="Q89">
        <v>1455.9949885164212</v>
      </c>
    </row>
    <row r="90" spans="8:17" x14ac:dyDescent="0.25">
      <c r="P90">
        <v>500</v>
      </c>
      <c r="Q90">
        <v>1277.3541034442369</v>
      </c>
    </row>
  </sheetData>
  <mergeCells count="21">
    <mergeCell ref="A14:A22"/>
    <mergeCell ref="A2:A12"/>
    <mergeCell ref="A24:A29"/>
    <mergeCell ref="B24:B29"/>
    <mergeCell ref="H66:Q66"/>
    <mergeCell ref="B49:B51"/>
    <mergeCell ref="B41:F41"/>
    <mergeCell ref="B11:B12"/>
    <mergeCell ref="B14:B22"/>
    <mergeCell ref="C21:C22"/>
    <mergeCell ref="B46:B48"/>
    <mergeCell ref="H67:I67"/>
    <mergeCell ref="J67:K67"/>
    <mergeCell ref="L67:M67"/>
    <mergeCell ref="N67:O67"/>
    <mergeCell ref="P67:Q67"/>
    <mergeCell ref="B1:E1"/>
    <mergeCell ref="B2:B4"/>
    <mergeCell ref="B5:B7"/>
    <mergeCell ref="B8:B10"/>
    <mergeCell ref="B43:B45"/>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A6EAE-801C-444F-8617-D868501D513F}">
  <sheetPr codeName="Sheet4"/>
  <dimension ref="B1:Q16"/>
  <sheetViews>
    <sheetView zoomScale="85" zoomScaleNormal="85" workbookViewId="0">
      <selection activeCell="H21" sqref="H21"/>
    </sheetView>
  </sheetViews>
  <sheetFormatPr defaultRowHeight="15" x14ac:dyDescent="0.25"/>
  <cols>
    <col min="1" max="1" width="1.28515625" customWidth="1"/>
    <col min="3" max="3" width="28" bestFit="1" customWidth="1"/>
    <col min="5" max="5" width="12.28515625" bestFit="1" customWidth="1"/>
    <col min="6" max="6" width="14.28515625" bestFit="1" customWidth="1"/>
    <col min="7" max="7" width="5" customWidth="1"/>
    <col min="8" max="8" width="12.7109375" customWidth="1"/>
    <col min="9" max="12" width="9.140625" customWidth="1"/>
    <col min="13" max="16" width="9.140625" hidden="1" customWidth="1"/>
    <col min="17" max="17" width="12.7109375" hidden="1" customWidth="1"/>
    <col min="18" max="19" width="12.7109375" bestFit="1" customWidth="1"/>
    <col min="21" max="21" width="10.7109375" bestFit="1" customWidth="1"/>
  </cols>
  <sheetData>
    <row r="1" spans="2:17" ht="15.75" thickBot="1" x14ac:dyDescent="0.3">
      <c r="B1" s="121" t="s">
        <v>108</v>
      </c>
      <c r="C1" s="121"/>
      <c r="D1" s="121"/>
      <c r="E1" s="121"/>
      <c r="F1" s="121"/>
      <c r="G1" s="74"/>
      <c r="H1" s="74"/>
      <c r="I1" s="74"/>
      <c r="J1" s="74"/>
      <c r="K1" s="74"/>
      <c r="M1" t="s">
        <v>19</v>
      </c>
      <c r="N1" t="s">
        <v>20</v>
      </c>
      <c r="O1" t="s">
        <v>21</v>
      </c>
      <c r="P1" t="s">
        <v>22</v>
      </c>
      <c r="Q1" t="s">
        <v>2</v>
      </c>
    </row>
    <row r="2" spans="2:17" ht="15" customHeight="1" thickBot="1" x14ac:dyDescent="0.3">
      <c r="B2" s="62"/>
      <c r="C2" s="57" t="s">
        <v>99</v>
      </c>
      <c r="D2" s="58" t="s">
        <v>100</v>
      </c>
      <c r="E2" s="63" t="s">
        <v>101</v>
      </c>
      <c r="F2" s="58" t="s">
        <v>102</v>
      </c>
      <c r="G2" s="19"/>
      <c r="H2" s="187" t="s">
        <v>109</v>
      </c>
      <c r="I2" s="19"/>
      <c r="J2" s="19"/>
      <c r="K2" s="19"/>
      <c r="M2">
        <v>0</v>
      </c>
      <c r="N2">
        <f>E8</f>
        <v>1</v>
      </c>
      <c r="O2" cm="1">
        <f t="array" ref="O2:O3">(ROW($M$1:INDEX(M:M,N2+1))-(1))</f>
        <v>0</v>
      </c>
      <c r="P2" cm="1">
        <f t="array" ref="P2:P3">FACT(E6)/((FACT((ROW($M$1:INDEX(M:M,N2+1))-(1)))*FACT(E6-(ROW($M$1:INDEX(M:M,N2+1))-(1))))) * ((1-E11)^(ROW($M$1:INDEX(M:M,N2+1))-(1))) * (E11^(E6-(ROW($M$1:INDEX(M:M,N2+1))-(1))))</f>
        <v>7.5106153428532146E-3</v>
      </c>
      <c r="Q2" s="19">
        <f>SUM(P2:P10002)</f>
        <v>0.10003362043506105</v>
      </c>
    </row>
    <row r="3" spans="2:17" ht="18" x14ac:dyDescent="0.35">
      <c r="B3" s="125" t="s">
        <v>103</v>
      </c>
      <c r="C3" s="4" t="s">
        <v>79</v>
      </c>
      <c r="D3" s="52" t="s">
        <v>95</v>
      </c>
      <c r="E3" s="64">
        <v>0.9</v>
      </c>
      <c r="F3" s="52" t="s">
        <v>60</v>
      </c>
      <c r="H3" s="188" t="s">
        <v>110</v>
      </c>
      <c r="O3">
        <v>1</v>
      </c>
      <c r="P3">
        <v>9.252300509220783E-2</v>
      </c>
    </row>
    <row r="4" spans="2:17" ht="18" x14ac:dyDescent="0.35">
      <c r="B4" s="125"/>
      <c r="C4" s="7" t="s">
        <v>78</v>
      </c>
      <c r="D4" s="23" t="s">
        <v>94</v>
      </c>
      <c r="E4" s="65">
        <v>100</v>
      </c>
      <c r="F4" s="23" t="s">
        <v>30</v>
      </c>
      <c r="H4" s="189" t="s">
        <v>111</v>
      </c>
    </row>
    <row r="5" spans="2:17" ht="15.75" thickBot="1" x14ac:dyDescent="0.3">
      <c r="B5" s="125"/>
      <c r="C5" s="16" t="s">
        <v>80</v>
      </c>
      <c r="D5" s="69" t="s">
        <v>81</v>
      </c>
      <c r="E5" s="66">
        <v>1.5</v>
      </c>
      <c r="F5" s="61" t="s">
        <v>60</v>
      </c>
      <c r="H5" s="190" t="s">
        <v>112</v>
      </c>
    </row>
    <row r="6" spans="2:17" x14ac:dyDescent="0.25">
      <c r="B6" s="134" t="s">
        <v>104</v>
      </c>
      <c r="C6" s="4" t="s">
        <v>9</v>
      </c>
      <c r="D6" s="52" t="s">
        <v>5</v>
      </c>
      <c r="E6" s="72">
        <v>3</v>
      </c>
      <c r="F6" s="52" t="s">
        <v>60</v>
      </c>
    </row>
    <row r="7" spans="2:17" ht="18" x14ac:dyDescent="0.35">
      <c r="B7" s="125"/>
      <c r="C7" s="7" t="s">
        <v>86</v>
      </c>
      <c r="D7" s="44" t="s">
        <v>96</v>
      </c>
      <c r="E7" s="65">
        <v>621</v>
      </c>
      <c r="F7" s="23" t="s">
        <v>30</v>
      </c>
    </row>
    <row r="8" spans="2:17" ht="15.75" thickBot="1" x14ac:dyDescent="0.3">
      <c r="B8" s="135"/>
      <c r="C8" s="9" t="s">
        <v>18</v>
      </c>
      <c r="D8" s="24" t="s">
        <v>17</v>
      </c>
      <c r="E8" s="67">
        <v>1</v>
      </c>
      <c r="F8" s="24" t="s">
        <v>60</v>
      </c>
    </row>
    <row r="9" spans="2:17" x14ac:dyDescent="0.25">
      <c r="B9" s="134" t="s">
        <v>106</v>
      </c>
      <c r="C9" s="4" t="s">
        <v>82</v>
      </c>
      <c r="D9" s="70" t="s">
        <v>83</v>
      </c>
      <c r="E9" s="78">
        <f>E4*(-LN(E3))^(-1/E5)</f>
        <v>448.27867025969636</v>
      </c>
      <c r="F9" s="52" t="s">
        <v>30</v>
      </c>
    </row>
    <row r="10" spans="2:17" ht="18" x14ac:dyDescent="0.35">
      <c r="B10" s="125"/>
      <c r="C10" s="7" t="s">
        <v>85</v>
      </c>
      <c r="D10" s="44" t="s">
        <v>97</v>
      </c>
      <c r="E10" s="79">
        <f>EXP(-((E7/E9)^E5))</f>
        <v>0.1958356888829404</v>
      </c>
      <c r="F10" s="23" t="s">
        <v>60</v>
      </c>
    </row>
    <row r="11" spans="2:17" ht="18.75" thickBot="1" x14ac:dyDescent="0.4">
      <c r="B11" s="135"/>
      <c r="C11" s="9" t="s">
        <v>6</v>
      </c>
      <c r="D11" s="24" t="s">
        <v>98</v>
      </c>
      <c r="E11" s="80">
        <f>E10</f>
        <v>0.1958356888829404</v>
      </c>
      <c r="F11" s="24" t="s">
        <v>60</v>
      </c>
    </row>
    <row r="12" spans="2:17" ht="23.25" thickBot="1" x14ac:dyDescent="0.3">
      <c r="B12" s="59" t="s">
        <v>105</v>
      </c>
      <c r="C12" s="71" t="s">
        <v>0</v>
      </c>
      <c r="D12" s="60" t="s">
        <v>8</v>
      </c>
      <c r="E12" s="82">
        <f>1-Q2</f>
        <v>0.89996637956493897</v>
      </c>
      <c r="F12" s="60" t="s">
        <v>60</v>
      </c>
      <c r="G12" t="s">
        <v>158</v>
      </c>
    </row>
    <row r="14" spans="2:17" x14ac:dyDescent="0.25">
      <c r="E14" s="76"/>
      <c r="F14" s="75"/>
      <c r="G14" s="77"/>
    </row>
    <row r="15" spans="2:17" x14ac:dyDescent="0.25">
      <c r="E15" s="76"/>
      <c r="F15" s="75"/>
      <c r="G15" s="77"/>
    </row>
    <row r="16" spans="2:17" x14ac:dyDescent="0.25">
      <c r="E16" s="76"/>
      <c r="F16" s="77"/>
      <c r="G16" s="77"/>
    </row>
  </sheetData>
  <mergeCells count="4">
    <mergeCell ref="B1:F1"/>
    <mergeCell ref="B3:B5"/>
    <mergeCell ref="B6:B8"/>
    <mergeCell ref="B9:B1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8B376-885D-4E7D-9802-6130BE717DD9}">
  <sheetPr codeName="Sheet9"/>
  <dimension ref="B1:BE47"/>
  <sheetViews>
    <sheetView zoomScale="85" zoomScaleNormal="85" workbookViewId="0">
      <selection activeCell="N9" sqref="N9"/>
    </sheetView>
  </sheetViews>
  <sheetFormatPr defaultRowHeight="15" x14ac:dyDescent="0.25"/>
  <cols>
    <col min="1" max="1" width="1.28515625" customWidth="1"/>
    <col min="3" max="3" width="28" bestFit="1" customWidth="1"/>
    <col min="5" max="5" width="12.28515625" bestFit="1" customWidth="1"/>
    <col min="6" max="6" width="14.28515625" bestFit="1" customWidth="1"/>
    <col min="7" max="7" width="5" customWidth="1"/>
    <col min="8" max="8" width="12.7109375" customWidth="1"/>
    <col min="9" max="12" width="9.140625" customWidth="1"/>
    <col min="13" max="13" width="12.7109375" bestFit="1" customWidth="1"/>
    <col min="14" max="14" width="23" bestFit="1" customWidth="1"/>
    <col min="15" max="15" width="10.7109375" bestFit="1" customWidth="1"/>
    <col min="28" max="28" width="23" bestFit="1" customWidth="1"/>
    <col min="47" max="50" width="0" hidden="1" customWidth="1"/>
    <col min="51" max="51" width="12.7109375" hidden="1" customWidth="1"/>
    <col min="52" max="57" width="0" hidden="1" customWidth="1"/>
  </cols>
  <sheetData>
    <row r="1" spans="2:57" ht="15.75" thickBot="1" x14ac:dyDescent="0.3">
      <c r="B1" s="121" t="s">
        <v>108</v>
      </c>
      <c r="C1" s="121"/>
      <c r="D1" s="121"/>
      <c r="E1" s="121"/>
      <c r="F1" s="121"/>
      <c r="G1" s="74"/>
      <c r="H1" s="74"/>
      <c r="I1" s="74"/>
      <c r="J1" s="74"/>
      <c r="K1" s="74"/>
      <c r="AU1" t="s">
        <v>19</v>
      </c>
      <c r="AV1" t="s">
        <v>20</v>
      </c>
      <c r="AW1" t="s">
        <v>21</v>
      </c>
      <c r="AX1" t="s">
        <v>22</v>
      </c>
      <c r="AY1" t="s">
        <v>2</v>
      </c>
      <c r="BA1" s="140" t="s">
        <v>104</v>
      </c>
      <c r="BB1" s="28" t="s">
        <v>9</v>
      </c>
      <c r="BC1" s="29" t="s">
        <v>5</v>
      </c>
      <c r="BD1" s="98">
        <v>75</v>
      </c>
      <c r="BE1" s="29" t="s">
        <v>60</v>
      </c>
    </row>
    <row r="2" spans="2:57" ht="15" customHeight="1" thickBot="1" x14ac:dyDescent="0.4">
      <c r="B2" s="62"/>
      <c r="C2" s="179" t="s">
        <v>99</v>
      </c>
      <c r="D2" s="180" t="s">
        <v>100</v>
      </c>
      <c r="E2" s="181" t="s">
        <v>101</v>
      </c>
      <c r="F2" s="180" t="s">
        <v>102</v>
      </c>
      <c r="G2" s="19"/>
      <c r="H2" s="177" t="s">
        <v>109</v>
      </c>
      <c r="I2" s="19"/>
      <c r="J2" s="19"/>
      <c r="K2" s="19"/>
      <c r="AU2">
        <v>0</v>
      </c>
      <c r="AV2">
        <f>BD3</f>
        <v>10</v>
      </c>
      <c r="AW2" cm="1">
        <f t="array" ref="AW2:AW12">(ROW($AU$1:INDEX(AU:AU,AV2+1))-(1))</f>
        <v>0</v>
      </c>
      <c r="AX2" cm="1">
        <f t="array" ref="AX2:AX12">FACT(BD1)/((FACT((ROW($AU$1:INDEX(AU:AU,AV2+1))-(1)))*FACT(BD1-(ROW($AU$1:INDEX(AU:AU,AV2+1))-(1))))) * ((1-BD6)^(ROW($AU$1:INDEX(AU:AU,AV2+1))-(1))) * (BD6^(BD1-(ROW($AU$1:INDEX(AU:AU,AV2+1))-(1))))</f>
        <v>4.3123363262910124E-7</v>
      </c>
      <c r="AY2" s="19">
        <f>SUM(AX2:AX10003)</f>
        <v>0.20008050194891802</v>
      </c>
      <c r="BA2" s="141"/>
      <c r="BB2" s="7" t="s">
        <v>86</v>
      </c>
      <c r="BC2" s="44" t="s">
        <v>96</v>
      </c>
      <c r="BD2" s="99">
        <v>2203.2119056282363</v>
      </c>
      <c r="BE2" s="23" t="s">
        <v>30</v>
      </c>
    </row>
    <row r="3" spans="2:57" ht="18" customHeight="1" thickBot="1" x14ac:dyDescent="0.4">
      <c r="B3" s="134" t="s">
        <v>103</v>
      </c>
      <c r="C3" s="4" t="s">
        <v>79</v>
      </c>
      <c r="D3" s="52" t="s">
        <v>95</v>
      </c>
      <c r="E3" s="64">
        <v>0.99299999999999999</v>
      </c>
      <c r="F3" s="52" t="s">
        <v>60</v>
      </c>
      <c r="H3" s="178" t="s">
        <v>110</v>
      </c>
      <c r="AW3">
        <v>1</v>
      </c>
      <c r="AX3">
        <v>6.980273220787399E-6</v>
      </c>
      <c r="BA3" s="142"/>
      <c r="BB3" s="9" t="s">
        <v>18</v>
      </c>
      <c r="BC3" s="24" t="s">
        <v>17</v>
      </c>
      <c r="BD3" s="100">
        <v>10</v>
      </c>
      <c r="BE3" s="24" t="s">
        <v>60</v>
      </c>
    </row>
    <row r="4" spans="2:57" ht="18" x14ac:dyDescent="0.35">
      <c r="B4" s="125"/>
      <c r="C4" s="7" t="s">
        <v>78</v>
      </c>
      <c r="D4" s="23" t="s">
        <v>94</v>
      </c>
      <c r="E4" s="65">
        <v>1370</v>
      </c>
      <c r="F4" s="23" t="s">
        <v>30</v>
      </c>
      <c r="H4" s="176"/>
      <c r="AW4">
        <v>2</v>
      </c>
      <c r="AX4">
        <v>5.5740733571638518E-5</v>
      </c>
      <c r="BA4" s="134" t="s">
        <v>106</v>
      </c>
      <c r="BB4" s="4" t="s">
        <v>82</v>
      </c>
      <c r="BC4" s="70" t="s">
        <v>83</v>
      </c>
      <c r="BD4" s="78">
        <f>E4*(-LN(E3))^(-1/E5)</f>
        <v>2781.928226470302</v>
      </c>
      <c r="BE4" s="52" t="s">
        <v>30</v>
      </c>
    </row>
    <row r="5" spans="2:57" ht="18" x14ac:dyDescent="0.35">
      <c r="B5" s="125"/>
      <c r="C5" s="7" t="s">
        <v>80</v>
      </c>
      <c r="D5" s="44" t="s">
        <v>81</v>
      </c>
      <c r="E5" s="65">
        <v>7</v>
      </c>
      <c r="F5" s="23" t="s">
        <v>60</v>
      </c>
      <c r="H5" s="176"/>
      <c r="AW5">
        <v>3</v>
      </c>
      <c r="AX5">
        <v>2.9273376544203809E-4</v>
      </c>
      <c r="BA5" s="125"/>
      <c r="BB5" s="7" t="s">
        <v>85</v>
      </c>
      <c r="BC5" s="44" t="s">
        <v>97</v>
      </c>
      <c r="BD5" s="79">
        <f>EXP(-((BD2/BD4)^E5))</f>
        <v>0.82248786989290501</v>
      </c>
      <c r="BE5" s="23" t="s">
        <v>60</v>
      </c>
    </row>
    <row r="6" spans="2:57" ht="18.75" thickBot="1" x14ac:dyDescent="0.4">
      <c r="B6" s="135"/>
      <c r="C6" s="9" t="s">
        <v>165</v>
      </c>
      <c r="D6" s="97" t="s">
        <v>166</v>
      </c>
      <c r="E6" s="96">
        <v>0.8</v>
      </c>
      <c r="F6" s="24" t="s">
        <v>60</v>
      </c>
      <c r="AW6">
        <v>4</v>
      </c>
      <c r="AX6">
        <v>1.1372183479906579E-3</v>
      </c>
      <c r="BA6" s="135"/>
      <c r="BB6" s="9" t="s">
        <v>6</v>
      </c>
      <c r="BC6" s="24" t="s">
        <v>98</v>
      </c>
      <c r="BD6" s="80">
        <f>BD5</f>
        <v>0.82248786989290501</v>
      </c>
      <c r="BE6" s="24" t="s">
        <v>60</v>
      </c>
    </row>
    <row r="7" spans="2:57" ht="15" hidden="1" customHeight="1" thickBot="1" x14ac:dyDescent="0.3">
      <c r="B7" s="182" t="s">
        <v>169</v>
      </c>
      <c r="C7" s="173" t="s">
        <v>167</v>
      </c>
      <c r="D7" s="183" t="s">
        <v>60</v>
      </c>
      <c r="E7" s="185" t="s">
        <v>168</v>
      </c>
      <c r="F7" s="184" t="s">
        <v>60</v>
      </c>
      <c r="I7" s="107"/>
      <c r="J7" s="107"/>
      <c r="K7" s="107"/>
      <c r="L7" s="107"/>
      <c r="M7" s="107"/>
      <c r="N7" s="107"/>
      <c r="AW7">
        <v>5</v>
      </c>
      <c r="AX7">
        <v>3.4852243225479977E-3</v>
      </c>
      <c r="BA7" s="59" t="s">
        <v>105</v>
      </c>
      <c r="BB7" s="71" t="s">
        <v>0</v>
      </c>
      <c r="BC7" s="60" t="s">
        <v>8</v>
      </c>
      <c r="BD7" s="101">
        <f>1-AY2</f>
        <v>0.79991949805108198</v>
      </c>
      <c r="BE7" s="60" t="s">
        <v>60</v>
      </c>
    </row>
    <row r="8" spans="2:57" ht="15" customHeight="1" x14ac:dyDescent="0.25">
      <c r="B8" s="147" t="str">
        <f>IF(AND(COUNTIF(D18:N47,"="&amp;BD2),COUNTIF(R18:AB47,"="&amp;BD7)),"OK - It appears the inputs match the last filled out value within the table. Likely no need to re-run the macro.","Macro needs to be re-ran. It appears inputs have changed. Use Populate Tables Macro button.")</f>
        <v>OK - It appears the inputs match the last filled out value within the table. Likely no need to re-run the macro.</v>
      </c>
      <c r="C8" s="147"/>
      <c r="D8" s="147"/>
      <c r="E8" s="147"/>
      <c r="F8" s="107"/>
      <c r="H8" s="107"/>
      <c r="I8" s="107"/>
      <c r="J8" s="107"/>
      <c r="K8" s="107"/>
      <c r="L8" s="107"/>
      <c r="M8" s="107"/>
      <c r="N8" s="107"/>
      <c r="AW8">
        <v>6</v>
      </c>
      <c r="AX8">
        <v>8.7755846464940557E-3</v>
      </c>
    </row>
    <row r="9" spans="2:57" x14ac:dyDescent="0.25">
      <c r="B9" s="147"/>
      <c r="C9" s="147"/>
      <c r="D9" s="147"/>
      <c r="E9" s="147"/>
      <c r="F9" s="107"/>
      <c r="H9" s="107"/>
      <c r="I9" s="107"/>
      <c r="J9" s="107"/>
      <c r="K9" s="107"/>
      <c r="L9" s="107"/>
      <c r="M9" s="107"/>
      <c r="N9" s="107"/>
      <c r="AW9">
        <v>7</v>
      </c>
      <c r="AX9">
        <v>1.8669197245227774E-2</v>
      </c>
    </row>
    <row r="10" spans="2:57" x14ac:dyDescent="0.25">
      <c r="B10" s="147"/>
      <c r="C10" s="147"/>
      <c r="D10" s="147"/>
      <c r="E10" s="147"/>
      <c r="F10" s="107"/>
      <c r="H10" s="107"/>
      <c r="I10" s="107"/>
      <c r="J10" s="107"/>
      <c r="K10" s="107"/>
      <c r="L10" s="107"/>
      <c r="M10" s="107"/>
      <c r="N10" s="107"/>
      <c r="AW10">
        <v>8</v>
      </c>
      <c r="AX10">
        <v>3.4248622112788028E-2</v>
      </c>
    </row>
    <row r="11" spans="2:57" x14ac:dyDescent="0.25">
      <c r="B11" s="147"/>
      <c r="C11" s="147"/>
      <c r="D11" s="147"/>
      <c r="E11" s="147"/>
      <c r="H11" s="107"/>
      <c r="I11" s="107"/>
      <c r="J11" s="107"/>
      <c r="K11" s="107"/>
      <c r="L11" s="107"/>
      <c r="M11" s="107"/>
      <c r="N11" s="107"/>
      <c r="AW11">
        <v>9</v>
      </c>
      <c r="AX11">
        <v>5.5026758560489733E-2</v>
      </c>
    </row>
    <row r="12" spans="2:57" x14ac:dyDescent="0.25">
      <c r="B12" s="147"/>
      <c r="C12" s="147"/>
      <c r="D12" s="147"/>
      <c r="E12" s="147"/>
      <c r="H12" s="107"/>
      <c r="I12" s="107"/>
      <c r="J12" s="107"/>
      <c r="K12" s="107"/>
      <c r="L12" s="107"/>
      <c r="M12" s="107"/>
      <c r="N12" s="107"/>
      <c r="AW12">
        <v>10</v>
      </c>
      <c r="AX12">
        <v>7.8382010707512662E-2</v>
      </c>
    </row>
    <row r="13" spans="2:57" hidden="1" x14ac:dyDescent="0.25">
      <c r="H13" s="107"/>
      <c r="I13" s="107"/>
      <c r="J13" s="107"/>
      <c r="K13" s="107"/>
      <c r="L13" s="107"/>
      <c r="M13" s="107"/>
      <c r="N13" s="107"/>
    </row>
    <row r="14" spans="2:57" hidden="1" x14ac:dyDescent="0.25"/>
    <row r="15" spans="2:57" ht="15.75" thickBot="1" x14ac:dyDescent="0.3">
      <c r="E15" s="76"/>
      <c r="F15" s="75"/>
      <c r="G15" s="77"/>
    </row>
    <row r="16" spans="2:57" ht="15" customHeight="1" x14ac:dyDescent="0.25">
      <c r="B16" s="143" t="s">
        <v>143</v>
      </c>
      <c r="C16" s="144"/>
      <c r="D16" s="154" t="s">
        <v>46</v>
      </c>
      <c r="E16" s="155"/>
      <c r="F16" s="155"/>
      <c r="G16" s="155"/>
      <c r="H16" s="155"/>
      <c r="I16" s="155"/>
      <c r="J16" s="155"/>
      <c r="K16" s="155"/>
      <c r="L16" s="155"/>
      <c r="M16" s="155"/>
      <c r="N16" s="156"/>
      <c r="P16" s="157" t="s">
        <v>0</v>
      </c>
      <c r="Q16" s="158"/>
      <c r="R16" s="154" t="s">
        <v>46</v>
      </c>
      <c r="S16" s="155"/>
      <c r="T16" s="155"/>
      <c r="U16" s="155"/>
      <c r="V16" s="155"/>
      <c r="W16" s="155"/>
      <c r="X16" s="155"/>
      <c r="Y16" s="155"/>
      <c r="Z16" s="155"/>
      <c r="AA16" s="155"/>
      <c r="AB16" s="156"/>
    </row>
    <row r="17" spans="2:28" ht="15.75" thickBot="1" x14ac:dyDescent="0.3">
      <c r="B17" s="145"/>
      <c r="C17" s="146"/>
      <c r="D17" s="95">
        <v>0</v>
      </c>
      <c r="E17" s="85">
        <v>1</v>
      </c>
      <c r="F17" s="85">
        <v>2</v>
      </c>
      <c r="G17" s="85">
        <v>3</v>
      </c>
      <c r="H17" s="85">
        <v>4</v>
      </c>
      <c r="I17" s="85">
        <v>5</v>
      </c>
      <c r="J17" s="85">
        <v>6</v>
      </c>
      <c r="K17" s="85">
        <v>7</v>
      </c>
      <c r="L17" s="85">
        <v>8</v>
      </c>
      <c r="M17" s="85">
        <v>9</v>
      </c>
      <c r="N17" s="86">
        <v>10</v>
      </c>
      <c r="P17" s="136"/>
      <c r="Q17" s="147"/>
      <c r="R17" s="95">
        <f>IF(ISBLANK(D17),"",D17)</f>
        <v>0</v>
      </c>
      <c r="S17" s="85">
        <f t="shared" ref="S17:AB17" si="0">IF(ISBLANK(E17),"",E17)</f>
        <v>1</v>
      </c>
      <c r="T17" s="85">
        <f t="shared" si="0"/>
        <v>2</v>
      </c>
      <c r="U17" s="85">
        <f t="shared" si="0"/>
        <v>3</v>
      </c>
      <c r="V17" s="85">
        <f t="shared" si="0"/>
        <v>4</v>
      </c>
      <c r="W17" s="85">
        <f t="shared" si="0"/>
        <v>5</v>
      </c>
      <c r="X17" s="85">
        <f t="shared" si="0"/>
        <v>6</v>
      </c>
      <c r="Y17" s="85">
        <f t="shared" si="0"/>
        <v>7</v>
      </c>
      <c r="Z17" s="85">
        <f t="shared" si="0"/>
        <v>8</v>
      </c>
      <c r="AA17" s="85">
        <f t="shared" si="0"/>
        <v>9</v>
      </c>
      <c r="AB17" s="86">
        <f t="shared" si="0"/>
        <v>10</v>
      </c>
    </row>
    <row r="18" spans="2:28" x14ac:dyDescent="0.25">
      <c r="B18" s="148" t="s">
        <v>36</v>
      </c>
      <c r="C18" s="52">
        <v>1</v>
      </c>
      <c r="D18" s="4">
        <v>2977.6147152647409</v>
      </c>
      <c r="E18" s="21" t="s">
        <v>164</v>
      </c>
      <c r="F18" s="21" t="s">
        <v>164</v>
      </c>
      <c r="G18" s="21" t="s">
        <v>164</v>
      </c>
      <c r="H18" s="21" t="s">
        <v>164</v>
      </c>
      <c r="I18" s="21" t="s">
        <v>164</v>
      </c>
      <c r="J18" s="21" t="s">
        <v>164</v>
      </c>
      <c r="K18" s="21" t="s">
        <v>164</v>
      </c>
      <c r="L18" s="21" t="s">
        <v>164</v>
      </c>
      <c r="M18" s="21" t="s">
        <v>164</v>
      </c>
      <c r="N18" s="171" t="s">
        <v>164</v>
      </c>
      <c r="P18" s="151" t="s">
        <v>36</v>
      </c>
      <c r="Q18" s="104">
        <v>5</v>
      </c>
      <c r="R18" s="166">
        <v>0.79998802225310295</v>
      </c>
      <c r="S18" s="166" t="s">
        <v>164</v>
      </c>
      <c r="T18" s="166" t="s">
        <v>164</v>
      </c>
      <c r="U18" s="166" t="s">
        <v>164</v>
      </c>
      <c r="V18" s="166" t="s">
        <v>164</v>
      </c>
      <c r="W18" s="166" t="s">
        <v>164</v>
      </c>
      <c r="X18" s="166" t="s">
        <v>164</v>
      </c>
      <c r="Y18" s="166" t="s">
        <v>164</v>
      </c>
      <c r="Z18" s="166" t="s">
        <v>164</v>
      </c>
      <c r="AA18" s="166" t="s">
        <v>164</v>
      </c>
      <c r="AB18" s="167" t="s">
        <v>164</v>
      </c>
    </row>
    <row r="19" spans="2:28" x14ac:dyDescent="0.25">
      <c r="B19" s="149"/>
      <c r="C19" s="23">
        <v>2</v>
      </c>
      <c r="D19" s="28">
        <v>2697.6318052436463</v>
      </c>
      <c r="E19" s="102">
        <v>3123.2657204493376</v>
      </c>
      <c r="F19" s="102" t="s">
        <v>164</v>
      </c>
      <c r="G19" s="102" t="s">
        <v>164</v>
      </c>
      <c r="H19" s="102" t="s">
        <v>164</v>
      </c>
      <c r="I19" s="102" t="s">
        <v>164</v>
      </c>
      <c r="J19" s="102" t="s">
        <v>164</v>
      </c>
      <c r="K19" s="102" t="s">
        <v>164</v>
      </c>
      <c r="L19" s="102" t="s">
        <v>164</v>
      </c>
      <c r="M19" s="102" t="s">
        <v>164</v>
      </c>
      <c r="N19" s="172" t="s">
        <v>164</v>
      </c>
      <c r="P19" s="152"/>
      <c r="Q19" s="105">
        <v>5</v>
      </c>
      <c r="R19" s="103">
        <v>0.80060225528444229</v>
      </c>
      <c r="S19" s="103">
        <v>0.79997684766790522</v>
      </c>
      <c r="T19" s="103" t="s">
        <v>164</v>
      </c>
      <c r="U19" s="103" t="s">
        <v>164</v>
      </c>
      <c r="V19" s="103" t="s">
        <v>164</v>
      </c>
      <c r="W19" s="103" t="s">
        <v>164</v>
      </c>
      <c r="X19" s="103" t="s">
        <v>164</v>
      </c>
      <c r="Y19" s="103" t="s">
        <v>164</v>
      </c>
      <c r="Z19" s="103" t="s">
        <v>164</v>
      </c>
      <c r="AA19" s="103" t="s">
        <v>164</v>
      </c>
      <c r="AB19" s="168" t="s">
        <v>164</v>
      </c>
    </row>
    <row r="20" spans="2:28" x14ac:dyDescent="0.25">
      <c r="B20" s="149"/>
      <c r="C20" s="23">
        <v>3</v>
      </c>
      <c r="D20" s="28">
        <v>2544.1369696758852</v>
      </c>
      <c r="E20" s="102">
        <v>2870.903937235666</v>
      </c>
      <c r="F20" s="102">
        <v>3194.9694730600336</v>
      </c>
      <c r="G20" s="102" t="s">
        <v>164</v>
      </c>
      <c r="H20" s="102" t="s">
        <v>164</v>
      </c>
      <c r="I20" s="102" t="s">
        <v>164</v>
      </c>
      <c r="J20" s="102" t="s">
        <v>164</v>
      </c>
      <c r="K20" s="102" t="s">
        <v>164</v>
      </c>
      <c r="L20" s="102" t="s">
        <v>164</v>
      </c>
      <c r="M20" s="102" t="s">
        <v>164</v>
      </c>
      <c r="N20" s="172" t="s">
        <v>164</v>
      </c>
      <c r="P20" s="152"/>
      <c r="Q20" s="105">
        <v>5</v>
      </c>
      <c r="R20" s="103">
        <v>0.79911652761152374</v>
      </c>
      <c r="S20" s="103">
        <v>0.79956427461413226</v>
      </c>
      <c r="T20" s="103">
        <v>0.79997805472737626</v>
      </c>
      <c r="U20" s="103" t="s">
        <v>164</v>
      </c>
      <c r="V20" s="103" t="s">
        <v>164</v>
      </c>
      <c r="W20" s="103" t="s">
        <v>164</v>
      </c>
      <c r="X20" s="103" t="s">
        <v>164</v>
      </c>
      <c r="Y20" s="103" t="s">
        <v>164</v>
      </c>
      <c r="Z20" s="103" t="s">
        <v>164</v>
      </c>
      <c r="AA20" s="103" t="s">
        <v>164</v>
      </c>
      <c r="AB20" s="168" t="s">
        <v>164</v>
      </c>
    </row>
    <row r="21" spans="2:28" x14ac:dyDescent="0.25">
      <c r="B21" s="149"/>
      <c r="C21" s="23">
        <v>4</v>
      </c>
      <c r="D21" s="28">
        <v>2442.7963124909725</v>
      </c>
      <c r="E21" s="102">
        <v>2728.5643254142897</v>
      </c>
      <c r="F21" s="102">
        <v>2961.535174455476</v>
      </c>
      <c r="G21" s="102">
        <v>3241.1243805899699</v>
      </c>
      <c r="H21" s="102" t="s">
        <v>164</v>
      </c>
      <c r="I21" s="102" t="s">
        <v>164</v>
      </c>
      <c r="J21" s="102" t="s">
        <v>164</v>
      </c>
      <c r="K21" s="102" t="s">
        <v>164</v>
      </c>
      <c r="L21" s="102" t="s">
        <v>164</v>
      </c>
      <c r="M21" s="102" t="s">
        <v>164</v>
      </c>
      <c r="N21" s="172" t="s">
        <v>164</v>
      </c>
      <c r="P21" s="152"/>
      <c r="Q21" s="105">
        <v>5</v>
      </c>
      <c r="R21" s="103">
        <v>0.80012976853452245</v>
      </c>
      <c r="S21" s="103">
        <v>0.79992310894010732</v>
      </c>
      <c r="T21" s="103">
        <v>0.79994778957327695</v>
      </c>
      <c r="U21" s="103">
        <v>0.7999497914776994</v>
      </c>
      <c r="V21" s="103" t="s">
        <v>164</v>
      </c>
      <c r="W21" s="103" t="s">
        <v>164</v>
      </c>
      <c r="X21" s="103" t="s">
        <v>164</v>
      </c>
      <c r="Y21" s="103" t="s">
        <v>164</v>
      </c>
      <c r="Z21" s="103" t="s">
        <v>164</v>
      </c>
      <c r="AA21" s="103" t="s">
        <v>164</v>
      </c>
      <c r="AB21" s="168" t="s">
        <v>164</v>
      </c>
    </row>
    <row r="22" spans="2:28" x14ac:dyDescent="0.25">
      <c r="B22" s="149"/>
      <c r="C22" s="23">
        <v>5</v>
      </c>
      <c r="D22" s="28">
        <v>2366.1142845881009</v>
      </c>
      <c r="E22" s="102">
        <v>2628.5766540408758</v>
      </c>
      <c r="F22" s="102">
        <v>2826.9349378344982</v>
      </c>
      <c r="G22" s="102">
        <v>3020.7633120469168</v>
      </c>
      <c r="H22" s="102">
        <v>3274.6023321023795</v>
      </c>
      <c r="I22" s="102" t="s">
        <v>164</v>
      </c>
      <c r="J22" s="102" t="s">
        <v>164</v>
      </c>
      <c r="K22" s="102" t="s">
        <v>164</v>
      </c>
      <c r="L22" s="102" t="s">
        <v>164</v>
      </c>
      <c r="M22" s="102" t="s">
        <v>164</v>
      </c>
      <c r="N22" s="172" t="s">
        <v>164</v>
      </c>
      <c r="P22" s="152"/>
      <c r="Q22" s="105">
        <v>5</v>
      </c>
      <c r="R22" s="103">
        <v>0.80009215819877899</v>
      </c>
      <c r="S22" s="103">
        <v>0.79911818208504193</v>
      </c>
      <c r="T22" s="103">
        <v>0.79993807916932402</v>
      </c>
      <c r="U22" s="103">
        <v>0.79991031714944238</v>
      </c>
      <c r="V22" s="103">
        <v>0.79989592541365551</v>
      </c>
      <c r="W22" s="103" t="s">
        <v>164</v>
      </c>
      <c r="X22" s="103" t="s">
        <v>164</v>
      </c>
      <c r="Y22" s="103" t="s">
        <v>164</v>
      </c>
      <c r="Z22" s="103" t="s">
        <v>164</v>
      </c>
      <c r="AA22" s="103" t="s">
        <v>164</v>
      </c>
      <c r="AB22" s="168" t="s">
        <v>164</v>
      </c>
    </row>
    <row r="23" spans="2:28" x14ac:dyDescent="0.25">
      <c r="B23" s="149"/>
      <c r="C23" s="23">
        <v>6</v>
      </c>
      <c r="D23" s="28">
        <v>2304.7031034427932</v>
      </c>
      <c r="E23" s="102">
        <v>2553.4982652037165</v>
      </c>
      <c r="F23" s="102">
        <v>2731.7299764399072</v>
      </c>
      <c r="G23" s="102">
        <v>2892.6545066099598</v>
      </c>
      <c r="H23" s="102">
        <v>3064.1248447115399</v>
      </c>
      <c r="I23" s="102">
        <v>3300.6262136159116</v>
      </c>
      <c r="J23" s="102" t="s">
        <v>164</v>
      </c>
      <c r="K23" s="102" t="s">
        <v>164</v>
      </c>
      <c r="L23" s="102" t="s">
        <v>164</v>
      </c>
      <c r="M23" s="102" t="s">
        <v>164</v>
      </c>
      <c r="N23" s="172" t="s">
        <v>164</v>
      </c>
      <c r="P23" s="152"/>
      <c r="Q23" s="105">
        <v>5</v>
      </c>
      <c r="R23" s="103">
        <v>0.79952579371848786</v>
      </c>
      <c r="S23" s="103">
        <v>0.79998971216476578</v>
      </c>
      <c r="T23" s="103">
        <v>0.7999377863644429</v>
      </c>
      <c r="U23" s="103">
        <v>0.79992260258663661</v>
      </c>
      <c r="V23" s="103">
        <v>0.79989378767340569</v>
      </c>
      <c r="W23" s="103">
        <v>0.79985282993772933</v>
      </c>
      <c r="X23" s="103" t="s">
        <v>164</v>
      </c>
      <c r="Y23" s="103" t="s">
        <v>164</v>
      </c>
      <c r="Z23" s="103" t="s">
        <v>164</v>
      </c>
      <c r="AA23" s="103" t="s">
        <v>164</v>
      </c>
      <c r="AB23" s="168" t="s">
        <v>164</v>
      </c>
    </row>
    <row r="24" spans="2:28" x14ac:dyDescent="0.25">
      <c r="B24" s="149"/>
      <c r="C24" s="23">
        <v>7</v>
      </c>
      <c r="D24" s="28">
        <v>2255.0619514866294</v>
      </c>
      <c r="E24" s="102">
        <v>2492.4350025761423</v>
      </c>
      <c r="F24" s="102">
        <v>2658.1433350060197</v>
      </c>
      <c r="G24" s="102">
        <v>2801.1727278059602</v>
      </c>
      <c r="H24" s="102">
        <v>2941.2693923694596</v>
      </c>
      <c r="I24" s="102">
        <v>3097.9542910070422</v>
      </c>
      <c r="J24" s="102">
        <v>3321.7747145691883</v>
      </c>
      <c r="K24" s="102" t="s">
        <v>164</v>
      </c>
      <c r="L24" s="102" t="s">
        <v>164</v>
      </c>
      <c r="M24" s="102" t="s">
        <v>164</v>
      </c>
      <c r="N24" s="172" t="s">
        <v>164</v>
      </c>
      <c r="P24" s="152"/>
      <c r="Q24" s="105">
        <v>5</v>
      </c>
      <c r="R24" s="103">
        <v>0.80008278781840325</v>
      </c>
      <c r="S24" s="103">
        <v>0.79998533978157305</v>
      </c>
      <c r="T24" s="103">
        <v>0.79993963056760209</v>
      </c>
      <c r="U24" s="103">
        <v>0.79993392767373062</v>
      </c>
      <c r="V24" s="103">
        <v>0.79992148347874803</v>
      </c>
      <c r="W24" s="103">
        <v>0.79988556819237677</v>
      </c>
      <c r="X24" s="103">
        <v>0.79981849823178697</v>
      </c>
      <c r="Y24" s="103" t="s">
        <v>164</v>
      </c>
      <c r="Z24" s="103" t="s">
        <v>164</v>
      </c>
      <c r="AA24" s="103" t="s">
        <v>164</v>
      </c>
      <c r="AB24" s="168" t="s">
        <v>164</v>
      </c>
    </row>
    <row r="25" spans="2:28" x14ac:dyDescent="0.25">
      <c r="B25" s="149"/>
      <c r="C25" s="23">
        <v>8</v>
      </c>
      <c r="D25" s="28">
        <v>2212.3213405836655</v>
      </c>
      <c r="E25" s="102">
        <v>2441.4808859530872</v>
      </c>
      <c r="F25" s="102">
        <v>2598.2972851924192</v>
      </c>
      <c r="G25" s="102">
        <v>2729.879379565713</v>
      </c>
      <c r="H25" s="102">
        <v>2853.0100173045157</v>
      </c>
      <c r="I25" s="102">
        <v>2979.4421469748836</v>
      </c>
      <c r="J25" s="102">
        <v>3125.4791336644985</v>
      </c>
      <c r="K25" s="102">
        <v>3339.504904962404</v>
      </c>
      <c r="L25" s="102" t="s">
        <v>164</v>
      </c>
      <c r="M25" s="102" t="s">
        <v>164</v>
      </c>
      <c r="N25" s="172" t="s">
        <v>164</v>
      </c>
      <c r="P25" s="152"/>
      <c r="Q25" s="105">
        <v>5</v>
      </c>
      <c r="R25" s="103">
        <v>0.79994942946198377</v>
      </c>
      <c r="S25" s="103">
        <v>0.79998253800919294</v>
      </c>
      <c r="T25" s="103">
        <v>0.79994161487697246</v>
      </c>
      <c r="U25" s="103">
        <v>0.79994202994804675</v>
      </c>
      <c r="V25" s="103">
        <v>0.79993900701053666</v>
      </c>
      <c r="W25" s="103">
        <v>0.79992379738059749</v>
      </c>
      <c r="X25" s="103">
        <v>0.79988116829342026</v>
      </c>
      <c r="Y25" s="103">
        <v>0.79979055745590788</v>
      </c>
      <c r="Z25" s="103" t="s">
        <v>164</v>
      </c>
      <c r="AA25" s="103" t="s">
        <v>164</v>
      </c>
      <c r="AB25" s="168" t="s">
        <v>164</v>
      </c>
    </row>
    <row r="26" spans="2:28" x14ac:dyDescent="0.25">
      <c r="B26" s="149"/>
      <c r="C26" s="23">
        <v>9</v>
      </c>
      <c r="D26" s="28">
        <v>2175.3820302527856</v>
      </c>
      <c r="E26" s="102">
        <v>2397.8739348556946</v>
      </c>
      <c r="F26" s="102">
        <v>2547.9721738903813</v>
      </c>
      <c r="G26" s="102">
        <v>2671.5005208767789</v>
      </c>
      <c r="H26" s="102">
        <v>2783.8362170930614</v>
      </c>
      <c r="I26" s="102">
        <v>2893.9674843716939</v>
      </c>
      <c r="J26" s="102">
        <v>3010.6304812927801</v>
      </c>
      <c r="K26" s="102">
        <v>3148.5534223594477</v>
      </c>
      <c r="L26" s="102">
        <v>3354.7160344227955</v>
      </c>
      <c r="M26" s="102" t="s">
        <v>164</v>
      </c>
      <c r="N26" s="172" t="s">
        <v>164</v>
      </c>
      <c r="P26" s="152"/>
      <c r="Q26" s="105">
        <v>5</v>
      </c>
      <c r="R26" s="103">
        <v>0.79992260968914297</v>
      </c>
      <c r="S26" s="103">
        <v>0.79998032838894972</v>
      </c>
      <c r="T26" s="103">
        <v>0.79994339239863754</v>
      </c>
      <c r="U26" s="103">
        <v>0.79994783558372917</v>
      </c>
      <c r="V26" s="103">
        <v>0.79995000130211746</v>
      </c>
      <c r="W26" s="103">
        <v>0.79994488317269685</v>
      </c>
      <c r="X26" s="103">
        <v>0.7999269341136136</v>
      </c>
      <c r="Y26" s="103">
        <v>0.79987875692632249</v>
      </c>
      <c r="Z26" s="103">
        <v>0.79976731784034971</v>
      </c>
      <c r="AA26" s="103" t="s">
        <v>164</v>
      </c>
      <c r="AB26" s="168" t="s">
        <v>164</v>
      </c>
    </row>
    <row r="27" spans="2:28" x14ac:dyDescent="0.25">
      <c r="B27" s="149"/>
      <c r="C27" s="23">
        <v>10</v>
      </c>
      <c r="D27" s="28">
        <v>2143.439387489585</v>
      </c>
      <c r="E27" s="102">
        <v>2359.8392972849424</v>
      </c>
      <c r="F27" s="102">
        <v>2504.6341950059195</v>
      </c>
      <c r="G27" s="102">
        <v>2622.1294310766348</v>
      </c>
      <c r="H27" s="102">
        <v>2726.9095722834795</v>
      </c>
      <c r="I27" s="102">
        <v>2826.7039140948541</v>
      </c>
      <c r="J27" s="102">
        <v>2927.5798776537804</v>
      </c>
      <c r="K27" s="102">
        <v>3036.847987914151</v>
      </c>
      <c r="L27" s="102">
        <v>3168.3340302291617</v>
      </c>
      <c r="M27" s="102">
        <v>3367.9998496637854</v>
      </c>
      <c r="N27" s="172" t="s">
        <v>164</v>
      </c>
      <c r="P27" s="152"/>
      <c r="Q27" s="105">
        <v>5</v>
      </c>
      <c r="R27" s="103">
        <v>0.80050581138817301</v>
      </c>
      <c r="S27" s="103">
        <v>0.7999780608197089</v>
      </c>
      <c r="T27" s="103">
        <v>0.79994491584991145</v>
      </c>
      <c r="U27" s="103">
        <v>0.79995212387626413</v>
      </c>
      <c r="V27" s="103">
        <v>0.79995730676450161</v>
      </c>
      <c r="W27" s="103">
        <v>0.79995723576491495</v>
      </c>
      <c r="X27" s="103">
        <v>0.79995017350027997</v>
      </c>
      <c r="Y27" s="103">
        <v>0.79993014125191264</v>
      </c>
      <c r="Z27" s="103">
        <v>0.79987747978305213</v>
      </c>
      <c r="AA27" s="103">
        <v>0.79974762465499194</v>
      </c>
      <c r="AB27" s="168" t="s">
        <v>164</v>
      </c>
    </row>
    <row r="28" spans="2:28" x14ac:dyDescent="0.25">
      <c r="B28" s="149"/>
      <c r="C28" s="23">
        <v>11</v>
      </c>
      <c r="D28" s="28">
        <v>2114.0099412388768</v>
      </c>
      <c r="E28" s="102">
        <v>2326.1711676206432</v>
      </c>
      <c r="F28" s="102">
        <v>2466.6398325444156</v>
      </c>
      <c r="G28" s="102">
        <v>2579.4100398690866</v>
      </c>
      <c r="H28" s="102">
        <v>2678.5584767200075</v>
      </c>
      <c r="I28" s="102">
        <v>2771.1414841655815</v>
      </c>
      <c r="J28" s="102">
        <v>2862.0294508501156</v>
      </c>
      <c r="K28" s="102">
        <v>2955.926899897363</v>
      </c>
      <c r="L28" s="102">
        <v>3059.3643161092641</v>
      </c>
      <c r="M28" s="102">
        <v>3185.5880526667197</v>
      </c>
      <c r="N28" s="172">
        <v>3379.7652652799511</v>
      </c>
      <c r="P28" s="152"/>
      <c r="Q28" s="105">
        <v>5</v>
      </c>
      <c r="R28" s="103">
        <v>0.80003423168365728</v>
      </c>
      <c r="S28" s="103">
        <v>0.79997708575792992</v>
      </c>
      <c r="T28" s="103">
        <v>0.79994621016669698</v>
      </c>
      <c r="U28" s="103">
        <v>0.7999553925534596</v>
      </c>
      <c r="V28" s="103">
        <v>0.79996243122384159</v>
      </c>
      <c r="W28" s="103">
        <v>0.79996507244759218</v>
      </c>
      <c r="X28" s="103">
        <v>0.79996313844800937</v>
      </c>
      <c r="Y28" s="103">
        <v>0.79995472179978089</v>
      </c>
      <c r="Z28" s="103">
        <v>0.79993319013404862</v>
      </c>
      <c r="AA28" s="103">
        <v>0.79987689424357433</v>
      </c>
      <c r="AB28" s="168">
        <v>0.79973067605056214</v>
      </c>
    </row>
    <row r="29" spans="2:28" x14ac:dyDescent="0.25">
      <c r="B29" s="149"/>
      <c r="C29" s="23">
        <v>12</v>
      </c>
      <c r="D29" s="28">
        <v>2087.5927470187121</v>
      </c>
      <c r="E29" s="102">
        <v>2296.0113690694848</v>
      </c>
      <c r="F29" s="102">
        <v>2432.8616850387571</v>
      </c>
      <c r="G29" s="102">
        <v>2541.806575623536</v>
      </c>
      <c r="H29" s="102">
        <v>2636.5654641841734</v>
      </c>
      <c r="I29" s="102">
        <v>2723.7905635126117</v>
      </c>
      <c r="J29" s="102">
        <v>2807.726215521594</v>
      </c>
      <c r="K29" s="102">
        <v>2891.9156171142604</v>
      </c>
      <c r="L29" s="102">
        <v>2980.3309794380211</v>
      </c>
      <c r="M29" s="102">
        <v>3079.0282822640966</v>
      </c>
      <c r="N29" s="172">
        <v>3200.848453713219</v>
      </c>
      <c r="P29" s="152"/>
      <c r="Q29" s="105">
        <v>5</v>
      </c>
      <c r="R29" s="103">
        <v>0.79970791654273077</v>
      </c>
      <c r="S29" s="103">
        <v>0.79997623220380953</v>
      </c>
      <c r="T29" s="103">
        <v>0.79994731215790194</v>
      </c>
      <c r="U29" s="103">
        <v>0.79995795400430669</v>
      </c>
      <c r="V29" s="103">
        <v>0.79996618938065989</v>
      </c>
      <c r="W29" s="103">
        <v>0.79997038044652813</v>
      </c>
      <c r="X29" s="103">
        <v>0.79997107186342409</v>
      </c>
      <c r="Y29" s="103">
        <v>0.7999679061319982</v>
      </c>
      <c r="Z29" s="103">
        <v>0.79995861165974025</v>
      </c>
      <c r="AA29" s="103">
        <v>0.7999360198976655</v>
      </c>
      <c r="AB29" s="168">
        <v>0.79987675172874606</v>
      </c>
    </row>
    <row r="30" spans="2:28" x14ac:dyDescent="0.25">
      <c r="B30" s="149"/>
      <c r="C30" s="23">
        <v>13</v>
      </c>
      <c r="D30" s="28">
        <v>2064.7423626790851</v>
      </c>
      <c r="E30" s="102">
        <v>2268.7288153959976</v>
      </c>
      <c r="F30" s="102">
        <v>2402.4927084147816</v>
      </c>
      <c r="G30" s="102">
        <v>2508.2602583834014</v>
      </c>
      <c r="H30" s="102">
        <v>2599.4816865313633</v>
      </c>
      <c r="I30" s="102">
        <v>2682.5437226966856</v>
      </c>
      <c r="J30" s="102">
        <v>2761.3253215393784</v>
      </c>
      <c r="K30" s="102">
        <v>2838.7682771968275</v>
      </c>
      <c r="L30" s="102">
        <v>2917.7082941279073</v>
      </c>
      <c r="M30" s="102">
        <v>3001.682407547939</v>
      </c>
      <c r="N30" s="172">
        <v>3096.4335027801299</v>
      </c>
      <c r="P30" s="152"/>
      <c r="Q30" s="105">
        <v>5</v>
      </c>
      <c r="R30" s="103">
        <v>0.80067311592535595</v>
      </c>
      <c r="S30" s="103">
        <v>0.79997446146849871</v>
      </c>
      <c r="T30" s="103">
        <v>0.79994825599108088</v>
      </c>
      <c r="U30" s="103">
        <v>0.79996000905609699</v>
      </c>
      <c r="V30" s="103">
        <v>0.79996904634436006</v>
      </c>
      <c r="W30" s="103">
        <v>0.79997416569923885</v>
      </c>
      <c r="X30" s="103">
        <v>0.79997629191922615</v>
      </c>
      <c r="Y30" s="103">
        <v>0.79997572793557503</v>
      </c>
      <c r="Z30" s="103">
        <v>0.79997179551931219</v>
      </c>
      <c r="AA30" s="103">
        <v>0.79996195815256832</v>
      </c>
      <c r="AB30" s="168">
        <v>0.79993862684664019</v>
      </c>
    </row>
    <row r="31" spans="2:28" x14ac:dyDescent="0.25">
      <c r="B31" s="149"/>
      <c r="C31" s="23">
        <v>14</v>
      </c>
      <c r="D31" s="28">
        <v>2042.3183109287977</v>
      </c>
      <c r="E31" s="102">
        <v>2243.8487050766639</v>
      </c>
      <c r="F31" s="102">
        <v>2374.9354121702304</v>
      </c>
      <c r="G31" s="102">
        <v>2478.0094800229308</v>
      </c>
      <c r="H31" s="102">
        <v>2566.3054716612032</v>
      </c>
      <c r="I31" s="102">
        <v>2646.0227905048982</v>
      </c>
      <c r="J31" s="102">
        <v>2720.8084553773369</v>
      </c>
      <c r="K31" s="102">
        <v>2793.2580071810326</v>
      </c>
      <c r="L31" s="102">
        <v>2865.6214775342187</v>
      </c>
      <c r="M31" s="102">
        <v>2940.3186855771587</v>
      </c>
      <c r="N31" s="172">
        <v>3020.6074472314617</v>
      </c>
      <c r="P31" s="152"/>
      <c r="Q31" s="105">
        <v>5</v>
      </c>
      <c r="R31" s="103">
        <v>0.79992319321926686</v>
      </c>
      <c r="S31" s="103">
        <v>0.7999743076903213</v>
      </c>
      <c r="T31" s="103">
        <v>0.79994907165783213</v>
      </c>
      <c r="U31" s="103">
        <v>0.79996169096459546</v>
      </c>
      <c r="V31" s="103">
        <v>0.79997128254658223</v>
      </c>
      <c r="W31" s="103">
        <v>0.7999769773337273</v>
      </c>
      <c r="X31" s="103">
        <v>0.79997992544690566</v>
      </c>
      <c r="Y31" s="103">
        <v>0.7999807428292609</v>
      </c>
      <c r="Z31" s="103">
        <v>0.79997940243587762</v>
      </c>
      <c r="AA31" s="103">
        <v>0.79997501339131305</v>
      </c>
      <c r="AB31" s="168">
        <v>0.79996486295259894</v>
      </c>
    </row>
    <row r="32" spans="2:28" x14ac:dyDescent="0.25">
      <c r="B32" s="149"/>
      <c r="C32" s="23">
        <v>15</v>
      </c>
      <c r="D32" s="28">
        <v>2022.3312746750535</v>
      </c>
      <c r="E32" s="102">
        <v>2221.0005662934109</v>
      </c>
      <c r="F32" s="102">
        <v>2349.7352032221479</v>
      </c>
      <c r="G32" s="102">
        <v>2450.4877930740317</v>
      </c>
      <c r="H32" s="102">
        <v>2536.3141271158975</v>
      </c>
      <c r="I32" s="102">
        <v>2613.2735727668869</v>
      </c>
      <c r="J32" s="102">
        <v>2684.8556913927337</v>
      </c>
      <c r="K32" s="102">
        <v>2753.4400297340612</v>
      </c>
      <c r="L32" s="102">
        <v>2820.9417782747082</v>
      </c>
      <c r="M32" s="102">
        <v>2889.2065261363409</v>
      </c>
      <c r="N32" s="172">
        <v>2960.390898146366</v>
      </c>
      <c r="P32" s="152"/>
      <c r="Q32" s="105">
        <v>5</v>
      </c>
      <c r="R32" s="103">
        <v>0.79997159094902881</v>
      </c>
      <c r="S32" s="103">
        <v>0.7999735911917375</v>
      </c>
      <c r="T32" s="103">
        <v>0.79994978131754002</v>
      </c>
      <c r="U32" s="103">
        <v>0.79996309093449525</v>
      </c>
      <c r="V32" s="103">
        <v>0.79997307538655182</v>
      </c>
      <c r="W32" s="103">
        <v>0.79997913529265297</v>
      </c>
      <c r="X32" s="103">
        <v>0.79998256907501353</v>
      </c>
      <c r="Y32" s="103">
        <v>0.79998415630329689</v>
      </c>
      <c r="Z32" s="103">
        <v>0.79998416323066368</v>
      </c>
      <c r="AA32" s="103">
        <v>0.79998235468266909</v>
      </c>
      <c r="AB32" s="168">
        <v>0.79997771307655363</v>
      </c>
    </row>
    <row r="33" spans="2:28" x14ac:dyDescent="0.25">
      <c r="B33" s="149"/>
      <c r="C33" s="23">
        <v>16</v>
      </c>
      <c r="D33" s="28">
        <v>2004.3193975590314</v>
      </c>
      <c r="E33" s="102">
        <v>2199.8933800428626</v>
      </c>
      <c r="F33" s="102">
        <v>2326.538297261784</v>
      </c>
      <c r="G33" s="102">
        <v>2425.2623717357405</v>
      </c>
      <c r="H33" s="102">
        <v>2508.968521093755</v>
      </c>
      <c r="I33" s="102">
        <v>2583.6064065059709</v>
      </c>
      <c r="J33" s="102">
        <v>2652.5526181178716</v>
      </c>
      <c r="K33" s="102">
        <v>2717.5999240152869</v>
      </c>
      <c r="L33" s="102">
        <v>2781.3618271668374</v>
      </c>
      <c r="M33" s="102">
        <v>2844.8760214440608</v>
      </c>
      <c r="N33" s="172">
        <v>2910.1766170228311</v>
      </c>
      <c r="P33" s="152"/>
      <c r="Q33" s="105">
        <v>5</v>
      </c>
      <c r="R33" s="103">
        <v>0.8005872860122637</v>
      </c>
      <c r="S33" s="103">
        <v>0.79997250336648673</v>
      </c>
      <c r="T33" s="103">
        <v>0.79995040343320434</v>
      </c>
      <c r="U33" s="103">
        <v>0.79996427318385632</v>
      </c>
      <c r="V33" s="103">
        <v>0.79997454179709415</v>
      </c>
      <c r="W33" s="103">
        <v>0.79998083642344842</v>
      </c>
      <c r="X33" s="103">
        <v>0.79998456188541767</v>
      </c>
      <c r="Y33" s="103">
        <v>0.79902559148992991</v>
      </c>
      <c r="Z33" s="103">
        <v>0.79904523574777664</v>
      </c>
      <c r="AA33" s="103">
        <v>0.7990300447314953</v>
      </c>
      <c r="AB33" s="168">
        <v>0.79998420927642966</v>
      </c>
    </row>
    <row r="34" spans="2:28" x14ac:dyDescent="0.25">
      <c r="B34" s="149"/>
      <c r="C34" s="23">
        <v>17</v>
      </c>
      <c r="D34" s="28">
        <v>1986.6112878521553</v>
      </c>
      <c r="E34" s="102">
        <v>2180.2943809130429</v>
      </c>
      <c r="F34" s="102">
        <v>2305.0640608104977</v>
      </c>
      <c r="G34" s="102">
        <v>2401.9950273082463</v>
      </c>
      <c r="H34" s="102">
        <v>2483.8554774352247</v>
      </c>
      <c r="I34" s="102">
        <v>2556.5057964309976</v>
      </c>
      <c r="J34" s="102">
        <v>2623.2376862248598</v>
      </c>
      <c r="K34" s="102">
        <v>2685.7874076408266</v>
      </c>
      <c r="L34" s="102">
        <v>2746.5548203608209</v>
      </c>
      <c r="M34" s="102">
        <v>2806.4142965072415</v>
      </c>
      <c r="N34" s="172">
        <v>2866.6263441702054</v>
      </c>
      <c r="P34" s="152"/>
      <c r="Q34" s="105">
        <v>5</v>
      </c>
      <c r="R34" s="103">
        <v>0.80010637595846767</v>
      </c>
      <c r="S34" s="103">
        <v>0.79997239328317749</v>
      </c>
      <c r="T34" s="103">
        <v>0.79995095330441601</v>
      </c>
      <c r="U34" s="103">
        <v>0.79996528408521073</v>
      </c>
      <c r="V34" s="103">
        <v>0.79997576160945771</v>
      </c>
      <c r="W34" s="103">
        <v>0.7999822074790981</v>
      </c>
      <c r="X34" s="103">
        <v>0.79998610813621196</v>
      </c>
      <c r="Y34" s="103">
        <v>0.79911015912717298</v>
      </c>
      <c r="Z34" s="103">
        <v>0.79915456643980454</v>
      </c>
      <c r="AA34" s="103">
        <v>0.79917280380696087</v>
      </c>
      <c r="AB34" s="168">
        <v>0.79913988140355929</v>
      </c>
    </row>
    <row r="35" spans="2:28" x14ac:dyDescent="0.25">
      <c r="B35" s="149"/>
      <c r="C35" s="23">
        <v>18</v>
      </c>
      <c r="D35" s="28">
        <v>1970.5422339733236</v>
      </c>
      <c r="E35" s="102">
        <v>2162.0122558073795</v>
      </c>
      <c r="F35" s="102">
        <v>2285.0862227954954</v>
      </c>
      <c r="G35" s="102">
        <v>2380.4165061219014</v>
      </c>
      <c r="H35" s="102">
        <v>2460.6512378586608</v>
      </c>
      <c r="I35" s="102">
        <v>2531.575881558269</v>
      </c>
      <c r="J35" s="102">
        <v>2595.9810497474846</v>
      </c>
      <c r="K35" s="102">
        <v>2656.8594681729796</v>
      </c>
      <c r="L35" s="102">
        <v>2715.177120970252</v>
      </c>
      <c r="M35" s="102">
        <v>2772.1150387271155</v>
      </c>
      <c r="N35" s="172">
        <v>2828.7486994732094</v>
      </c>
      <c r="P35" s="152"/>
      <c r="Q35" s="105">
        <v>5</v>
      </c>
      <c r="R35" s="103">
        <v>0.80020531114959981</v>
      </c>
      <c r="S35" s="103">
        <v>0.79997187062976405</v>
      </c>
      <c r="T35" s="103">
        <v>0.79995144190696643</v>
      </c>
      <c r="U35" s="103">
        <v>0.79996615788026859</v>
      </c>
      <c r="V35" s="103">
        <v>0.79997679099200214</v>
      </c>
      <c r="W35" s="103">
        <v>0.79998333326713256</v>
      </c>
      <c r="X35" s="103">
        <v>0.79905111560628495</v>
      </c>
      <c r="Y35" s="103">
        <v>0.79915740370940647</v>
      </c>
      <c r="Z35" s="103">
        <v>0.79923932040177958</v>
      </c>
      <c r="AA35" s="103">
        <v>0.79927989471098271</v>
      </c>
      <c r="AB35" s="168">
        <v>0.79928003227313704</v>
      </c>
    </row>
    <row r="36" spans="2:28" x14ac:dyDescent="0.25">
      <c r="B36" s="149"/>
      <c r="C36" s="23">
        <v>19</v>
      </c>
      <c r="D36" s="28">
        <v>1955.2365716303386</v>
      </c>
      <c r="E36" s="102">
        <v>2144.8904732004507</v>
      </c>
      <c r="F36" s="102">
        <v>2266.4197496637598</v>
      </c>
      <c r="G36" s="102">
        <v>2360.3089718386086</v>
      </c>
      <c r="H36" s="102">
        <v>2439.0973350388531</v>
      </c>
      <c r="I36" s="102">
        <v>2508.505841002122</v>
      </c>
      <c r="J36" s="102">
        <v>2571.2976299056327</v>
      </c>
      <c r="K36" s="102">
        <v>2630.3605573113814</v>
      </c>
      <c r="L36" s="102">
        <v>2686.6162841538021</v>
      </c>
      <c r="M36" s="102">
        <v>2741.1573271059992</v>
      </c>
      <c r="N36" s="172">
        <v>2794.9323993605994</v>
      </c>
      <c r="P36" s="152"/>
      <c r="Q36" s="105">
        <v>5</v>
      </c>
      <c r="R36" s="103">
        <v>0.80003936178301327</v>
      </c>
      <c r="S36" s="103">
        <v>0.79997161253466786</v>
      </c>
      <c r="T36" s="103">
        <v>0.79995187897989151</v>
      </c>
      <c r="U36" s="103">
        <v>0.79996692035973527</v>
      </c>
      <c r="V36" s="103">
        <v>0.79997767050576529</v>
      </c>
      <c r="W36" s="103">
        <v>0.79998427241003989</v>
      </c>
      <c r="X36" s="103">
        <v>0.79909872179815644</v>
      </c>
      <c r="Y36" s="103">
        <v>0.79921470436890285</v>
      </c>
      <c r="Z36" s="103">
        <v>0.79930735123709651</v>
      </c>
      <c r="AA36" s="103">
        <v>0.7993626379785912</v>
      </c>
      <c r="AB36" s="168">
        <v>0.79938418186140803</v>
      </c>
    </row>
    <row r="37" spans="2:28" x14ac:dyDescent="0.25">
      <c r="B37" s="149"/>
      <c r="C37" s="23">
        <v>20</v>
      </c>
      <c r="D37" s="28">
        <v>1941.3788724295059</v>
      </c>
      <c r="E37" s="102">
        <v>2128.7975647738535</v>
      </c>
      <c r="F37" s="102">
        <v>2248.9114481308884</v>
      </c>
      <c r="G37" s="102">
        <v>2341.4937252548157</v>
      </c>
      <c r="H37" s="102">
        <v>2418.9841189807398</v>
      </c>
      <c r="I37" s="102">
        <v>2487.0470387880646</v>
      </c>
      <c r="J37" s="102">
        <v>2548.423227869227</v>
      </c>
      <c r="K37" s="102">
        <v>2605.9146793044611</v>
      </c>
      <c r="L37" s="102">
        <v>2660.4125981592342</v>
      </c>
      <c r="M37" s="102">
        <v>2712.946373093378</v>
      </c>
      <c r="N37" s="172">
        <v>2764.3781810081164</v>
      </c>
      <c r="P37" s="152"/>
      <c r="Q37" s="105">
        <v>5</v>
      </c>
      <c r="R37" s="103">
        <v>0.80052331545460886</v>
      </c>
      <c r="S37" s="103">
        <v>0.79997088117698112</v>
      </c>
      <c r="T37" s="103">
        <v>0.79995227174602213</v>
      </c>
      <c r="U37" s="103">
        <v>0.79996759129221195</v>
      </c>
      <c r="V37" s="103">
        <v>0.79997843011179715</v>
      </c>
      <c r="W37" s="103">
        <v>0.79998506657982782</v>
      </c>
      <c r="X37" s="103">
        <v>0.7991391514976709</v>
      </c>
      <c r="Y37" s="103">
        <v>0.79926243385132623</v>
      </c>
      <c r="Z37" s="103">
        <v>0.79936271418283944</v>
      </c>
      <c r="AA37" s="103">
        <v>0.79942812930340801</v>
      </c>
      <c r="AB37" s="168">
        <v>0.79946392790512077</v>
      </c>
    </row>
    <row r="38" spans="2:28" x14ac:dyDescent="0.25">
      <c r="B38" s="149"/>
      <c r="C38" s="23">
        <v>21</v>
      </c>
      <c r="D38" s="28">
        <v>1927.3781595119901</v>
      </c>
      <c r="E38" s="102">
        <v>2113.6241177611528</v>
      </c>
      <c r="F38" s="102">
        <v>2232.4330970182432</v>
      </c>
      <c r="G38" s="102">
        <v>2323.8223852575179</v>
      </c>
      <c r="H38" s="102">
        <v>2400.1391865034989</v>
      </c>
      <c r="I38" s="102">
        <v>2466.9974062788096</v>
      </c>
      <c r="J38" s="102">
        <v>2527.1188967804087</v>
      </c>
      <c r="K38" s="102">
        <v>2583.233850005447</v>
      </c>
      <c r="L38" s="102">
        <v>2636.2120132698483</v>
      </c>
      <c r="M38" s="102">
        <v>2687.0361851783914</v>
      </c>
      <c r="N38" s="172">
        <v>2736.5071130905476</v>
      </c>
      <c r="P38" s="152"/>
      <c r="Q38" s="105">
        <v>5</v>
      </c>
      <c r="R38" s="103">
        <v>0.79992006107096059</v>
      </c>
      <c r="S38" s="103">
        <v>0.7999710452417238</v>
      </c>
      <c r="T38" s="103">
        <v>0.79995262716228466</v>
      </c>
      <c r="U38" s="103">
        <v>0.79996818607039644</v>
      </c>
      <c r="V38" s="103">
        <v>0.7999790923847474</v>
      </c>
      <c r="W38" s="103">
        <v>0.79998574612595408</v>
      </c>
      <c r="X38" s="103">
        <v>0.79917388557363966</v>
      </c>
      <c r="Y38" s="103">
        <v>0.79930274516331334</v>
      </c>
      <c r="Z38" s="103">
        <v>0.79940852807527696</v>
      </c>
      <c r="AA38" s="103">
        <v>0.79948102818081579</v>
      </c>
      <c r="AB38" s="168">
        <v>0.79952651667190677</v>
      </c>
    </row>
    <row r="39" spans="2:28" x14ac:dyDescent="0.25">
      <c r="B39" s="149"/>
      <c r="C39" s="23">
        <v>22</v>
      </c>
      <c r="D39" s="28">
        <v>1914.5276366714236</v>
      </c>
      <c r="E39" s="102">
        <v>2099.275476791719</v>
      </c>
      <c r="F39" s="102">
        <v>2216.8763299623197</v>
      </c>
      <c r="G39" s="102">
        <v>2307.170421193186</v>
      </c>
      <c r="H39" s="102">
        <v>2382.4190552699065</v>
      </c>
      <c r="I39" s="102">
        <v>2448.1904620825289</v>
      </c>
      <c r="J39" s="102">
        <v>2507.1900946134047</v>
      </c>
      <c r="K39" s="102">
        <v>2562.0870246088607</v>
      </c>
      <c r="L39" s="102">
        <v>2613.7355377366412</v>
      </c>
      <c r="M39" s="102">
        <v>2663.0830121898102</v>
      </c>
      <c r="N39" s="172">
        <v>2710.8851178139116</v>
      </c>
      <c r="P39" s="152"/>
      <c r="Q39" s="105">
        <v>5</v>
      </c>
      <c r="R39" s="103">
        <v>0.7998209652954863</v>
      </c>
      <c r="S39" s="103">
        <v>0.79997084086686931</v>
      </c>
      <c r="T39" s="103">
        <v>0.79995294967751474</v>
      </c>
      <c r="U39" s="103">
        <v>0.79996871684726478</v>
      </c>
      <c r="V39" s="103">
        <v>0.79997967463428787</v>
      </c>
      <c r="W39" s="103">
        <v>0.79998633362476057</v>
      </c>
      <c r="X39" s="103">
        <v>0.79920402874372187</v>
      </c>
      <c r="Y39" s="103">
        <v>0.79933720162545596</v>
      </c>
      <c r="Z39" s="103">
        <v>0.79944698763682887</v>
      </c>
      <c r="AA39" s="103">
        <v>0.7995244981599815</v>
      </c>
      <c r="AB39" s="168">
        <v>0.79957666925827475</v>
      </c>
    </row>
    <row r="40" spans="2:28" x14ac:dyDescent="0.25">
      <c r="B40" s="149"/>
      <c r="C40" s="23">
        <v>23</v>
      </c>
      <c r="D40" s="28">
        <v>1902.300378349126</v>
      </c>
      <c r="E40" s="102">
        <v>2085.6715442473819</v>
      </c>
      <c r="F40" s="102">
        <v>2202.1487638855997</v>
      </c>
      <c r="G40" s="102">
        <v>2291.4323216515468</v>
      </c>
      <c r="H40" s="102">
        <v>2365.7030454075834</v>
      </c>
      <c r="I40" s="102">
        <v>2430.037662515434</v>
      </c>
      <c r="J40" s="102">
        <v>2488.467082863498</v>
      </c>
      <c r="K40" s="102">
        <v>2542.2857098580216</v>
      </c>
      <c r="L40" s="102">
        <v>2592.7591685922198</v>
      </c>
      <c r="M40" s="102">
        <v>2640.8158644869163</v>
      </c>
      <c r="N40" s="172">
        <v>2687.1775933552876</v>
      </c>
      <c r="P40" s="152"/>
      <c r="Q40" s="105">
        <v>5</v>
      </c>
      <c r="R40" s="103">
        <v>0.79969293251584395</v>
      </c>
      <c r="S40" s="103">
        <v>0.79997068492823065</v>
      </c>
      <c r="T40" s="103">
        <v>0.79995324377209642</v>
      </c>
      <c r="U40" s="103">
        <v>0.79996919334074401</v>
      </c>
      <c r="V40" s="103">
        <v>0.79998019034104995</v>
      </c>
      <c r="W40" s="103">
        <v>0.79901798456048956</v>
      </c>
      <c r="X40" s="103">
        <v>0.79920968182775765</v>
      </c>
      <c r="Y40" s="103">
        <v>0.79936655365974285</v>
      </c>
      <c r="Z40" s="103">
        <v>0.79947966954432048</v>
      </c>
      <c r="AA40" s="103">
        <v>0.79956075199718757</v>
      </c>
      <c r="AB40" s="168">
        <v>0.79961757196150984</v>
      </c>
    </row>
    <row r="41" spans="2:28" x14ac:dyDescent="0.25">
      <c r="B41" s="149"/>
      <c r="C41" s="23">
        <v>25</v>
      </c>
      <c r="D41" s="28">
        <v>1879.8841040243169</v>
      </c>
      <c r="E41" s="102">
        <v>2060.4291138370654</v>
      </c>
      <c r="F41" s="102">
        <v>2174.874423645731</v>
      </c>
      <c r="G41" s="102">
        <v>2262.3496008917141</v>
      </c>
      <c r="H41" s="102">
        <v>2334.8883008799885</v>
      </c>
      <c r="I41" s="102">
        <v>2397.5172821111414</v>
      </c>
      <c r="J41" s="102">
        <v>2454.1696362609332</v>
      </c>
      <c r="K41" s="102">
        <v>2506.1236259257712</v>
      </c>
      <c r="L41" s="102">
        <v>2554.6074880594733</v>
      </c>
      <c r="M41" s="102">
        <v>2600.5089079472659</v>
      </c>
      <c r="N41" s="172">
        <v>2644.5024380687314</v>
      </c>
      <c r="P41" s="152"/>
      <c r="Q41" s="105">
        <v>5</v>
      </c>
      <c r="R41" s="103">
        <v>0.79982346963632656</v>
      </c>
      <c r="S41" s="103">
        <v>0.79997013800212735</v>
      </c>
      <c r="T41" s="103">
        <v>0.79995376016236741</v>
      </c>
      <c r="U41" s="103">
        <v>0.79997001347623486</v>
      </c>
      <c r="V41" s="103">
        <v>0.79998106257491974</v>
      </c>
      <c r="W41" s="103">
        <v>0.79905833930854442</v>
      </c>
      <c r="X41" s="103">
        <v>0.79925498034680442</v>
      </c>
      <c r="Y41" s="103">
        <v>0.79941533919396701</v>
      </c>
      <c r="Z41" s="103">
        <v>0.79953212513017569</v>
      </c>
      <c r="AA41" s="103">
        <v>0.79961754203849977</v>
      </c>
      <c r="AB41" s="168">
        <v>0.79967985763641425</v>
      </c>
    </row>
    <row r="42" spans="2:28" x14ac:dyDescent="0.25">
      <c r="B42" s="149"/>
      <c r="C42" s="23">
        <v>27</v>
      </c>
      <c r="D42" s="28">
        <v>1859.1397436130667</v>
      </c>
      <c r="E42" s="102">
        <v>2037.4424843355898</v>
      </c>
      <c r="F42" s="102">
        <v>2150.0927991252775</v>
      </c>
      <c r="G42" s="102">
        <v>2235.9904813805292</v>
      </c>
      <c r="H42" s="102">
        <v>2307.036617181514</v>
      </c>
      <c r="I42" s="102">
        <v>2368.2128795878671</v>
      </c>
      <c r="J42" s="102">
        <v>2423.3711255512599</v>
      </c>
      <c r="K42" s="102">
        <v>2473.7781326024256</v>
      </c>
      <c r="L42" s="102">
        <v>2520.634699427118</v>
      </c>
      <c r="M42" s="102">
        <v>2564.8004235693384</v>
      </c>
      <c r="N42" s="172">
        <v>2606.9191335476021</v>
      </c>
      <c r="P42" s="152"/>
      <c r="Q42" s="105">
        <v>5</v>
      </c>
      <c r="R42" s="103">
        <v>0.79959392923941297</v>
      </c>
      <c r="S42" s="103">
        <v>0.79996993931329829</v>
      </c>
      <c r="T42" s="103">
        <v>0.79995419896576625</v>
      </c>
      <c r="U42" s="103">
        <v>0.79997069389771192</v>
      </c>
      <c r="V42" s="103">
        <v>0.79998177154269445</v>
      </c>
      <c r="W42" s="103">
        <v>0.79909115335293635</v>
      </c>
      <c r="X42" s="103">
        <v>0.79929118503720131</v>
      </c>
      <c r="Y42" s="103">
        <v>0.7994535445676616</v>
      </c>
      <c r="Z42" s="103">
        <v>0.79957223588282877</v>
      </c>
      <c r="AA42" s="103">
        <v>0.79965976472120004</v>
      </c>
      <c r="AB42" s="168">
        <v>0.79972465873666865</v>
      </c>
    </row>
    <row r="43" spans="2:28" x14ac:dyDescent="0.25">
      <c r="B43" s="149"/>
      <c r="C43" s="23">
        <v>30</v>
      </c>
      <c r="D43" s="28">
        <v>1831.3993666060401</v>
      </c>
      <c r="E43" s="102">
        <v>2006.4451578496903</v>
      </c>
      <c r="F43" s="102">
        <v>2116.7514815293043</v>
      </c>
      <c r="G43" s="102">
        <v>2200.6159364102505</v>
      </c>
      <c r="H43" s="102">
        <v>2269.7626049235132</v>
      </c>
      <c r="I43" s="102">
        <v>2329.1122577147744</v>
      </c>
      <c r="J43" s="102">
        <v>2382.4165208246313</v>
      </c>
      <c r="K43" s="102">
        <v>2430.9294781095891</v>
      </c>
      <c r="L43" s="102">
        <v>2475.8215591714829</v>
      </c>
      <c r="M43" s="102">
        <v>2517.9232642117058</v>
      </c>
      <c r="N43" s="172">
        <v>2557.8485755052716</v>
      </c>
      <c r="P43" s="152"/>
      <c r="Q43" s="105">
        <v>5</v>
      </c>
      <c r="R43" s="103">
        <v>0.79963447329749837</v>
      </c>
      <c r="S43" s="103">
        <v>0.7999694458009865</v>
      </c>
      <c r="T43" s="103">
        <v>0.79995474549634671</v>
      </c>
      <c r="U43" s="103">
        <v>0.79997152146560269</v>
      </c>
      <c r="V43" s="103">
        <v>0.79998261603682819</v>
      </c>
      <c r="W43" s="103">
        <v>0.79913026483540417</v>
      </c>
      <c r="X43" s="103">
        <v>0.79933359383505231</v>
      </c>
      <c r="Y43" s="103">
        <v>0.79949739142151199</v>
      </c>
      <c r="Z43" s="103">
        <v>0.79961718359289691</v>
      </c>
      <c r="AA43" s="103">
        <v>0.79970576984813724</v>
      </c>
      <c r="AB43" s="168">
        <v>0.79977188317569814</v>
      </c>
    </row>
    <row r="44" spans="2:28" x14ac:dyDescent="0.25">
      <c r="B44" s="149"/>
      <c r="C44" s="23">
        <v>35</v>
      </c>
      <c r="D44" s="28">
        <v>1791.6224446667977</v>
      </c>
      <c r="E44" s="102">
        <v>1962.0430928129965</v>
      </c>
      <c r="F44" s="102">
        <v>2069.1280209602332</v>
      </c>
      <c r="G44" s="102">
        <v>2150.2451479753299</v>
      </c>
      <c r="H44" s="102">
        <v>2216.8667370984654</v>
      </c>
      <c r="I44" s="102">
        <v>2273.8250203492739</v>
      </c>
      <c r="J44" s="102">
        <v>2324.7421930500418</v>
      </c>
      <c r="K44" s="102">
        <v>2370.8566408864258</v>
      </c>
      <c r="L44" s="102">
        <v>2413.3034554595752</v>
      </c>
      <c r="M44" s="102">
        <v>2452.8820022605678</v>
      </c>
      <c r="N44" s="172">
        <v>2490.1769561516307</v>
      </c>
      <c r="P44" s="152"/>
      <c r="Q44" s="105">
        <v>5</v>
      </c>
      <c r="R44" s="103">
        <v>0.79977599273141009</v>
      </c>
      <c r="S44" s="103">
        <v>0.79996875774558585</v>
      </c>
      <c r="T44" s="103">
        <v>0.79995544474026259</v>
      </c>
      <c r="U44" s="103">
        <v>0.79997254909408499</v>
      </c>
      <c r="V44" s="103">
        <v>0.79998363773326742</v>
      </c>
      <c r="W44" s="103">
        <v>0.79917763546232679</v>
      </c>
      <c r="X44" s="103">
        <v>0.79938386287332042</v>
      </c>
      <c r="Y44" s="103">
        <v>0.79954807097061997</v>
      </c>
      <c r="Z44" s="103">
        <v>0.79966762920120449</v>
      </c>
      <c r="AA44" s="103">
        <v>0.79975564240162633</v>
      </c>
      <c r="AB44" s="168">
        <v>0.79982101035655617</v>
      </c>
    </row>
    <row r="45" spans="2:28" x14ac:dyDescent="0.25">
      <c r="B45" s="149"/>
      <c r="C45" s="23">
        <v>40</v>
      </c>
      <c r="D45" s="28">
        <v>1757.4262674662702</v>
      </c>
      <c r="E45" s="102">
        <v>1924.4586405412183</v>
      </c>
      <c r="F45" s="102">
        <v>2028.9263664564489</v>
      </c>
      <c r="G45" s="102">
        <v>2107.849103580937</v>
      </c>
      <c r="H45" s="102">
        <v>2172.4862330410315</v>
      </c>
      <c r="I45" s="102">
        <v>2227.5932428089104</v>
      </c>
      <c r="J45" s="102">
        <v>2276.692437738272</v>
      </c>
      <c r="K45" s="102">
        <v>2321.0093201062805</v>
      </c>
      <c r="L45" s="102">
        <v>2361.6533663935725</v>
      </c>
      <c r="M45" s="102">
        <v>2399.4030362469239</v>
      </c>
      <c r="N45" s="172">
        <v>2434.8249235459998</v>
      </c>
      <c r="P45" s="152"/>
      <c r="Q45" s="105">
        <v>5</v>
      </c>
      <c r="R45" s="103">
        <v>0.79933557308257897</v>
      </c>
      <c r="S45" s="103">
        <v>0.79996865191620459</v>
      </c>
      <c r="T45" s="103">
        <v>0.79995596660318946</v>
      </c>
      <c r="U45" s="103">
        <v>0.79997329379150472</v>
      </c>
      <c r="V45" s="103">
        <v>0.79998435963138415</v>
      </c>
      <c r="W45" s="103">
        <v>0.79921115265684972</v>
      </c>
      <c r="X45" s="103">
        <v>0.79941869732682169</v>
      </c>
      <c r="Y45" s="103">
        <v>0.79958234548515028</v>
      </c>
      <c r="Z45" s="103">
        <v>0.79970078707970105</v>
      </c>
      <c r="AA45" s="103">
        <v>0.79978733203655183</v>
      </c>
      <c r="AB45" s="168">
        <v>0.79985097607914579</v>
      </c>
    </row>
    <row r="46" spans="2:28" x14ac:dyDescent="0.25">
      <c r="B46" s="149"/>
      <c r="C46" s="23">
        <v>50</v>
      </c>
      <c r="D46" s="28">
        <v>1702.6659954093329</v>
      </c>
      <c r="E46" s="102">
        <v>1863.3896751741484</v>
      </c>
      <c r="F46" s="102">
        <v>1963.7871252537011</v>
      </c>
      <c r="G46" s="102">
        <v>2039.3575733620728</v>
      </c>
      <c r="H46" s="102">
        <v>2101.0146257789102</v>
      </c>
      <c r="I46" s="102">
        <v>2153.3850565602538</v>
      </c>
      <c r="J46" s="102">
        <v>2199.8422720545509</v>
      </c>
      <c r="K46" s="102">
        <v>2241.5894118750657</v>
      </c>
      <c r="L46" s="102">
        <v>2279.6985013655662</v>
      </c>
      <c r="M46" s="102">
        <v>2314.919293983125</v>
      </c>
      <c r="N46" s="172">
        <v>2347.7953244306059</v>
      </c>
      <c r="P46" s="152"/>
      <c r="Q46" s="105">
        <v>5</v>
      </c>
      <c r="R46" s="103">
        <v>0.79983733790557254</v>
      </c>
      <c r="S46" s="103">
        <v>0.79996769953233982</v>
      </c>
      <c r="T46" s="103">
        <v>0.79995669226054811</v>
      </c>
      <c r="U46" s="103">
        <v>0.799974300206858</v>
      </c>
      <c r="V46" s="103">
        <v>0.79998531074463286</v>
      </c>
      <c r="W46" s="103">
        <v>0.79925538905961169</v>
      </c>
      <c r="X46" s="103">
        <v>0.79946372849573089</v>
      </c>
      <c r="Y46" s="103">
        <v>0.79962559792845933</v>
      </c>
      <c r="Z46" s="103">
        <v>0.7997414662988831</v>
      </c>
      <c r="AA46" s="103">
        <v>0.79982492025144891</v>
      </c>
      <c r="AB46" s="168">
        <v>0.79988508035501094</v>
      </c>
    </row>
    <row r="47" spans="2:28" ht="15.75" thickBot="1" x14ac:dyDescent="0.3">
      <c r="B47" s="150"/>
      <c r="C47" s="24">
        <v>75</v>
      </c>
      <c r="D47" s="173">
        <v>1607.616347113893</v>
      </c>
      <c r="E47" s="174">
        <v>1757.6625784386715</v>
      </c>
      <c r="F47" s="174">
        <v>1851.4329280990119</v>
      </c>
      <c r="G47" s="174">
        <v>1921.682742162488</v>
      </c>
      <c r="H47" s="174">
        <v>1978.7232834813899</v>
      </c>
      <c r="I47" s="174">
        <v>2026.9473050824756</v>
      </c>
      <c r="J47" s="174">
        <v>2069.4960209711817</v>
      </c>
      <c r="K47" s="174">
        <v>2107.5269047520142</v>
      </c>
      <c r="L47" s="174">
        <v>2142.0517004989033</v>
      </c>
      <c r="M47" s="174">
        <v>2173.776459753522</v>
      </c>
      <c r="N47" s="175">
        <v>2203.2119056282363</v>
      </c>
      <c r="P47" s="153"/>
      <c r="Q47" s="106">
        <v>5</v>
      </c>
      <c r="R47" s="169">
        <v>0.80092009222205629</v>
      </c>
      <c r="S47" s="169">
        <v>0.79996620339710223</v>
      </c>
      <c r="T47" s="169">
        <v>0.79995765072398639</v>
      </c>
      <c r="U47" s="169">
        <v>0.79997557912434214</v>
      </c>
      <c r="V47" s="169">
        <v>0.79998647912809129</v>
      </c>
      <c r="W47" s="169">
        <v>0.79930988438569761</v>
      </c>
      <c r="X47" s="169">
        <v>0.7995177013192093</v>
      </c>
      <c r="Y47" s="169">
        <v>0.79967581549533162</v>
      </c>
      <c r="Z47" s="169">
        <v>0.79978696000312022</v>
      </c>
      <c r="AA47" s="169">
        <v>0.79986508990473504</v>
      </c>
      <c r="AB47" s="170">
        <v>0.79991949805108198</v>
      </c>
    </row>
  </sheetData>
  <mergeCells count="11">
    <mergeCell ref="B18:B47"/>
    <mergeCell ref="P18:P47"/>
    <mergeCell ref="B3:B6"/>
    <mergeCell ref="R16:AB16"/>
    <mergeCell ref="D16:N16"/>
    <mergeCell ref="P16:Q17"/>
    <mergeCell ref="B1:F1"/>
    <mergeCell ref="BA1:BA3"/>
    <mergeCell ref="BA4:BA6"/>
    <mergeCell ref="B16:C17"/>
    <mergeCell ref="B8:E12"/>
  </mergeCells>
  <conditionalFormatting sqref="D18:N47">
    <cfRule type="colorScale" priority="4">
      <colorScale>
        <cfvo type="min"/>
        <cfvo type="percentile" val="50"/>
        <cfvo type="max"/>
        <color rgb="FF63BE7B"/>
        <color rgb="FFFFEB84"/>
        <color rgb="FFF8696B"/>
      </colorScale>
    </cfRule>
  </conditionalFormatting>
  <conditionalFormatting sqref="R18:AB47">
    <cfRule type="colorScale" priority="3">
      <colorScale>
        <cfvo type="min"/>
        <cfvo type="percentile" val="50"/>
        <cfvo type="max"/>
        <color rgb="FFF8696B"/>
        <color rgb="FFFFEB84"/>
        <color rgb="FF63BE7B"/>
      </colorScale>
    </cfRule>
  </conditionalFormatting>
  <conditionalFormatting sqref="H8:N13 I7:N7 B8">
    <cfRule type="containsText" dxfId="1" priority="1" operator="containsText" text="re-ran">
      <formula>NOT(ISERROR(SEARCH("re-ran",B7)))</formula>
    </cfRule>
    <cfRule type="containsText" dxfId="0" priority="2" operator="containsText" text="OK - ">
      <formula>NOT(ISERROR(SEARCH("OK - ",B7)))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0" r:id="rId4" name="Button 4">
              <controlPr defaultSize="0" print="0" autoFill="0" autoPict="0" macro="[0]!PopulateTables">
                <anchor moveWithCells="1" sizeWithCells="1">
                  <from>
                    <xdr:col>5</xdr:col>
                    <xdr:colOff>66675</xdr:colOff>
                    <xdr:row>7</xdr:row>
                    <xdr:rowOff>57150</xdr:rowOff>
                  </from>
                  <to>
                    <xdr:col>7</xdr:col>
                    <xdr:colOff>800100</xdr:colOff>
                    <xdr:row>11</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3BE21-E9DB-4106-9CA6-F07A4ADC63A0}">
  <sheetPr codeName="Sheet6"/>
  <dimension ref="A2:I83"/>
  <sheetViews>
    <sheetView topLeftCell="A5" workbookViewId="0">
      <selection activeCell="A14" sqref="A14"/>
    </sheetView>
  </sheetViews>
  <sheetFormatPr defaultRowHeight="15" x14ac:dyDescent="0.25"/>
  <cols>
    <col min="2" max="2" width="19.28515625" bestFit="1" customWidth="1"/>
    <col min="3" max="3" width="12.28515625" customWidth="1"/>
    <col min="8" max="8" width="13" bestFit="1" customWidth="1"/>
  </cols>
  <sheetData>
    <row r="2" spans="1:5" x14ac:dyDescent="0.25">
      <c r="B2" t="s">
        <v>4</v>
      </c>
      <c r="C2" t="s">
        <v>123</v>
      </c>
    </row>
    <row r="3" spans="1:5" x14ac:dyDescent="0.25">
      <c r="A3" t="s">
        <v>82</v>
      </c>
      <c r="B3" t="s">
        <v>124</v>
      </c>
      <c r="C3" t="s">
        <v>125</v>
      </c>
      <c r="D3" t="s">
        <v>126</v>
      </c>
    </row>
    <row r="4" spans="1:5" x14ac:dyDescent="0.25">
      <c r="B4" t="s">
        <v>130</v>
      </c>
      <c r="C4" t="s">
        <v>131</v>
      </c>
      <c r="D4">
        <v>50</v>
      </c>
    </row>
    <row r="6" spans="1:5" x14ac:dyDescent="0.25">
      <c r="D6" t="s">
        <v>129</v>
      </c>
      <c r="E6" t="s">
        <v>37</v>
      </c>
    </row>
    <row r="7" spans="1:5" x14ac:dyDescent="0.25">
      <c r="A7" t="s">
        <v>124</v>
      </c>
      <c r="B7" t="s">
        <v>82</v>
      </c>
      <c r="C7" t="s">
        <v>30</v>
      </c>
      <c r="D7" s="83">
        <v>8000</v>
      </c>
      <c r="E7">
        <v>1500</v>
      </c>
    </row>
    <row r="8" spans="1:5" x14ac:dyDescent="0.25">
      <c r="A8" t="s">
        <v>4</v>
      </c>
      <c r="B8" t="s">
        <v>123</v>
      </c>
      <c r="D8" s="83">
        <v>2.5</v>
      </c>
      <c r="E8">
        <v>0.75</v>
      </c>
    </row>
    <row r="9" spans="1:5" x14ac:dyDescent="0.25">
      <c r="B9" t="s">
        <v>52</v>
      </c>
      <c r="C9" t="s">
        <v>30</v>
      </c>
      <c r="D9" s="83">
        <v>5000</v>
      </c>
      <c r="E9">
        <f>(-LN(E10)*E7^E8)^(1/E8)</f>
        <v>74.644035207280282</v>
      </c>
    </row>
    <row r="10" spans="1:5" x14ac:dyDescent="0.25">
      <c r="B10" t="s">
        <v>127</v>
      </c>
      <c r="D10">
        <f>EXP(-((D9/D7)^D8))</f>
        <v>0.73431574119168719</v>
      </c>
      <c r="E10">
        <v>0.9</v>
      </c>
    </row>
    <row r="11" spans="1:5" x14ac:dyDescent="0.25">
      <c r="B11" t="s">
        <v>128</v>
      </c>
      <c r="D11">
        <f>1-D10</f>
        <v>0.26568425880831281</v>
      </c>
    </row>
    <row r="13" spans="1:5" x14ac:dyDescent="0.25">
      <c r="A13" s="186" t="s">
        <v>171</v>
      </c>
    </row>
    <row r="19" spans="1:9" x14ac:dyDescent="0.25">
      <c r="B19" s="1" t="s">
        <v>4</v>
      </c>
      <c r="C19" s="1">
        <v>2.5</v>
      </c>
    </row>
    <row r="20" spans="1:9" x14ac:dyDescent="0.25">
      <c r="A20" t="s">
        <v>135</v>
      </c>
      <c r="B20" s="1" t="s">
        <v>133</v>
      </c>
      <c r="C20" s="1">
        <f>1500*(-LN(0.997))^(-1/7)</f>
        <v>3438.8190880762418</v>
      </c>
    </row>
    <row r="21" spans="1:9" x14ac:dyDescent="0.25">
      <c r="B21" s="1" t="s">
        <v>134</v>
      </c>
      <c r="C21" s="1">
        <v>0</v>
      </c>
    </row>
    <row r="23" spans="1:9" x14ac:dyDescent="0.25">
      <c r="B23" s="1" t="s">
        <v>52</v>
      </c>
      <c r="C23" s="1" t="s">
        <v>142</v>
      </c>
      <c r="D23" s="1" t="s">
        <v>137</v>
      </c>
      <c r="E23" s="1" t="s">
        <v>1</v>
      </c>
      <c r="F23" s="1" t="s">
        <v>140</v>
      </c>
    </row>
    <row r="24" spans="1:9" x14ac:dyDescent="0.25">
      <c r="B24" s="1" t="s">
        <v>27</v>
      </c>
      <c r="C24" s="1" t="s">
        <v>132</v>
      </c>
      <c r="D24" s="1" t="s">
        <v>136</v>
      </c>
      <c r="E24" s="1" t="s">
        <v>138</v>
      </c>
      <c r="F24" s="1" t="s">
        <v>139</v>
      </c>
      <c r="G24" t="s">
        <v>141</v>
      </c>
    </row>
    <row r="25" spans="1:9" x14ac:dyDescent="0.25">
      <c r="A25">
        <v>0</v>
      </c>
      <c r="B25" s="1">
        <v>1</v>
      </c>
      <c r="C25" s="1">
        <f>($C$19/($C$20^$C$19)*B25^($C$19-1))*EXP(-((B25/$C$20)^$C$19))</f>
        <v>3.6050947728750295E-9</v>
      </c>
      <c r="D25" s="1">
        <f t="shared" ref="D25:D56" si="0">1-EXP(-((B25/$C$20)^$C$19))</f>
        <v>1.4420379335078337E-9</v>
      </c>
      <c r="E25" s="1">
        <f t="shared" ref="E25:E56" si="1">EXP(-((B25/$C$20)^$C$19))</f>
        <v>0.99999999855796207</v>
      </c>
      <c r="F25" s="1">
        <f t="shared" ref="F25:F56" si="2">$C$19/($C$20^$C$19)*B25^($C$19-1)</f>
        <v>3.6050947780737129E-9</v>
      </c>
      <c r="G25">
        <v>0</v>
      </c>
      <c r="I25" s="84"/>
    </row>
    <row r="26" spans="1:9" x14ac:dyDescent="0.25">
      <c r="A26">
        <v>6.666666666666667E-5</v>
      </c>
      <c r="B26" s="1">
        <v>2</v>
      </c>
      <c r="C26" s="1">
        <f t="shared" ref="C26:C83" si="3">($C$19/($C$20^$C$19)*B26^($C$19-1))*EXP(-((B26/$C$20)^$C$19))</f>
        <v>1.0196747774405602E-8</v>
      </c>
      <c r="D26" s="1">
        <f t="shared" si="0"/>
        <v>8.1573982013694035E-9</v>
      </c>
      <c r="E26" s="1">
        <f t="shared" si="1"/>
        <v>0.9999999918426018</v>
      </c>
      <c r="F26" s="1">
        <f t="shared" si="2"/>
        <v>1.0196747857584535E-8</v>
      </c>
      <c r="G26">
        <f>F26+G25</f>
        <v>1.0196747857584535E-8</v>
      </c>
      <c r="I26" s="84"/>
    </row>
    <row r="27" spans="1:9" x14ac:dyDescent="0.25">
      <c r="A27">
        <v>3.3333333333333332E-4</v>
      </c>
      <c r="B27" s="1">
        <v>5</v>
      </c>
      <c r="C27" s="1">
        <f t="shared" si="3"/>
        <v>4.0306181696334733E-8</v>
      </c>
      <c r="D27" s="1">
        <f t="shared" si="0"/>
        <v>8.0612366670784752E-8</v>
      </c>
      <c r="E27" s="1">
        <f t="shared" si="1"/>
        <v>0.99999991938763333</v>
      </c>
      <c r="F27" s="1">
        <f t="shared" si="2"/>
        <v>4.0306184945511694E-8</v>
      </c>
      <c r="G27">
        <f t="shared" ref="G27:G58" si="4">F27+IF(B27&gt;0,G26,0)</f>
        <v>5.0502932803096227E-8</v>
      </c>
      <c r="I27" s="84"/>
    </row>
    <row r="28" spans="1:9" x14ac:dyDescent="0.25">
      <c r="A28">
        <v>6.6666666666666664E-4</v>
      </c>
      <c r="B28" s="1">
        <v>10</v>
      </c>
      <c r="C28" s="1">
        <f t="shared" si="3"/>
        <v>1.1400305480810028E-7</v>
      </c>
      <c r="D28" s="1">
        <f t="shared" si="0"/>
        <v>4.5601232323555507E-7</v>
      </c>
      <c r="E28" s="1">
        <f t="shared" si="1"/>
        <v>0.99999954398767676</v>
      </c>
      <c r="F28" s="1">
        <f t="shared" si="2"/>
        <v>1.1400310679492187E-7</v>
      </c>
      <c r="G28">
        <f t="shared" si="4"/>
        <v>1.6450603959801809E-7</v>
      </c>
      <c r="I28" s="84"/>
    </row>
    <row r="29" spans="1:9" x14ac:dyDescent="0.25">
      <c r="A29">
        <v>1.3333333333333333E-3</v>
      </c>
      <c r="B29" s="1">
        <v>20</v>
      </c>
      <c r="C29" s="1">
        <f t="shared" si="3"/>
        <v>3.2244864777583146E-7</v>
      </c>
      <c r="D29" s="1">
        <f t="shared" si="0"/>
        <v>2.5795925093774486E-6</v>
      </c>
      <c r="E29" s="1">
        <f t="shared" si="1"/>
        <v>0.99999742040749062</v>
      </c>
      <c r="F29" s="1">
        <f t="shared" si="2"/>
        <v>3.224494795640936E-7</v>
      </c>
      <c r="G29">
        <f t="shared" si="4"/>
        <v>4.8695551916211169E-7</v>
      </c>
      <c r="I29" s="84"/>
    </row>
    <row r="30" spans="1:9" x14ac:dyDescent="0.25">
      <c r="A30">
        <v>2E-3</v>
      </c>
      <c r="B30" s="1">
        <v>30</v>
      </c>
      <c r="C30" s="1">
        <f t="shared" si="3"/>
        <v>5.9237330864997432E-7</v>
      </c>
      <c r="D30" s="1">
        <f t="shared" si="0"/>
        <v>7.108504969322027E-6</v>
      </c>
      <c r="E30" s="1">
        <f t="shared" si="1"/>
        <v>0.99999289149503068</v>
      </c>
      <c r="F30" s="1">
        <f t="shared" si="2"/>
        <v>5.9237751956851593E-7</v>
      </c>
      <c r="G30">
        <f t="shared" si="4"/>
        <v>1.0793330387306275E-6</v>
      </c>
      <c r="I30" s="84"/>
    </row>
    <row r="31" spans="1:9" x14ac:dyDescent="0.25">
      <c r="A31">
        <v>2.6666666666666666E-3</v>
      </c>
      <c r="B31" s="1">
        <v>40</v>
      </c>
      <c r="C31" s="1">
        <f t="shared" si="3"/>
        <v>9.1201154582711726E-7</v>
      </c>
      <c r="D31" s="1">
        <f t="shared" si="0"/>
        <v>1.4592291201265262E-5</v>
      </c>
      <c r="E31" s="1">
        <f t="shared" si="1"/>
        <v>0.99998540770879873</v>
      </c>
      <c r="F31" s="1">
        <f t="shared" si="2"/>
        <v>9.1202485435937487E-7</v>
      </c>
      <c r="G31">
        <f t="shared" si="4"/>
        <v>1.9913578930900025E-6</v>
      </c>
      <c r="I31" s="84"/>
    </row>
    <row r="32" spans="1:9" x14ac:dyDescent="0.25">
      <c r="A32">
        <v>3.3333333333333335E-3</v>
      </c>
      <c r="B32" s="1">
        <v>50</v>
      </c>
      <c r="C32" s="1">
        <f t="shared" si="3"/>
        <v>1.2745609908413038E-6</v>
      </c>
      <c r="D32" s="1">
        <f t="shared" si="0"/>
        <v>2.5491544728972748E-5</v>
      </c>
      <c r="E32" s="1">
        <f t="shared" si="1"/>
        <v>0.99997450845527103</v>
      </c>
      <c r="F32" s="1">
        <f t="shared" si="2"/>
        <v>1.2745934821980665E-6</v>
      </c>
      <c r="G32">
        <f t="shared" si="4"/>
        <v>3.2659513752880692E-6</v>
      </c>
      <c r="I32" s="84"/>
    </row>
    <row r="33" spans="1:9" x14ac:dyDescent="0.25">
      <c r="A33">
        <v>5.0000000000000001E-3</v>
      </c>
      <c r="B33" s="1">
        <v>75</v>
      </c>
      <c r="C33" s="1">
        <f t="shared" si="3"/>
        <v>2.3414132618340177E-6</v>
      </c>
      <c r="D33" s="1">
        <f t="shared" si="0"/>
        <v>7.0244865083335384E-5</v>
      </c>
      <c r="E33" s="1">
        <f t="shared" si="1"/>
        <v>0.99992975513491666</v>
      </c>
      <c r="F33" s="1">
        <f t="shared" si="2"/>
        <v>2.3415777456468429E-6</v>
      </c>
      <c r="G33">
        <f t="shared" si="4"/>
        <v>5.6075291209349116E-6</v>
      </c>
      <c r="I33" s="84"/>
    </row>
    <row r="34" spans="1:9" x14ac:dyDescent="0.25">
      <c r="A34">
        <v>6.6666666666666671E-3</v>
      </c>
      <c r="B34" s="1">
        <v>100</v>
      </c>
      <c r="C34" s="1">
        <f t="shared" si="3"/>
        <v>3.6045749472210507E-6</v>
      </c>
      <c r="D34" s="1">
        <f t="shared" si="0"/>
        <v>1.4419339425597588E-4</v>
      </c>
      <c r="E34" s="1">
        <f t="shared" si="1"/>
        <v>0.99985580660574402</v>
      </c>
      <c r="F34" s="1">
        <f t="shared" si="2"/>
        <v>3.6050947780737155E-6</v>
      </c>
      <c r="G34">
        <f t="shared" si="4"/>
        <v>9.2126238990086271E-6</v>
      </c>
      <c r="I34" s="84"/>
    </row>
    <row r="35" spans="1:9" x14ac:dyDescent="0.25">
      <c r="A35">
        <v>0.01</v>
      </c>
      <c r="B35" s="1">
        <v>150</v>
      </c>
      <c r="C35" s="1">
        <f t="shared" si="3"/>
        <v>6.6203506998951971E-6</v>
      </c>
      <c r="D35" s="1">
        <f t="shared" si="0"/>
        <v>3.972999760833984E-4</v>
      </c>
      <c r="E35" s="1">
        <f t="shared" si="1"/>
        <v>0.9996027000239166</v>
      </c>
      <c r="F35" s="1">
        <f t="shared" si="2"/>
        <v>6.6229820104895653E-6</v>
      </c>
      <c r="G35">
        <f t="shared" si="4"/>
        <v>1.5835605909498193E-5</v>
      </c>
      <c r="I35" s="84"/>
    </row>
    <row r="36" spans="1:9" x14ac:dyDescent="0.25">
      <c r="A36">
        <v>1.3333333333333334E-2</v>
      </c>
      <c r="B36" s="1">
        <v>200</v>
      </c>
      <c r="C36" s="1">
        <f t="shared" si="3"/>
        <v>1.0188433355930972E-5</v>
      </c>
      <c r="D36" s="1">
        <f t="shared" si="0"/>
        <v>8.1540720332418104E-4</v>
      </c>
      <c r="E36" s="1">
        <f t="shared" si="1"/>
        <v>0.99918459279667582</v>
      </c>
      <c r="F36" s="1">
        <f t="shared" si="2"/>
        <v>1.0196747857584527E-5</v>
      </c>
      <c r="G36">
        <f t="shared" si="4"/>
        <v>2.603235376708272E-5</v>
      </c>
      <c r="I36" s="84"/>
    </row>
    <row r="37" spans="1:9" x14ac:dyDescent="0.25">
      <c r="A37">
        <v>0.02</v>
      </c>
      <c r="B37" s="1">
        <v>300</v>
      </c>
      <c r="C37" s="1">
        <f t="shared" si="3"/>
        <v>1.8690559923743244E-5</v>
      </c>
      <c r="D37" s="1">
        <f t="shared" si="0"/>
        <v>2.2453899678164246E-3</v>
      </c>
      <c r="E37" s="1">
        <f t="shared" si="1"/>
        <v>0.99775461003218358</v>
      </c>
      <c r="F37" s="1">
        <f t="shared" si="2"/>
        <v>1.8732621965174746E-5</v>
      </c>
      <c r="G37">
        <f t="shared" si="4"/>
        <v>4.4764975732257463E-5</v>
      </c>
      <c r="I37" s="84"/>
    </row>
    <row r="38" spans="1:9" x14ac:dyDescent="0.25">
      <c r="A38">
        <v>3.3333333333333333E-2</v>
      </c>
      <c r="B38" s="1">
        <v>500</v>
      </c>
      <c r="C38" s="1">
        <f t="shared" si="3"/>
        <v>3.9982573343896317E-5</v>
      </c>
      <c r="D38" s="1">
        <f t="shared" si="0"/>
        <v>8.0288323504910108E-3</v>
      </c>
      <c r="E38" s="1">
        <f t="shared" si="1"/>
        <v>0.99197116764950899</v>
      </c>
      <c r="F38" s="1">
        <f t="shared" si="2"/>
        <v>4.0306184945511715E-5</v>
      </c>
      <c r="G38">
        <f t="shared" si="4"/>
        <v>8.5071160677769171E-5</v>
      </c>
      <c r="I38" s="84"/>
    </row>
    <row r="39" spans="1:9" x14ac:dyDescent="0.25">
      <c r="A39">
        <v>0.05</v>
      </c>
      <c r="B39" s="1">
        <v>750</v>
      </c>
      <c r="C39" s="1">
        <f t="shared" si="3"/>
        <v>7.2420429496136506E-5</v>
      </c>
      <c r="D39" s="1">
        <f t="shared" si="0"/>
        <v>2.196923949596008E-2</v>
      </c>
      <c r="E39" s="1">
        <f t="shared" si="1"/>
        <v>0.97803076050403992</v>
      </c>
      <c r="F39" s="1">
        <f t="shared" si="2"/>
        <v>7.4047189946064443E-5</v>
      </c>
      <c r="G39">
        <f t="shared" si="4"/>
        <v>1.591183506238336E-4</v>
      </c>
      <c r="I39" s="84"/>
    </row>
    <row r="40" spans="1:9" x14ac:dyDescent="0.25">
      <c r="A40">
        <v>6.6666666666666666E-2</v>
      </c>
      <c r="B40" s="1">
        <v>1000</v>
      </c>
      <c r="C40" s="1">
        <f t="shared" si="3"/>
        <v>1.0892117526257917E-4</v>
      </c>
      <c r="D40" s="1">
        <f t="shared" si="0"/>
        <v>4.4577131932767577E-2</v>
      </c>
      <c r="E40" s="1">
        <f t="shared" si="1"/>
        <v>0.95542286806723242</v>
      </c>
      <c r="F40" s="1">
        <f t="shared" si="2"/>
        <v>1.140031067949218E-4</v>
      </c>
      <c r="G40">
        <f t="shared" si="4"/>
        <v>2.7312145741875541E-4</v>
      </c>
      <c r="I40" s="84"/>
    </row>
    <row r="41" spans="1:9" x14ac:dyDescent="0.25">
      <c r="A41">
        <v>8.3333333333333329E-2</v>
      </c>
      <c r="B41" s="1">
        <v>1250</v>
      </c>
      <c r="C41" s="1">
        <f t="shared" si="3"/>
        <v>1.4712446584360091E-4</v>
      </c>
      <c r="D41" s="1">
        <f t="shared" si="0"/>
        <v>7.6571673096076265E-2</v>
      </c>
      <c r="E41" s="1">
        <f t="shared" si="1"/>
        <v>0.92342832690392374</v>
      </c>
      <c r="F41" s="1">
        <f t="shared" si="2"/>
        <v>1.5932418527475839E-4</v>
      </c>
      <c r="G41">
        <f t="shared" si="4"/>
        <v>4.324456426935138E-4</v>
      </c>
      <c r="I41" s="84"/>
    </row>
    <row r="42" spans="1:9" x14ac:dyDescent="0.25">
      <c r="A42">
        <v>0.1</v>
      </c>
      <c r="B42" s="1">
        <v>1500</v>
      </c>
      <c r="C42" s="1">
        <f t="shared" si="3"/>
        <v>1.8470521364378177E-4</v>
      </c>
      <c r="D42" s="1">
        <f t="shared" si="0"/>
        <v>0.11808733604097021</v>
      </c>
      <c r="E42" s="1">
        <f t="shared" si="1"/>
        <v>0.88191266395902979</v>
      </c>
      <c r="F42" s="1">
        <f t="shared" si="2"/>
        <v>2.0943708055468229E-4</v>
      </c>
      <c r="G42">
        <f t="shared" si="4"/>
        <v>6.4188272324819612E-4</v>
      </c>
      <c r="I42" s="84"/>
    </row>
    <row r="43" spans="1:9" x14ac:dyDescent="0.25">
      <c r="A43">
        <v>0.11666666666666667</v>
      </c>
      <c r="B43" s="1">
        <v>1750</v>
      </c>
      <c r="C43" s="1">
        <f t="shared" si="3"/>
        <v>2.1940180232256042E-4</v>
      </c>
      <c r="D43" s="1">
        <f t="shared" si="0"/>
        <v>0.16868344157075932</v>
      </c>
      <c r="E43" s="1">
        <f t="shared" si="1"/>
        <v>0.83131655842924068</v>
      </c>
      <c r="F43" s="1">
        <f t="shared" si="2"/>
        <v>2.6392088560958849E-4</v>
      </c>
      <c r="G43">
        <f t="shared" si="4"/>
        <v>9.0580360885778467E-4</v>
      </c>
      <c r="I43" s="84"/>
    </row>
    <row r="44" spans="1:9" x14ac:dyDescent="0.25">
      <c r="A44">
        <v>0.13333333333333333</v>
      </c>
      <c r="B44" s="1">
        <v>2000</v>
      </c>
      <c r="C44" s="1">
        <f t="shared" si="3"/>
        <v>2.4913299934928507E-4</v>
      </c>
      <c r="D44" s="1">
        <f t="shared" si="0"/>
        <v>0.22737354178372937</v>
      </c>
      <c r="E44" s="1">
        <f t="shared" si="1"/>
        <v>0.77262645821627063</v>
      </c>
      <c r="F44" s="1">
        <f t="shared" si="2"/>
        <v>3.2244947956409323E-4</v>
      </c>
      <c r="G44">
        <f t="shared" si="4"/>
        <v>1.2282530884218778E-3</v>
      </c>
      <c r="I44" s="84"/>
    </row>
    <row r="45" spans="1:9" x14ac:dyDescent="0.25">
      <c r="A45">
        <v>0.15</v>
      </c>
      <c r="B45" s="1">
        <v>2250</v>
      </c>
      <c r="C45" s="1">
        <f t="shared" si="3"/>
        <v>2.7214542877971714E-4</v>
      </c>
      <c r="D45" s="1">
        <f t="shared" si="0"/>
        <v>0.29268872692696291</v>
      </c>
      <c r="E45" s="1">
        <f t="shared" si="1"/>
        <v>0.70731127307303709</v>
      </c>
      <c r="F45" s="1">
        <f t="shared" si="2"/>
        <v>3.8476048543286166E-4</v>
      </c>
      <c r="G45">
        <f t="shared" si="4"/>
        <v>1.6130135738547395E-3</v>
      </c>
      <c r="I45" s="84"/>
    </row>
    <row r="46" spans="1:9" x14ac:dyDescent="0.25">
      <c r="A46">
        <v>0.16666666666666666</v>
      </c>
      <c r="B46" s="1">
        <v>2500</v>
      </c>
      <c r="C46" s="1">
        <f t="shared" si="3"/>
        <v>2.8715580733779513E-4</v>
      </c>
      <c r="D46" s="1">
        <f t="shared" si="0"/>
        <v>0.36277779084359174</v>
      </c>
      <c r="E46" s="1">
        <f t="shared" si="1"/>
        <v>0.63722220915640826</v>
      </c>
      <c r="F46" s="1">
        <f t="shared" si="2"/>
        <v>4.5063684725921377E-4</v>
      </c>
      <c r="G46">
        <f t="shared" si="4"/>
        <v>2.0636504211139534E-3</v>
      </c>
      <c r="I46" s="84"/>
    </row>
    <row r="47" spans="1:9" x14ac:dyDescent="0.25">
      <c r="A47">
        <v>0.17333333333333334</v>
      </c>
      <c r="B47" s="1">
        <v>2600</v>
      </c>
      <c r="C47" s="1">
        <f t="shared" si="3"/>
        <v>2.9074059904743562E-4</v>
      </c>
      <c r="D47" s="1">
        <f t="shared" si="0"/>
        <v>0.3916843744438252</v>
      </c>
      <c r="E47" s="1">
        <f t="shared" si="1"/>
        <v>0.6083156255561748</v>
      </c>
      <c r="F47" s="1">
        <f t="shared" si="2"/>
        <v>4.779436641654822E-4</v>
      </c>
      <c r="G47">
        <f t="shared" si="4"/>
        <v>2.5415940852794357E-3</v>
      </c>
      <c r="I47" s="84"/>
    </row>
    <row r="48" spans="1:9" x14ac:dyDescent="0.25">
      <c r="A48">
        <v>0.18</v>
      </c>
      <c r="B48" s="1">
        <v>2700</v>
      </c>
      <c r="C48" s="1">
        <f t="shared" si="3"/>
        <v>2.9290845022462991E-4</v>
      </c>
      <c r="D48" s="1">
        <f t="shared" si="0"/>
        <v>0.42087866078764713</v>
      </c>
      <c r="E48" s="1">
        <f t="shared" si="1"/>
        <v>0.57912133921235287</v>
      </c>
      <c r="F48" s="1">
        <f t="shared" si="2"/>
        <v>5.0578079305971821E-4</v>
      </c>
      <c r="G48">
        <f t="shared" si="4"/>
        <v>3.0473748783391538E-3</v>
      </c>
      <c r="I48" s="84"/>
    </row>
    <row r="49" spans="1:9" x14ac:dyDescent="0.25">
      <c r="A49">
        <v>0.18666666666666668</v>
      </c>
      <c r="B49" s="1">
        <v>2800</v>
      </c>
      <c r="C49" s="1">
        <f t="shared" si="3"/>
        <v>2.9365919995092478E-4</v>
      </c>
      <c r="D49" s="1">
        <f t="shared" si="0"/>
        <v>0.45021880943907677</v>
      </c>
      <c r="E49" s="1">
        <f t="shared" si="1"/>
        <v>0.54978119056092323</v>
      </c>
      <c r="F49" s="1">
        <f t="shared" si="2"/>
        <v>5.3413831719363516E-4</v>
      </c>
      <c r="G49">
        <f t="shared" si="4"/>
        <v>3.5815131955327889E-3</v>
      </c>
      <c r="I49" s="84"/>
    </row>
    <row r="50" spans="1:9" x14ac:dyDescent="0.25">
      <c r="A50">
        <v>0.19333333333333333</v>
      </c>
      <c r="B50" s="1">
        <v>2900</v>
      </c>
      <c r="C50" s="1">
        <f t="shared" si="3"/>
        <v>2.9300915459158313E-4</v>
      </c>
      <c r="D50" s="1">
        <f t="shared" si="0"/>
        <v>0.47956378976945158</v>
      </c>
      <c r="E50" s="1">
        <f t="shared" si="1"/>
        <v>0.52043621023054842</v>
      </c>
      <c r="F50" s="1">
        <f t="shared" si="2"/>
        <v>5.630068562327414E-4</v>
      </c>
      <c r="G50">
        <f t="shared" si="4"/>
        <v>4.1445200517655299E-3</v>
      </c>
      <c r="I50" s="84"/>
    </row>
    <row r="51" spans="1:9" x14ac:dyDescent="0.25">
      <c r="A51">
        <v>0.2</v>
      </c>
      <c r="B51" s="1">
        <v>3000</v>
      </c>
      <c r="C51" s="1">
        <f t="shared" si="3"/>
        <v>2.9099064245141951E-4</v>
      </c>
      <c r="D51" s="1">
        <f t="shared" si="0"/>
        <v>0.50877500776299656</v>
      </c>
      <c r="E51" s="1">
        <f t="shared" si="1"/>
        <v>0.49122499223700344</v>
      </c>
      <c r="F51" s="1">
        <f t="shared" si="2"/>
        <v>5.9237751956851576E-4</v>
      </c>
      <c r="G51">
        <f t="shared" si="4"/>
        <v>4.7368975713340455E-3</v>
      </c>
      <c r="I51" s="84"/>
    </row>
    <row r="52" spans="1:9" x14ac:dyDescent="0.25">
      <c r="A52">
        <v>0.20666666666666667</v>
      </c>
      <c r="B52" s="1">
        <v>3100</v>
      </c>
      <c r="C52" s="1">
        <f t="shared" si="3"/>
        <v>2.8765129206254715E-4</v>
      </c>
      <c r="D52" s="1">
        <f t="shared" si="0"/>
        <v>0.53771787437881913</v>
      </c>
      <c r="E52" s="1">
        <f t="shared" si="1"/>
        <v>0.46228212562118093</v>
      </c>
      <c r="F52" s="1">
        <f t="shared" si="2"/>
        <v>6.2224186512948644E-4</v>
      </c>
      <c r="G52">
        <f t="shared" si="4"/>
        <v>5.3591394364635317E-3</v>
      </c>
      <c r="I52" s="84"/>
    </row>
    <row r="53" spans="1:9" x14ac:dyDescent="0.25">
      <c r="A53">
        <v>0.21333333333333335</v>
      </c>
      <c r="B53" s="1">
        <v>3200</v>
      </c>
      <c r="C53" s="1">
        <f t="shared" si="3"/>
        <v>2.830530485619217E-4</v>
      </c>
      <c r="D53" s="1">
        <f t="shared" si="0"/>
        <v>0.56626328849640728</v>
      </c>
      <c r="E53" s="1">
        <f t="shared" si="1"/>
        <v>0.43373671150359272</v>
      </c>
      <c r="F53" s="1">
        <f t="shared" si="2"/>
        <v>6.5259186288541113E-4</v>
      </c>
      <c r="G53">
        <f t="shared" si="4"/>
        <v>6.0117312993489425E-3</v>
      </c>
      <c r="I53" s="84"/>
    </row>
    <row r="54" spans="1:9" x14ac:dyDescent="0.25">
      <c r="A54">
        <v>0.22</v>
      </c>
      <c r="B54" s="1">
        <v>3300</v>
      </c>
      <c r="C54" s="1">
        <f t="shared" si="3"/>
        <v>2.7727094945449791E-4</v>
      </c>
      <c r="D54" s="1">
        <f t="shared" si="0"/>
        <v>0.59428900926368533</v>
      </c>
      <c r="E54" s="1">
        <f t="shared" si="1"/>
        <v>0.40571099073631467</v>
      </c>
      <c r="F54" s="1">
        <f t="shared" si="2"/>
        <v>6.8341986237860071E-4</v>
      </c>
      <c r="G54">
        <f t="shared" si="4"/>
        <v>6.6951511617275436E-3</v>
      </c>
      <c r="I54" s="84"/>
    </row>
    <row r="55" spans="1:9" x14ac:dyDescent="0.25">
      <c r="A55">
        <v>0.22666666666666666</v>
      </c>
      <c r="B55" s="1">
        <v>3400</v>
      </c>
      <c r="C55" s="1">
        <f t="shared" si="3"/>
        <v>2.7039168727572069E-4</v>
      </c>
      <c r="D55" s="1">
        <f t="shared" si="0"/>
        <v>0.62168089511318025</v>
      </c>
      <c r="E55" s="1">
        <f t="shared" si="1"/>
        <v>0.37831910488681969</v>
      </c>
      <c r="F55" s="1">
        <f t="shared" si="2"/>
        <v>7.1471856372839744E-4</v>
      </c>
      <c r="G55">
        <f t="shared" si="4"/>
        <v>7.4098697254559413E-3</v>
      </c>
      <c r="I55" s="84"/>
    </row>
    <row r="56" spans="1:9" x14ac:dyDescent="0.25">
      <c r="A56">
        <v>0.23333333333333334</v>
      </c>
      <c r="B56" s="1">
        <v>3500</v>
      </c>
      <c r="C56" s="1">
        <f t="shared" si="3"/>
        <v>2.6251199206621384E-4</v>
      </c>
      <c r="D56" s="1">
        <f t="shared" si="0"/>
        <v>0.64833398974077783</v>
      </c>
      <c r="E56" s="1">
        <f t="shared" si="1"/>
        <v>0.35166601025922223</v>
      </c>
      <c r="F56" s="1">
        <f t="shared" si="2"/>
        <v>7.4648099164519597E-4</v>
      </c>
      <c r="G56">
        <f t="shared" si="4"/>
        <v>8.1563507171011369E-3</v>
      </c>
      <c r="I56" s="84"/>
    </row>
    <row r="57" spans="1:9" x14ac:dyDescent="0.25">
      <c r="A57">
        <v>0.25</v>
      </c>
      <c r="B57" s="1">
        <v>3750</v>
      </c>
      <c r="C57" s="1">
        <f t="shared" si="3"/>
        <v>2.3914028197622274E-4</v>
      </c>
      <c r="D57" s="1">
        <f t="shared" ref="D57:D83" si="5">1-EXP(-((B57/$C$20)^$C$19))</f>
        <v>0.71113884157019402</v>
      </c>
      <c r="E57" s="1">
        <f t="shared" ref="E57:E83" si="6">EXP(-((B57/$C$20)^$C$19))</f>
        <v>0.28886115842980592</v>
      </c>
      <c r="F57" s="1">
        <f t="shared" ref="F57:F83" si="7">$C$19/($C$20^$C$19)*B57^($C$19-1)</f>
        <v>8.278727513111961E-4</v>
      </c>
      <c r="G57">
        <f t="shared" si="4"/>
        <v>8.9842234684123327E-3</v>
      </c>
      <c r="I57" s="84"/>
    </row>
    <row r="58" spans="1:9" x14ac:dyDescent="0.25">
      <c r="A58">
        <v>0.26666666666666666</v>
      </c>
      <c r="B58" s="1">
        <v>4000</v>
      </c>
      <c r="C58" s="1">
        <f t="shared" si="3"/>
        <v>2.1196633720920312E-4</v>
      </c>
      <c r="D58" s="1">
        <f t="shared" si="5"/>
        <v>0.76758710445660749</v>
      </c>
      <c r="E58" s="1">
        <f t="shared" si="6"/>
        <v>0.23241289554339253</v>
      </c>
      <c r="F58" s="1">
        <f t="shared" si="7"/>
        <v>9.1202485435937458E-4</v>
      </c>
      <c r="G58">
        <f t="shared" si="4"/>
        <v>9.8962483227717068E-3</v>
      </c>
      <c r="I58" s="84"/>
    </row>
    <row r="59" spans="1:9" x14ac:dyDescent="0.25">
      <c r="A59">
        <v>0.28333333333333333</v>
      </c>
      <c r="B59" s="1">
        <v>4250</v>
      </c>
      <c r="C59" s="1">
        <f t="shared" si="3"/>
        <v>1.8283057894430459E-4</v>
      </c>
      <c r="D59" s="1">
        <f t="shared" si="5"/>
        <v>0.81695884287546172</v>
      </c>
      <c r="E59" s="1">
        <f t="shared" si="6"/>
        <v>0.18304115712453828</v>
      </c>
      <c r="F59" s="1">
        <f t="shared" si="7"/>
        <v>9.9884955829857209E-4</v>
      </c>
      <c r="G59">
        <f t="shared" ref="G59:G83" si="8">F59+IF(B59&gt;0,G58,0)</f>
        <v>1.0895097881070279E-2</v>
      </c>
      <c r="I59" s="84"/>
    </row>
    <row r="60" spans="1:9" x14ac:dyDescent="0.25">
      <c r="A60">
        <v>0.3</v>
      </c>
      <c r="B60" s="1">
        <v>4500</v>
      </c>
      <c r="C60" s="1">
        <f t="shared" si="3"/>
        <v>1.534632626975938E-4</v>
      </c>
      <c r="D60" s="1">
        <f t="shared" si="5"/>
        <v>0.85898381223529197</v>
      </c>
      <c r="E60" s="1">
        <f t="shared" si="6"/>
        <v>0.14101618776470798</v>
      </c>
      <c r="F60" s="1">
        <f t="shared" si="7"/>
        <v>1.0882669935288164E-3</v>
      </c>
      <c r="G60">
        <f t="shared" si="8"/>
        <v>1.1983364874599094E-2</v>
      </c>
      <c r="I60" s="84"/>
    </row>
    <row r="61" spans="1:9" x14ac:dyDescent="0.25">
      <c r="A61">
        <v>0.31666666666666665</v>
      </c>
      <c r="B61" s="1">
        <v>4750</v>
      </c>
      <c r="C61" s="1">
        <f t="shared" si="3"/>
        <v>1.2534311908109536E-4</v>
      </c>
      <c r="D61" s="1">
        <f t="shared" si="5"/>
        <v>0.89379538317931784</v>
      </c>
      <c r="E61" s="1">
        <f t="shared" si="6"/>
        <v>0.10620461682068216</v>
      </c>
      <c r="F61" s="1">
        <f t="shared" si="7"/>
        <v>1.1802040517007561E-3</v>
      </c>
      <c r="G61">
        <f t="shared" si="8"/>
        <v>1.316356892629985E-2</v>
      </c>
      <c r="I61" s="84"/>
    </row>
    <row r="62" spans="1:9" x14ac:dyDescent="0.25">
      <c r="A62">
        <v>0.33333333333333331</v>
      </c>
      <c r="B62" s="1">
        <v>5000</v>
      </c>
      <c r="C62" s="1">
        <f t="shared" si="3"/>
        <v>9.9603330707044447E-5</v>
      </c>
      <c r="D62" s="1">
        <f t="shared" si="5"/>
        <v>0.92185482501034288</v>
      </c>
      <c r="E62" s="1">
        <f t="shared" si="6"/>
        <v>7.814517498965716E-2</v>
      </c>
      <c r="F62" s="1">
        <f t="shared" si="7"/>
        <v>1.2745934821980674E-3</v>
      </c>
      <c r="G62">
        <f t="shared" si="8"/>
        <v>1.4438162408497917E-2</v>
      </c>
      <c r="I62" s="84"/>
    </row>
    <row r="63" spans="1:9" x14ac:dyDescent="0.25">
      <c r="A63">
        <v>0.35333333333333333</v>
      </c>
      <c r="B63" s="1">
        <v>5300</v>
      </c>
      <c r="C63" s="1">
        <f t="shared" si="3"/>
        <v>7.2882102995173301E-5</v>
      </c>
      <c r="D63" s="1">
        <f t="shared" si="5"/>
        <v>0.94760493247693645</v>
      </c>
      <c r="E63" s="1">
        <f t="shared" si="6"/>
        <v>5.2395067523063533E-2</v>
      </c>
      <c r="F63" s="1">
        <f t="shared" si="7"/>
        <v>1.3910107657193432E-3</v>
      </c>
      <c r="G63">
        <f t="shared" si="8"/>
        <v>1.5829173174217261E-2</v>
      </c>
      <c r="I63" s="84"/>
    </row>
    <row r="64" spans="1:9" x14ac:dyDescent="0.25">
      <c r="A64">
        <v>0.37333333333333335</v>
      </c>
      <c r="B64" s="1">
        <v>5600</v>
      </c>
      <c r="C64" s="1">
        <f t="shared" si="3"/>
        <v>5.1226033758148024E-5</v>
      </c>
      <c r="D64" s="1">
        <f t="shared" si="5"/>
        <v>0.96609279405942128</v>
      </c>
      <c r="E64" s="1">
        <f t="shared" si="6"/>
        <v>3.3907205940578666E-2</v>
      </c>
      <c r="F64" s="1">
        <f t="shared" si="7"/>
        <v>1.5107713047167635E-3</v>
      </c>
      <c r="G64">
        <f t="shared" si="8"/>
        <v>1.7339944478934024E-2</v>
      </c>
      <c r="I64" s="84"/>
    </row>
    <row r="65" spans="1:9" x14ac:dyDescent="0.25">
      <c r="A65">
        <v>0.4</v>
      </c>
      <c r="B65" s="1">
        <v>6000</v>
      </c>
      <c r="C65" s="1">
        <f t="shared" si="3"/>
        <v>3.0044299960150464E-5</v>
      </c>
      <c r="D65" s="1">
        <f t="shared" si="5"/>
        <v>0.98206842128875893</v>
      </c>
      <c r="E65" s="1">
        <f t="shared" si="6"/>
        <v>1.7931578711241031E-2</v>
      </c>
      <c r="F65" s="1">
        <f t="shared" si="7"/>
        <v>1.6754966444374557E-3</v>
      </c>
      <c r="G65">
        <f t="shared" si="8"/>
        <v>1.9015441123371481E-2</v>
      </c>
      <c r="I65" s="84"/>
    </row>
    <row r="66" spans="1:9" x14ac:dyDescent="0.25">
      <c r="A66">
        <v>0.43333333333333335</v>
      </c>
      <c r="B66" s="1">
        <v>6500</v>
      </c>
      <c r="C66" s="1">
        <f t="shared" si="3"/>
        <v>1.3900288661447431E-5</v>
      </c>
      <c r="D66" s="1">
        <f t="shared" si="5"/>
        <v>0.99264238434783103</v>
      </c>
      <c r="E66" s="1">
        <f t="shared" si="6"/>
        <v>7.3576156521690181E-3</v>
      </c>
      <c r="F66" s="1">
        <f t="shared" si="7"/>
        <v>1.8892382150119025E-3</v>
      </c>
      <c r="G66">
        <f t="shared" si="8"/>
        <v>2.0904679338383383E-2</v>
      </c>
      <c r="I66" s="84"/>
    </row>
    <row r="67" spans="1:9" x14ac:dyDescent="0.25">
      <c r="A67">
        <v>0.46666666666666667</v>
      </c>
      <c r="B67" s="1">
        <v>7000</v>
      </c>
      <c r="C67" s="1">
        <f t="shared" si="3"/>
        <v>5.7159647122157341E-6</v>
      </c>
      <c r="D67" s="1">
        <f t="shared" si="5"/>
        <v>0.99729276602199679</v>
      </c>
      <c r="E67" s="1">
        <f t="shared" si="6"/>
        <v>2.7072339780031779E-3</v>
      </c>
      <c r="F67" s="1">
        <f t="shared" si="7"/>
        <v>2.1113670848767045E-3</v>
      </c>
      <c r="G67">
        <f t="shared" si="8"/>
        <v>2.3016046423260089E-2</v>
      </c>
      <c r="I67" s="84"/>
    </row>
    <row r="68" spans="1:9" x14ac:dyDescent="0.25">
      <c r="A68">
        <v>0.5</v>
      </c>
      <c r="B68" s="1">
        <v>7500</v>
      </c>
      <c r="C68" s="1">
        <f t="shared" si="3"/>
        <v>2.0830788059720704E-6</v>
      </c>
      <c r="D68" s="1">
        <f t="shared" si="5"/>
        <v>0.99911039519834666</v>
      </c>
      <c r="E68" s="1">
        <f t="shared" si="6"/>
        <v>8.8960480165335394E-4</v>
      </c>
      <c r="F68" s="1">
        <f t="shared" si="7"/>
        <v>2.3415777456468464E-3</v>
      </c>
      <c r="G68">
        <f t="shared" si="8"/>
        <v>2.5357624168906936E-2</v>
      </c>
      <c r="I68" s="84"/>
    </row>
    <row r="69" spans="1:9" x14ac:dyDescent="0.25">
      <c r="A69">
        <v>0.53333333333333333</v>
      </c>
      <c r="B69" s="1">
        <v>8000</v>
      </c>
      <c r="C69" s="1">
        <f t="shared" si="3"/>
        <v>6.7077691503137919E-7</v>
      </c>
      <c r="D69" s="1">
        <f t="shared" si="5"/>
        <v>0.99973996821302902</v>
      </c>
      <c r="E69" s="1">
        <f t="shared" si="6"/>
        <v>2.6003178697100657E-4</v>
      </c>
      <c r="F69" s="1">
        <f t="shared" si="7"/>
        <v>2.5795958365127511E-3</v>
      </c>
      <c r="G69">
        <f t="shared" si="8"/>
        <v>2.7937220005419688E-2</v>
      </c>
      <c r="I69" s="84"/>
    </row>
    <row r="70" spans="1:9" x14ac:dyDescent="0.25">
      <c r="A70">
        <v>0.56666666666666665</v>
      </c>
      <c r="B70" s="1">
        <v>8500</v>
      </c>
      <c r="C70" s="1">
        <f t="shared" si="3"/>
        <v>1.9027899663382678E-7</v>
      </c>
      <c r="D70" s="1">
        <f t="shared" si="5"/>
        <v>0.99993264873187393</v>
      </c>
      <c r="E70" s="1">
        <f t="shared" si="6"/>
        <v>6.7351268126071909E-5</v>
      </c>
      <c r="F70" s="1">
        <f t="shared" si="7"/>
        <v>2.8251731842324304E-3</v>
      </c>
      <c r="G70">
        <f t="shared" si="8"/>
        <v>3.0762393189652119E-2</v>
      </c>
      <c r="I70" s="84"/>
    </row>
    <row r="71" spans="1:9" x14ac:dyDescent="0.25">
      <c r="A71">
        <v>0.6</v>
      </c>
      <c r="B71" s="1">
        <v>9000</v>
      </c>
      <c r="C71" s="1">
        <f t="shared" si="3"/>
        <v>4.7404438574547715E-8</v>
      </c>
      <c r="D71" s="1">
        <f t="shared" si="5"/>
        <v>0.99998459936753858</v>
      </c>
      <c r="E71" s="1">
        <f t="shared" si="6"/>
        <v>1.5400632461392521E-5</v>
      </c>
      <c r="F71" s="1">
        <f t="shared" si="7"/>
        <v>3.0780838834628885E-3</v>
      </c>
      <c r="G71">
        <f t="shared" si="8"/>
        <v>3.3840477073115008E-2</v>
      </c>
      <c r="I71" s="84"/>
    </row>
    <row r="72" spans="1:9" x14ac:dyDescent="0.25">
      <c r="A72">
        <v>0.6333333333333333</v>
      </c>
      <c r="B72" s="1">
        <v>9500</v>
      </c>
      <c r="C72" s="1">
        <f t="shared" si="3"/>
        <v>1.0340397360101747E-8</v>
      </c>
      <c r="D72" s="1">
        <f t="shared" si="5"/>
        <v>0.99999690233011695</v>
      </c>
      <c r="E72" s="1">
        <f t="shared" si="6"/>
        <v>3.0976698829980562E-6</v>
      </c>
      <c r="F72" s="1">
        <f t="shared" si="7"/>
        <v>3.3381211525657707E-3</v>
      </c>
      <c r="G72">
        <f t="shared" si="8"/>
        <v>3.717859822568078E-2</v>
      </c>
      <c r="I72" s="84"/>
    </row>
    <row r="73" spans="1:9" x14ac:dyDescent="0.25">
      <c r="A73">
        <v>0.66666666666666663</v>
      </c>
      <c r="B73" s="1">
        <v>10000</v>
      </c>
      <c r="C73" s="1">
        <f t="shared" si="3"/>
        <v>1.9689088514517905E-9</v>
      </c>
      <c r="D73" s="1">
        <f t="shared" si="5"/>
        <v>0.99999945385378952</v>
      </c>
      <c r="E73" s="1">
        <f t="shared" si="6"/>
        <v>5.4614621047600379E-7</v>
      </c>
      <c r="F73" s="1">
        <f t="shared" si="7"/>
        <v>3.6050947780737175E-3</v>
      </c>
      <c r="G73">
        <f t="shared" si="8"/>
        <v>4.07836930037545E-2</v>
      </c>
      <c r="I73" s="84"/>
    </row>
    <row r="74" spans="1:9" x14ac:dyDescent="0.25">
      <c r="A74">
        <v>0.7</v>
      </c>
      <c r="B74" s="1">
        <v>10500</v>
      </c>
      <c r="C74" s="1">
        <f t="shared" si="3"/>
        <v>3.2626739939860087E-10</v>
      </c>
      <c r="D74" s="1">
        <f t="shared" si="5"/>
        <v>0.99999991588507808</v>
      </c>
      <c r="E74" s="1">
        <f t="shared" si="6"/>
        <v>8.4114921870693926E-8</v>
      </c>
      <c r="F74" s="1">
        <f t="shared" si="7"/>
        <v>3.8788290132416342E-3</v>
      </c>
      <c r="G74">
        <f t="shared" si="8"/>
        <v>4.4662522016996137E-2</v>
      </c>
      <c r="I74" s="84"/>
    </row>
    <row r="75" spans="1:9" x14ac:dyDescent="0.25">
      <c r="A75">
        <v>0.73333333333333328</v>
      </c>
      <c r="B75" s="1">
        <v>11000</v>
      </c>
      <c r="C75" s="1">
        <f t="shared" si="3"/>
        <v>4.691190622802235E-11</v>
      </c>
      <c r="D75" s="1">
        <f t="shared" si="5"/>
        <v>0.99999998872082418</v>
      </c>
      <c r="E75" s="1">
        <f t="shared" si="6"/>
        <v>1.1279175805876969E-8</v>
      </c>
      <c r="F75" s="1">
        <f t="shared" si="7"/>
        <v>4.1591608319092865E-3</v>
      </c>
      <c r="G75">
        <f t="shared" si="8"/>
        <v>4.8821682848905423E-2</v>
      </c>
      <c r="I75" s="84"/>
    </row>
    <row r="76" spans="1:9" x14ac:dyDescent="0.25">
      <c r="A76">
        <v>0.76666666666666672</v>
      </c>
      <c r="B76" s="1">
        <v>11500</v>
      </c>
      <c r="C76" s="1">
        <f t="shared" si="3"/>
        <v>5.8353828566324276E-12</v>
      </c>
      <c r="D76" s="1">
        <f t="shared" si="5"/>
        <v>0.99999999868748002</v>
      </c>
      <c r="E76" s="1">
        <f t="shared" si="6"/>
        <v>1.3125199334029276E-9</v>
      </c>
      <c r="F76" s="1">
        <f t="shared" si="7"/>
        <v>4.445938463961626E-3</v>
      </c>
      <c r="G76">
        <f t="shared" si="8"/>
        <v>5.3267621312867053E-2</v>
      </c>
      <c r="I76" s="84"/>
    </row>
    <row r="77" spans="1:9" x14ac:dyDescent="0.25">
      <c r="A77">
        <v>0.8</v>
      </c>
      <c r="B77" s="1">
        <v>12000</v>
      </c>
      <c r="C77" s="1">
        <f t="shared" si="3"/>
        <v>6.2612796103339374E-13</v>
      </c>
      <c r="D77" s="1">
        <f t="shared" si="5"/>
        <v>0.99999999986787813</v>
      </c>
      <c r="E77" s="1">
        <f t="shared" si="6"/>
        <v>1.3212181850888403E-10</v>
      </c>
      <c r="F77" s="1">
        <f t="shared" si="7"/>
        <v>4.7390201565481191E-3</v>
      </c>
      <c r="G77">
        <f t="shared" si="8"/>
        <v>5.8006641469415171E-2</v>
      </c>
      <c r="I77" s="84"/>
    </row>
    <row r="78" spans="1:9" x14ac:dyDescent="0.25">
      <c r="A78">
        <v>0.83333333333333337</v>
      </c>
      <c r="B78" s="1">
        <v>12500</v>
      </c>
      <c r="C78" s="1">
        <f t="shared" si="3"/>
        <v>5.778440404595584E-14</v>
      </c>
      <c r="D78" s="1">
        <f t="shared" si="5"/>
        <v>0.99999999998853095</v>
      </c>
      <c r="E78" s="1">
        <f t="shared" si="6"/>
        <v>1.146908924753305E-11</v>
      </c>
      <c r="F78" s="1">
        <f t="shared" si="7"/>
        <v>5.0382731181889623E-3</v>
      </c>
      <c r="G78">
        <f t="shared" si="8"/>
        <v>6.3044914587604139E-2</v>
      </c>
      <c r="I78" s="84"/>
    </row>
    <row r="79" spans="1:9" x14ac:dyDescent="0.25">
      <c r="A79">
        <v>0.8666666666666667</v>
      </c>
      <c r="B79" s="1">
        <v>13000</v>
      </c>
      <c r="C79" s="1">
        <f t="shared" si="3"/>
        <v>4.5737708182689023E-15</v>
      </c>
      <c r="D79" s="1">
        <f t="shared" si="5"/>
        <v>0.99999999999914402</v>
      </c>
      <c r="E79" s="1">
        <f t="shared" si="6"/>
        <v>8.5593874173530627E-13</v>
      </c>
      <c r="F79" s="1">
        <f t="shared" si="7"/>
        <v>5.3435726124467361E-3</v>
      </c>
      <c r="G79">
        <f t="shared" si="8"/>
        <v>6.8388487200050876E-2</v>
      </c>
      <c r="I79" s="84"/>
    </row>
    <row r="80" spans="1:9" x14ac:dyDescent="0.25">
      <c r="A80">
        <v>0.9</v>
      </c>
      <c r="B80" s="1">
        <v>13500</v>
      </c>
      <c r="C80" s="1">
        <f t="shared" si="3"/>
        <v>3.0962286731749724E-16</v>
      </c>
      <c r="D80" s="1">
        <f t="shared" si="5"/>
        <v>0.99999999999994527</v>
      </c>
      <c r="E80" s="1">
        <f t="shared" si="6"/>
        <v>5.4753979448055169E-14</v>
      </c>
      <c r="F80" s="1">
        <f t="shared" si="7"/>
        <v>5.6548011749764223E-3</v>
      </c>
      <c r="G80">
        <f t="shared" si="8"/>
        <v>7.40432883750273E-2</v>
      </c>
      <c r="I80" s="84"/>
    </row>
    <row r="81" spans="1:9" x14ac:dyDescent="0.25">
      <c r="A81">
        <v>0.93333333333333335</v>
      </c>
      <c r="B81" s="1">
        <v>14000</v>
      </c>
      <c r="C81" s="1">
        <f t="shared" si="3"/>
        <v>1.7876453237167757E-17</v>
      </c>
      <c r="D81" s="1">
        <f t="shared" si="5"/>
        <v>0.999999999999997</v>
      </c>
      <c r="E81" s="1">
        <f t="shared" si="6"/>
        <v>2.9934541932824709E-15</v>
      </c>
      <c r="F81" s="1">
        <f t="shared" si="7"/>
        <v>5.9718479331615695E-3</v>
      </c>
      <c r="G81">
        <f t="shared" si="8"/>
        <v>8.0015136308188864E-2</v>
      </c>
      <c r="I81" s="84"/>
    </row>
    <row r="82" spans="1:9" x14ac:dyDescent="0.25">
      <c r="A82">
        <v>0.96666666666666667</v>
      </c>
      <c r="B82" s="1">
        <v>14500</v>
      </c>
      <c r="C82" s="1">
        <f t="shared" si="3"/>
        <v>8.7787007291449857E-19</v>
      </c>
      <c r="D82" s="1">
        <f t="shared" si="5"/>
        <v>0.99999999999999989</v>
      </c>
      <c r="E82" s="1">
        <f t="shared" si="6"/>
        <v>1.3946381907917933E-16</v>
      </c>
      <c r="F82" s="1">
        <f t="shared" si="7"/>
        <v>6.2946080116743092E-3</v>
      </c>
      <c r="G82">
        <f t="shared" si="8"/>
        <v>8.6309744319863171E-2</v>
      </c>
      <c r="I82" s="84"/>
    </row>
    <row r="83" spans="1:9" x14ac:dyDescent="0.25">
      <c r="A83">
        <v>1</v>
      </c>
      <c r="B83" s="1">
        <v>15000</v>
      </c>
      <c r="C83" s="1">
        <f t="shared" si="3"/>
        <v>3.6568431256548046E-20</v>
      </c>
      <c r="D83" s="1">
        <f t="shared" si="5"/>
        <v>1</v>
      </c>
      <c r="E83" s="1">
        <f t="shared" si="6"/>
        <v>5.5214450527919986E-18</v>
      </c>
      <c r="F83" s="1">
        <f t="shared" si="7"/>
        <v>6.6229820104895705E-3</v>
      </c>
      <c r="G83">
        <f t="shared" si="8"/>
        <v>9.2932726330352738E-2</v>
      </c>
      <c r="I83" s="84"/>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DB1A7-8BFA-49FD-9D0E-458A56A34EC9}">
  <sheetPr codeName="Sheet2"/>
  <dimension ref="A1:AB16"/>
  <sheetViews>
    <sheetView zoomScaleNormal="100" workbookViewId="0">
      <selection activeCell="I5" sqref="I5"/>
    </sheetView>
  </sheetViews>
  <sheetFormatPr defaultRowHeight="15" x14ac:dyDescent="0.25"/>
  <cols>
    <col min="6" max="6" width="13" customWidth="1"/>
    <col min="7" max="7" width="12.5703125" customWidth="1"/>
    <col min="16" max="16" width="47.5703125" customWidth="1"/>
    <col min="19" max="20" width="11.28515625" bestFit="1" customWidth="1"/>
    <col min="21" max="21" width="47.28515625" bestFit="1" customWidth="1"/>
  </cols>
  <sheetData>
    <row r="1" spans="1:28" x14ac:dyDescent="0.25">
      <c r="A1" s="186" t="s">
        <v>171</v>
      </c>
      <c r="AA1" t="s">
        <v>46</v>
      </c>
      <c r="AB1" t="s">
        <v>5</v>
      </c>
    </row>
    <row r="2" spans="1:28" ht="18" x14ac:dyDescent="0.35">
      <c r="H2" t="s">
        <v>71</v>
      </c>
      <c r="AA2" t="s">
        <v>48</v>
      </c>
      <c r="AB2" s="33" t="s">
        <v>47</v>
      </c>
    </row>
    <row r="3" spans="1:28" ht="15" customHeight="1" thickBot="1" x14ac:dyDescent="0.4">
      <c r="H3">
        <f>_xlfn.XLOOKUP(MAX(E7:E995),E7:E995,L7:L995)</f>
        <v>1.7286206529263533</v>
      </c>
      <c r="AA3" t="s">
        <v>49</v>
      </c>
      <c r="AB3" s="33" t="s">
        <v>57</v>
      </c>
    </row>
    <row r="4" spans="1:28" ht="135" x14ac:dyDescent="0.35">
      <c r="A4" s="34" t="s">
        <v>52</v>
      </c>
      <c r="B4" s="35" t="s">
        <v>58</v>
      </c>
      <c r="C4" s="36" t="s">
        <v>62</v>
      </c>
      <c r="D4" s="45" t="s">
        <v>61</v>
      </c>
      <c r="E4" s="35" t="s">
        <v>63</v>
      </c>
      <c r="F4" s="35" t="s">
        <v>66</v>
      </c>
      <c r="G4" s="35" t="s">
        <v>67</v>
      </c>
      <c r="H4" s="35" t="s">
        <v>68</v>
      </c>
      <c r="I4" s="35" t="s">
        <v>73</v>
      </c>
      <c r="J4" s="35" t="s">
        <v>69</v>
      </c>
      <c r="K4" s="35" t="s">
        <v>72</v>
      </c>
      <c r="L4" s="36" t="s">
        <v>70</v>
      </c>
      <c r="N4" s="159" t="s">
        <v>45</v>
      </c>
      <c r="O4" s="160"/>
      <c r="P4" s="163" t="s">
        <v>38</v>
      </c>
      <c r="AA4" t="s">
        <v>50</v>
      </c>
      <c r="AB4" t="s">
        <v>51</v>
      </c>
    </row>
    <row r="5" spans="1:28" ht="36" x14ac:dyDescent="0.35">
      <c r="A5" s="37" t="s">
        <v>59</v>
      </c>
      <c r="B5" s="25" t="s">
        <v>26</v>
      </c>
      <c r="C5" s="23" t="s">
        <v>60</v>
      </c>
      <c r="D5" s="46" t="s">
        <v>5</v>
      </c>
      <c r="E5" s="43" t="s">
        <v>57</v>
      </c>
      <c r="F5" s="42" t="s">
        <v>64</v>
      </c>
      <c r="G5" s="42" t="s">
        <v>65</v>
      </c>
      <c r="H5" s="33" t="s">
        <v>76</v>
      </c>
      <c r="I5" s="43" t="s">
        <v>77</v>
      </c>
      <c r="J5" s="43" t="s">
        <v>56</v>
      </c>
      <c r="K5" s="42" t="s">
        <v>74</v>
      </c>
      <c r="L5" s="42" t="s">
        <v>75</v>
      </c>
      <c r="N5" s="161"/>
      <c r="O5" s="162"/>
      <c r="P5" s="164"/>
      <c r="AA5" t="s">
        <v>52</v>
      </c>
      <c r="AB5" t="s">
        <v>26</v>
      </c>
    </row>
    <row r="6" spans="1:28" ht="30.75" thickBot="1" x14ac:dyDescent="0.3">
      <c r="A6" s="38" t="s">
        <v>60</v>
      </c>
      <c r="B6" s="39" t="s">
        <v>30</v>
      </c>
      <c r="C6" s="24" t="s">
        <v>60</v>
      </c>
      <c r="D6" s="47" t="s">
        <v>60</v>
      </c>
      <c r="E6" s="39" t="s">
        <v>30</v>
      </c>
      <c r="F6" s="39" t="s">
        <v>30</v>
      </c>
      <c r="G6" s="39" t="s">
        <v>30</v>
      </c>
      <c r="H6" s="10" t="s">
        <v>60</v>
      </c>
      <c r="I6" s="10" t="s">
        <v>60</v>
      </c>
      <c r="J6" s="10" t="s">
        <v>60</v>
      </c>
      <c r="K6" s="10" t="s">
        <v>60</v>
      </c>
      <c r="L6" s="24" t="s">
        <v>60</v>
      </c>
      <c r="N6" s="26" t="s">
        <v>39</v>
      </c>
      <c r="O6" s="27" t="s">
        <v>40</v>
      </c>
      <c r="P6" s="165"/>
      <c r="AA6" t="s">
        <v>54</v>
      </c>
      <c r="AB6" s="33" t="s">
        <v>53</v>
      </c>
    </row>
    <row r="7" spans="1:28" ht="18" x14ac:dyDescent="0.35">
      <c r="A7" s="28">
        <v>1</v>
      </c>
      <c r="B7" s="41">
        <v>25</v>
      </c>
      <c r="C7" s="48">
        <v>1</v>
      </c>
      <c r="D7" s="51">
        <f>C7</f>
        <v>1</v>
      </c>
      <c r="E7" s="5">
        <f>B7/D7</f>
        <v>25</v>
      </c>
      <c r="F7" s="5">
        <f>LOG(B7)</f>
        <v>1.3979400086720377</v>
      </c>
      <c r="G7" s="5">
        <f>LOG(E7)</f>
        <v>1.3979400086720377</v>
      </c>
      <c r="H7" s="5" t="s">
        <v>60</v>
      </c>
      <c r="I7" s="5" t="e">
        <f>NA()</f>
        <v>#N/A</v>
      </c>
      <c r="J7" s="5">
        <f t="shared" ref="J7:J16" si="0">E7/(1-$H$16)</f>
        <v>29.740491931497015</v>
      </c>
      <c r="K7" s="5" t="e">
        <f>LOG(I7)</f>
        <v>#N/A</v>
      </c>
      <c r="L7" s="52">
        <f>LOG(J7)</f>
        <v>1.4733481478230472</v>
      </c>
      <c r="N7" s="28">
        <v>0</v>
      </c>
      <c r="O7" s="29">
        <v>0.2</v>
      </c>
      <c r="P7" s="30" t="s">
        <v>41</v>
      </c>
      <c r="AA7" t="s">
        <v>55</v>
      </c>
      <c r="AB7" s="33" t="s">
        <v>56</v>
      </c>
    </row>
    <row r="8" spans="1:28" x14ac:dyDescent="0.25">
      <c r="A8" s="7">
        <v>2</v>
      </c>
      <c r="B8" s="2">
        <v>50</v>
      </c>
      <c r="C8" s="8">
        <v>1</v>
      </c>
      <c r="D8" s="53">
        <f t="shared" ref="D8:D16" si="1">D7+C8</f>
        <v>2</v>
      </c>
      <c r="E8" s="1">
        <f t="shared" ref="E8:E16" si="2">B8/D8</f>
        <v>25</v>
      </c>
      <c r="F8" s="1">
        <f t="shared" ref="F8:F16" si="3">LOG(B8)</f>
        <v>1.6989700043360187</v>
      </c>
      <c r="G8" s="1">
        <f t="shared" ref="G8:G16" si="4">LOG(E8)</f>
        <v>1.3979400086720377</v>
      </c>
      <c r="H8" s="1">
        <f>SLOPE($G$7:G8,$F$7:F8)</f>
        <v>0</v>
      </c>
      <c r="I8" s="1">
        <f t="shared" ref="I8:I16" si="5">E8/(1-H8)</f>
        <v>25</v>
      </c>
      <c r="J8" s="1">
        <f t="shared" si="0"/>
        <v>29.740491931497015</v>
      </c>
      <c r="K8" s="1">
        <f t="shared" ref="K8:L16" si="6">LOG(I8)</f>
        <v>1.3979400086720377</v>
      </c>
      <c r="L8" s="23">
        <f t="shared" si="6"/>
        <v>1.4733481478230472</v>
      </c>
      <c r="N8" s="7">
        <v>0.2</v>
      </c>
      <c r="O8" s="23">
        <v>0.3</v>
      </c>
      <c r="P8" s="31" t="s">
        <v>42</v>
      </c>
      <c r="Q8" s="40"/>
    </row>
    <row r="9" spans="1:28" x14ac:dyDescent="0.25">
      <c r="A9" s="7">
        <v>3</v>
      </c>
      <c r="B9" s="2">
        <v>90</v>
      </c>
      <c r="C9" s="8">
        <v>1</v>
      </c>
      <c r="D9" s="53">
        <f t="shared" si="1"/>
        <v>3</v>
      </c>
      <c r="E9" s="1">
        <f t="shared" si="2"/>
        <v>30</v>
      </c>
      <c r="F9" s="1">
        <f t="shared" si="3"/>
        <v>1.954242509439325</v>
      </c>
      <c r="G9" s="1">
        <f t="shared" si="4"/>
        <v>1.4771212547196624</v>
      </c>
      <c r="H9" s="1">
        <f>SLOPE($G$7:G9,$F$7:F9)</f>
        <v>0.13812090094460533</v>
      </c>
      <c r="I9" s="1">
        <f t="shared" si="5"/>
        <v>34.807666217778696</v>
      </c>
      <c r="J9" s="1">
        <f t="shared" si="0"/>
        <v>35.688590317796418</v>
      </c>
      <c r="K9" s="1">
        <f t="shared" si="6"/>
        <v>1.541674905711232</v>
      </c>
      <c r="L9" s="23">
        <f t="shared" si="6"/>
        <v>1.5525293938706719</v>
      </c>
      <c r="N9" s="7">
        <v>0.3</v>
      </c>
      <c r="O9" s="23">
        <v>0.4</v>
      </c>
      <c r="P9" s="31" t="s">
        <v>43</v>
      </c>
      <c r="Q9" s="33"/>
    </row>
    <row r="10" spans="1:28" ht="15.75" thickBot="1" x14ac:dyDescent="0.3">
      <c r="A10" s="7">
        <v>4</v>
      </c>
      <c r="B10" s="2">
        <v>125</v>
      </c>
      <c r="C10" s="8">
        <v>1</v>
      </c>
      <c r="D10" s="53">
        <f t="shared" si="1"/>
        <v>4</v>
      </c>
      <c r="E10" s="1">
        <f t="shared" si="2"/>
        <v>31.25</v>
      </c>
      <c r="F10" s="1">
        <f t="shared" si="3"/>
        <v>2.0969100130080562</v>
      </c>
      <c r="G10" s="1">
        <f t="shared" si="4"/>
        <v>1.494850021680094</v>
      </c>
      <c r="H10" s="1">
        <f>SLOPE($G$7:G10,$F$7:F10)</f>
        <v>0.15283761111963234</v>
      </c>
      <c r="I10" s="1">
        <f t="shared" si="5"/>
        <v>36.887851030899554</v>
      </c>
      <c r="J10" s="1">
        <f t="shared" si="0"/>
        <v>37.175614914371266</v>
      </c>
      <c r="K10" s="1">
        <f t="shared" si="6"/>
        <v>1.5668833553458954</v>
      </c>
      <c r="L10" s="23">
        <f t="shared" si="6"/>
        <v>1.5702581608311035</v>
      </c>
      <c r="N10" s="9">
        <v>0.4</v>
      </c>
      <c r="O10" s="24">
        <v>0.6</v>
      </c>
      <c r="P10" s="32" t="s">
        <v>44</v>
      </c>
    </row>
    <row r="11" spans="1:28" x14ac:dyDescent="0.25">
      <c r="A11" s="7">
        <v>5</v>
      </c>
      <c r="B11" s="2">
        <v>160</v>
      </c>
      <c r="C11" s="8">
        <v>0</v>
      </c>
      <c r="D11" s="53">
        <f t="shared" si="1"/>
        <v>4</v>
      </c>
      <c r="E11" s="1">
        <f t="shared" si="2"/>
        <v>40</v>
      </c>
      <c r="F11" s="1">
        <f t="shared" si="3"/>
        <v>2.2041199826559246</v>
      </c>
      <c r="G11" s="1">
        <f t="shared" si="4"/>
        <v>1.6020599913279623</v>
      </c>
      <c r="H11" s="1">
        <f>SLOPE($G$7:G11,$F$7:F11)</f>
        <v>0.22896547355612504</v>
      </c>
      <c r="I11" s="1">
        <f t="shared" si="5"/>
        <v>51.878351264613151</v>
      </c>
      <c r="J11" s="1">
        <f t="shared" si="0"/>
        <v>47.584787090395224</v>
      </c>
      <c r="K11" s="1">
        <f t="shared" si="6"/>
        <v>1.7149861654062866</v>
      </c>
      <c r="L11" s="23">
        <f t="shared" si="6"/>
        <v>1.677468130478972</v>
      </c>
    </row>
    <row r="12" spans="1:28" x14ac:dyDescent="0.25">
      <c r="A12" s="7">
        <v>6</v>
      </c>
      <c r="B12" s="2">
        <v>185</v>
      </c>
      <c r="C12" s="8">
        <v>1</v>
      </c>
      <c r="D12" s="53">
        <f t="shared" si="1"/>
        <v>5</v>
      </c>
      <c r="E12" s="1">
        <f t="shared" si="2"/>
        <v>37</v>
      </c>
      <c r="F12" s="1">
        <f t="shared" si="3"/>
        <v>2.2671717284030137</v>
      </c>
      <c r="G12" s="1">
        <f t="shared" si="4"/>
        <v>1.568201724066995</v>
      </c>
      <c r="H12" s="1">
        <f>SLOPE($G$7:G12,$F$7:F12)</f>
        <v>0.23098494920646095</v>
      </c>
      <c r="I12" s="1">
        <f t="shared" si="5"/>
        <v>48.113492657679544</v>
      </c>
      <c r="J12" s="1">
        <f t="shared" si="0"/>
        <v>44.015928058615579</v>
      </c>
      <c r="K12" s="1">
        <f t="shared" si="6"/>
        <v>1.6822668843791955</v>
      </c>
      <c r="L12" s="23">
        <f t="shared" si="6"/>
        <v>1.6436098632180045</v>
      </c>
    </row>
    <row r="13" spans="1:28" x14ac:dyDescent="0.25">
      <c r="A13" s="7">
        <v>7</v>
      </c>
      <c r="B13" s="2">
        <v>225</v>
      </c>
      <c r="C13" s="8">
        <v>0</v>
      </c>
      <c r="D13" s="53">
        <f t="shared" si="1"/>
        <v>5</v>
      </c>
      <c r="E13" s="1">
        <f t="shared" si="2"/>
        <v>45</v>
      </c>
      <c r="F13" s="1">
        <f t="shared" si="3"/>
        <v>2.3521825181113627</v>
      </c>
      <c r="G13" s="1">
        <f t="shared" si="4"/>
        <v>1.6532125137753437</v>
      </c>
      <c r="H13" s="1">
        <f>SLOPE($G$7:G13,$F$7:F13)</f>
        <v>0.26527425327610182</v>
      </c>
      <c r="I13" s="1">
        <f t="shared" si="5"/>
        <v>61.247343244268407</v>
      </c>
      <c r="J13" s="1">
        <f t="shared" si="0"/>
        <v>53.532885476694624</v>
      </c>
      <c r="K13" s="1">
        <f t="shared" si="6"/>
        <v>1.7870872548426366</v>
      </c>
      <c r="L13" s="23">
        <f t="shared" si="6"/>
        <v>1.7286206529263533</v>
      </c>
    </row>
    <row r="14" spans="1:28" x14ac:dyDescent="0.25">
      <c r="A14" s="7">
        <v>8</v>
      </c>
      <c r="B14" s="2">
        <v>245</v>
      </c>
      <c r="C14" s="8">
        <v>1</v>
      </c>
      <c r="D14" s="53">
        <f t="shared" si="1"/>
        <v>6</v>
      </c>
      <c r="E14" s="1">
        <f t="shared" si="2"/>
        <v>40.833333333333336</v>
      </c>
      <c r="F14" s="1">
        <f t="shared" si="3"/>
        <v>2.3891660843645326</v>
      </c>
      <c r="G14" s="1">
        <f t="shared" si="4"/>
        <v>1.611014833980889</v>
      </c>
      <c r="H14" s="1">
        <f>SLOPE($G$7:G14,$F$7:F14)</f>
        <v>0.26266500017676259</v>
      </c>
      <c r="I14" s="1">
        <f t="shared" si="5"/>
        <v>55.379621668742672</v>
      </c>
      <c r="J14" s="1">
        <f t="shared" si="0"/>
        <v>48.576136821445125</v>
      </c>
      <c r="K14" s="1">
        <f t="shared" si="6"/>
        <v>1.7433499844948097</v>
      </c>
      <c r="L14" s="23">
        <f t="shared" si="6"/>
        <v>1.6864229731318985</v>
      </c>
    </row>
    <row r="15" spans="1:28" x14ac:dyDescent="0.25">
      <c r="A15" s="7">
        <v>9</v>
      </c>
      <c r="B15" s="2">
        <v>270</v>
      </c>
      <c r="C15" s="8">
        <v>3</v>
      </c>
      <c r="D15" s="53">
        <f t="shared" si="1"/>
        <v>9</v>
      </c>
      <c r="E15" s="1">
        <f t="shared" si="2"/>
        <v>30</v>
      </c>
      <c r="F15" s="1">
        <f t="shared" si="3"/>
        <v>2.4313637641589874</v>
      </c>
      <c r="G15" s="1">
        <f t="shared" si="4"/>
        <v>1.4771212547196624</v>
      </c>
      <c r="H15" s="1">
        <f>SLOPE($G$7:G15,$F$7:F15)</f>
        <v>0.20967013216387737</v>
      </c>
      <c r="I15" s="1">
        <f t="shared" si="5"/>
        <v>37.958833673005756</v>
      </c>
      <c r="J15" s="1">
        <f t="shared" si="0"/>
        <v>35.688590317796418</v>
      </c>
      <c r="K15" s="1">
        <f t="shared" si="6"/>
        <v>1.5793128597837205</v>
      </c>
      <c r="L15" s="23">
        <f t="shared" si="6"/>
        <v>1.5525293938706719</v>
      </c>
    </row>
    <row r="16" spans="1:28" ht="15.75" thickBot="1" x14ac:dyDescent="0.3">
      <c r="A16" s="9">
        <v>10</v>
      </c>
      <c r="B16" s="49">
        <v>310</v>
      </c>
      <c r="C16" s="50">
        <v>2</v>
      </c>
      <c r="D16" s="54">
        <f t="shared" si="1"/>
        <v>11</v>
      </c>
      <c r="E16" s="10">
        <f t="shared" si="2"/>
        <v>28.181818181818183</v>
      </c>
      <c r="F16" s="10">
        <f t="shared" si="3"/>
        <v>2.4913616938342726</v>
      </c>
      <c r="G16" s="10">
        <f t="shared" si="4"/>
        <v>1.4499690086760477</v>
      </c>
      <c r="H16" s="10">
        <f>SLOPE($G$7:G16,$F$7:F16)</f>
        <v>0.159395209145029</v>
      </c>
      <c r="I16" s="10">
        <f t="shared" si="5"/>
        <v>33.525645450051179</v>
      </c>
      <c r="J16" s="10">
        <f t="shared" si="0"/>
        <v>33.525645450051179</v>
      </c>
      <c r="K16" s="10">
        <f t="shared" si="6"/>
        <v>1.5253771478270572</v>
      </c>
      <c r="L16" s="24">
        <f t="shared" si="6"/>
        <v>1.5253771478270572</v>
      </c>
    </row>
  </sheetData>
  <mergeCells count="2">
    <mergeCell ref="N4:O5"/>
    <mergeCell ref="P4:P6"/>
  </mergeCell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0-Test Duty Cycle to Lead Time</vt:lpstr>
      <vt:lpstr>1-Simple Reliability Confidence</vt:lpstr>
      <vt:lpstr>2-Parametric Binomial Reliablty</vt:lpstr>
      <vt:lpstr>3-Test Time Table</vt:lpstr>
      <vt:lpstr>4-PDF</vt:lpstr>
      <vt:lpstr>5-Mean Time Between Failure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Williams, Justin</dc:creator>
  <cp:lastModifiedBy>Williams, Justin</cp:lastModifiedBy>
  <dcterms:created xsi:type="dcterms:W3CDTF">2023-05-24T07:25:43Z</dcterms:created>
  <dcterms:modified xsi:type="dcterms:W3CDTF">2025-01-15T17:10:57Z</dcterms:modified>
</cp:coreProperties>
</file>