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U:\Departments\Engineering\Users\Justin Williams\Spreadsheets\"/>
    </mc:Choice>
  </mc:AlternateContent>
  <xr:revisionPtr revIDLastSave="0" documentId="13_ncr:1_{0A857BA5-7DCB-4BD7-A405-02AD00ACBEDC}" xr6:coauthVersionLast="46" xr6:coauthVersionMax="46" xr10:uidLastSave="{00000000-0000-0000-0000-000000000000}"/>
  <bookViews>
    <workbookView xWindow="-120" yWindow="-120" windowWidth="29040" windowHeight="15840" activeTab="1" xr2:uid="{F1C6C1F3-BCB3-4310-985D-2280EEF2CE84}"/>
  </bookViews>
  <sheets>
    <sheet name="Valve Sizing (Mach Index)" sheetId="1" r:id="rId1"/>
    <sheet name="Pulse Wave Tuning" sheetId="2" r:id="rId2"/>
  </sheets>
  <definedNames>
    <definedName name="c_Port">'Pulse Wave Tuning'!$D$16</definedName>
    <definedName name="CA_IVC">'Pulse Wave Tuning'!$D$11</definedName>
    <definedName name="CA_IVO">'Pulse Wave Tuning'!$D$10</definedName>
    <definedName name="Dist_Pulse">'Pulse Wave Tuning'!$D$20</definedName>
    <definedName name="Duration_IV_Closed">'Pulse Wave Tuning'!$D$18</definedName>
    <definedName name="Duration_IV_Open">'Pulse Wave Tuning'!$D$17</definedName>
    <definedName name="k_air">'Pulse Wave Tuning'!$D$12</definedName>
    <definedName name="L_Port_des">'Pulse Wave Tuning'!$D$9</definedName>
    <definedName name="L_port_new">'Pulse Wave Tuning'!$D$24</definedName>
    <definedName name="MW_air">'Pulse Wave Tuning'!$D$14</definedName>
    <definedName name="N_Bounce">'Pulse Wave Tuning'!$D$21</definedName>
    <definedName name="N_Bounce_even">'Pulse Wave Tuning'!$D$22</definedName>
    <definedName name="NE">'Pulse Wave Tuning'!$D$7</definedName>
    <definedName name="NE_Hz">'Pulse Wave Tuning'!$F$7</definedName>
    <definedName name="R_air">'Pulse Wave Tuning'!$D$15</definedName>
    <definedName name="R_bar">'Pulse Wave Tuning'!$D$13</definedName>
    <definedName name="t_dur_IV_closed">'Pulse Wave Tuning'!$D$19</definedName>
    <definedName name="T_Port">'Pulse Wave Tuning'!$D$8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2" l="1"/>
  <c r="F12" i="2"/>
  <c r="J8" i="2"/>
  <c r="L8" i="2" s="1"/>
  <c r="J7" i="2"/>
  <c r="L7" i="2" s="1"/>
  <c r="C499" i="2"/>
  <c r="C500" i="2" s="1"/>
  <c r="A35" i="2" s="1"/>
  <c r="C502" i="2"/>
  <c r="C501" i="2" l="1"/>
  <c r="A32" i="2" s="1"/>
  <c r="D17" i="2"/>
  <c r="D18" i="2" s="1"/>
  <c r="D15" i="2"/>
  <c r="D16" i="2" s="1"/>
  <c r="F8" i="2"/>
  <c r="F11" i="2"/>
  <c r="F10" i="2"/>
  <c r="F9" i="2"/>
  <c r="F7" i="2"/>
  <c r="F102" i="1"/>
  <c r="D102" i="1"/>
  <c r="D14" i="1"/>
  <c r="D18" i="1" s="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03" i="1"/>
  <c r="F100" i="1"/>
  <c r="E100" i="1"/>
  <c r="E102" i="1" s="1"/>
  <c r="D100" i="1"/>
  <c r="H5" i="1"/>
  <c r="H6" i="1"/>
  <c r="H7" i="1"/>
  <c r="H8" i="1"/>
  <c r="H9" i="1"/>
  <c r="H10" i="1"/>
  <c r="H11" i="1"/>
  <c r="H12" i="1"/>
  <c r="H13" i="1"/>
  <c r="H14" i="1"/>
  <c r="H15" i="1"/>
  <c r="H16" i="1"/>
  <c r="H17" i="1"/>
  <c r="H18" i="1"/>
  <c r="H19" i="1"/>
  <c r="H20" i="1"/>
  <c r="H21" i="1"/>
  <c r="H22" i="1"/>
  <c r="H23" i="1"/>
  <c r="H24" i="1"/>
  <c r="H4" i="1"/>
  <c r="D15" i="1"/>
  <c r="D16" i="1" s="1"/>
  <c r="D17" i="1"/>
  <c r="D13" i="1"/>
  <c r="D19" i="2" l="1"/>
  <c r="D20" i="2" s="1"/>
  <c r="F16" i="2"/>
  <c r="I13" i="1"/>
  <c r="I6" i="1"/>
  <c r="I15" i="1"/>
  <c r="I17" i="1"/>
  <c r="I18" i="1"/>
  <c r="I10" i="1"/>
  <c r="I22" i="1"/>
  <c r="I21" i="1"/>
  <c r="I23" i="1"/>
  <c r="I19" i="1"/>
  <c r="E104" i="1"/>
  <c r="E108" i="1"/>
  <c r="E112" i="1"/>
  <c r="E116" i="1"/>
  <c r="E120" i="1"/>
  <c r="E124" i="1"/>
  <c r="E128" i="1"/>
  <c r="E132" i="1"/>
  <c r="E136" i="1"/>
  <c r="E140" i="1"/>
  <c r="E144" i="1"/>
  <c r="E148" i="1"/>
  <c r="E152" i="1"/>
  <c r="E156" i="1"/>
  <c r="E160" i="1"/>
  <c r="E164" i="1"/>
  <c r="E168" i="1"/>
  <c r="E172" i="1"/>
  <c r="E176" i="1"/>
  <c r="E180" i="1"/>
  <c r="E184" i="1"/>
  <c r="D105" i="1"/>
  <c r="D113" i="1"/>
  <c r="D121" i="1"/>
  <c r="D129" i="1"/>
  <c r="D137" i="1"/>
  <c r="D145" i="1"/>
  <c r="D153" i="1"/>
  <c r="D161" i="1"/>
  <c r="D169" i="1"/>
  <c r="D177" i="1"/>
  <c r="D185" i="1"/>
  <c r="I5" i="1"/>
  <c r="D170" i="1"/>
  <c r="D155" i="1"/>
  <c r="I7" i="1"/>
  <c r="F104" i="1"/>
  <c r="F108" i="1"/>
  <c r="F112" i="1"/>
  <c r="F116" i="1"/>
  <c r="F120" i="1"/>
  <c r="F124" i="1"/>
  <c r="F128" i="1"/>
  <c r="F132" i="1"/>
  <c r="F136" i="1"/>
  <c r="F140" i="1"/>
  <c r="F144" i="1"/>
  <c r="F148" i="1"/>
  <c r="F152" i="1"/>
  <c r="F156" i="1"/>
  <c r="F160" i="1"/>
  <c r="F164" i="1"/>
  <c r="F168" i="1"/>
  <c r="F172" i="1"/>
  <c r="F176" i="1"/>
  <c r="F180" i="1"/>
  <c r="F184" i="1"/>
  <c r="D106" i="1"/>
  <c r="D114" i="1"/>
  <c r="D122" i="1"/>
  <c r="D130" i="1"/>
  <c r="D138" i="1"/>
  <c r="D146" i="1"/>
  <c r="D178" i="1"/>
  <c r="D163" i="1"/>
  <c r="D164" i="1"/>
  <c r="E105" i="1"/>
  <c r="E109" i="1"/>
  <c r="E113" i="1"/>
  <c r="E117" i="1"/>
  <c r="E121" i="1"/>
  <c r="E125" i="1"/>
  <c r="E129" i="1"/>
  <c r="E133" i="1"/>
  <c r="E137" i="1"/>
  <c r="E141" i="1"/>
  <c r="E145" i="1"/>
  <c r="E149" i="1"/>
  <c r="E153" i="1"/>
  <c r="E157" i="1"/>
  <c r="E161" i="1"/>
  <c r="E165" i="1"/>
  <c r="E169" i="1"/>
  <c r="E173" i="1"/>
  <c r="E177" i="1"/>
  <c r="E181" i="1"/>
  <c r="E185" i="1"/>
  <c r="D107" i="1"/>
  <c r="D115" i="1"/>
  <c r="D123" i="1"/>
  <c r="D131" i="1"/>
  <c r="D171" i="1"/>
  <c r="I24" i="1"/>
  <c r="F105" i="1"/>
  <c r="F109" i="1"/>
  <c r="F113" i="1"/>
  <c r="F117" i="1"/>
  <c r="F121" i="1"/>
  <c r="F125" i="1"/>
  <c r="F129" i="1"/>
  <c r="F133" i="1"/>
  <c r="F137" i="1"/>
  <c r="F141" i="1"/>
  <c r="F145" i="1"/>
  <c r="F149" i="1"/>
  <c r="F153" i="1"/>
  <c r="F157" i="1"/>
  <c r="F161" i="1"/>
  <c r="F165" i="1"/>
  <c r="F169" i="1"/>
  <c r="F173" i="1"/>
  <c r="F177" i="1"/>
  <c r="F181" i="1"/>
  <c r="F185" i="1"/>
  <c r="D108" i="1"/>
  <c r="D116" i="1"/>
  <c r="D124" i="1"/>
  <c r="D132" i="1"/>
  <c r="D140" i="1"/>
  <c r="D148" i="1"/>
  <c r="E106" i="1"/>
  <c r="E110" i="1"/>
  <c r="E114" i="1"/>
  <c r="E118" i="1"/>
  <c r="E122" i="1"/>
  <c r="E126" i="1"/>
  <c r="E130" i="1"/>
  <c r="E134" i="1"/>
  <c r="E138" i="1"/>
  <c r="E142" i="1"/>
  <c r="E146" i="1"/>
  <c r="E150" i="1"/>
  <c r="E154" i="1"/>
  <c r="E158" i="1"/>
  <c r="E162" i="1"/>
  <c r="E166" i="1"/>
  <c r="E170" i="1"/>
  <c r="E174" i="1"/>
  <c r="E178" i="1"/>
  <c r="E182" i="1"/>
  <c r="E103" i="1"/>
  <c r="D109" i="1"/>
  <c r="D117" i="1"/>
  <c r="D125" i="1"/>
  <c r="D133" i="1"/>
  <c r="D141" i="1"/>
  <c r="D149" i="1"/>
  <c r="D157" i="1"/>
  <c r="D165" i="1"/>
  <c r="D173" i="1"/>
  <c r="D181" i="1"/>
  <c r="I12" i="1"/>
  <c r="D158" i="1"/>
  <c r="D174" i="1"/>
  <c r="I8" i="1"/>
  <c r="D179" i="1"/>
  <c r="F106" i="1"/>
  <c r="F110" i="1"/>
  <c r="F114" i="1"/>
  <c r="F118" i="1"/>
  <c r="F122" i="1"/>
  <c r="F126" i="1"/>
  <c r="F130" i="1"/>
  <c r="F134" i="1"/>
  <c r="F138" i="1"/>
  <c r="F142" i="1"/>
  <c r="F146" i="1"/>
  <c r="F150" i="1"/>
  <c r="F154" i="1"/>
  <c r="F158" i="1"/>
  <c r="F162" i="1"/>
  <c r="F166" i="1"/>
  <c r="F170" i="1"/>
  <c r="F174" i="1"/>
  <c r="F178" i="1"/>
  <c r="F182" i="1"/>
  <c r="F103" i="1"/>
  <c r="D110" i="1"/>
  <c r="D118" i="1"/>
  <c r="D126" i="1"/>
  <c r="D134" i="1"/>
  <c r="D142" i="1"/>
  <c r="D150" i="1"/>
  <c r="D166" i="1"/>
  <c r="D182" i="1"/>
  <c r="I11" i="1"/>
  <c r="D180" i="1"/>
  <c r="E107" i="1"/>
  <c r="E111" i="1"/>
  <c r="E115" i="1"/>
  <c r="E119" i="1"/>
  <c r="E123" i="1"/>
  <c r="E127" i="1"/>
  <c r="E131" i="1"/>
  <c r="E135" i="1"/>
  <c r="E139" i="1"/>
  <c r="E143" i="1"/>
  <c r="E147" i="1"/>
  <c r="E151" i="1"/>
  <c r="E155" i="1"/>
  <c r="E159" i="1"/>
  <c r="E163" i="1"/>
  <c r="E167" i="1"/>
  <c r="E171" i="1"/>
  <c r="E175" i="1"/>
  <c r="E179" i="1"/>
  <c r="E183" i="1"/>
  <c r="D103" i="1"/>
  <c r="D111" i="1"/>
  <c r="D119" i="1"/>
  <c r="D127" i="1"/>
  <c r="D135" i="1"/>
  <c r="D143" i="1"/>
  <c r="D151" i="1"/>
  <c r="D159" i="1"/>
  <c r="D167" i="1"/>
  <c r="D175" i="1"/>
  <c r="D183" i="1"/>
  <c r="I20" i="1"/>
  <c r="D154" i="1"/>
  <c r="D147" i="1"/>
  <c r="D172" i="1"/>
  <c r="F107" i="1"/>
  <c r="F111" i="1"/>
  <c r="F115" i="1"/>
  <c r="F119" i="1"/>
  <c r="F123" i="1"/>
  <c r="F127" i="1"/>
  <c r="F131" i="1"/>
  <c r="F135" i="1"/>
  <c r="F139" i="1"/>
  <c r="F143" i="1"/>
  <c r="F147" i="1"/>
  <c r="F151" i="1"/>
  <c r="F155" i="1"/>
  <c r="F159" i="1"/>
  <c r="F163" i="1"/>
  <c r="F167" i="1"/>
  <c r="F171" i="1"/>
  <c r="F175" i="1"/>
  <c r="F179" i="1"/>
  <c r="F183" i="1"/>
  <c r="D104" i="1"/>
  <c r="D112" i="1"/>
  <c r="D120" i="1"/>
  <c r="D128" i="1"/>
  <c r="D136" i="1"/>
  <c r="D144" i="1"/>
  <c r="D152" i="1"/>
  <c r="D160" i="1"/>
  <c r="D168" i="1"/>
  <c r="D176" i="1"/>
  <c r="D184" i="1"/>
  <c r="I9" i="1"/>
  <c r="D162" i="1"/>
  <c r="I16" i="1"/>
  <c r="D139" i="1"/>
  <c r="D156" i="1"/>
  <c r="I14" i="1"/>
  <c r="I4" i="1"/>
  <c r="D21" i="2" l="1"/>
  <c r="D22" i="2" s="1"/>
  <c r="F19" i="2"/>
  <c r="F20" i="2"/>
  <c r="D24" i="2" l="1"/>
  <c r="F24" i="2" s="1"/>
  <c r="C505" i="2"/>
  <c r="D2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Williams, Justin</author>
  </authors>
  <commentList>
    <comment ref="I2" authorId="0" shapeId="0" xr:uid="{518D27E6-6D5E-4758-8B3F-847F40A36CB5}">
      <text>
        <r>
          <rPr>
            <b/>
            <sz val="9"/>
            <color indexed="81"/>
            <rFont val="Tahoma"/>
            <family val="2"/>
          </rPr>
          <t>Williams, Justin:</t>
        </r>
        <r>
          <rPr>
            <sz val="9"/>
            <color indexed="81"/>
            <rFont val="Tahoma"/>
            <family val="2"/>
          </rPr>
          <t xml:space="preserve">
Typically, going past 0.6 Mach Index at rated speed results in choked flow, so want to stay below 0.6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Williams, Justin</author>
  </authors>
  <commentList>
    <comment ref="I7" authorId="0" shapeId="0" xr:uid="{44246779-0580-41E3-B38B-322DE41F6096}">
      <text>
        <r>
          <rPr>
            <b/>
            <sz val="9"/>
            <color indexed="81"/>
            <rFont val="Tahoma"/>
            <charset val="1"/>
          </rPr>
          <t>Williams, Justin:</t>
        </r>
        <r>
          <rPr>
            <sz val="9"/>
            <color indexed="81"/>
            <rFont val="Tahoma"/>
            <charset val="1"/>
          </rPr>
          <t xml:space="preserve">
No reason to trust this, just for reference</t>
        </r>
      </text>
    </comment>
    <comment ref="I8" authorId="0" shapeId="0" xr:uid="{23B5A8D9-3A3C-4104-8FC3-A5C23D0A6675}">
      <text>
        <r>
          <rPr>
            <b/>
            <sz val="9"/>
            <color indexed="81"/>
            <rFont val="Tahoma"/>
            <charset val="1"/>
          </rPr>
          <t>Williams, Justin:</t>
        </r>
        <r>
          <rPr>
            <sz val="9"/>
            <color indexed="81"/>
            <rFont val="Tahoma"/>
            <charset val="1"/>
          </rPr>
          <t xml:space="preserve">
No reason to trust this, just for reference</t>
        </r>
      </text>
    </comment>
    <comment ref="B12" authorId="0" shapeId="0" xr:uid="{DB523B75-E78E-44F3-B396-EEF5CCA90B5A}">
      <text>
        <r>
          <rPr>
            <b/>
            <sz val="9"/>
            <color indexed="81"/>
            <rFont val="Tahoma"/>
            <family val="2"/>
          </rPr>
          <t>Williams, Justin:</t>
        </r>
        <r>
          <rPr>
            <sz val="9"/>
            <color indexed="81"/>
            <rFont val="Tahoma"/>
            <family val="2"/>
          </rPr>
          <t xml:space="preserve">
Is temperature dependent, but assume 1.402 for most cases if not varying with temp.
Have some formula to get somewhat close, but should override if known.</t>
        </r>
      </text>
    </comment>
  </commentList>
</comments>
</file>

<file path=xl/sharedStrings.xml><?xml version="1.0" encoding="utf-8"?>
<sst xmlns="http://schemas.openxmlformats.org/spreadsheetml/2006/main" count="164" uniqueCount="121">
  <si>
    <t>Bore</t>
  </si>
  <si>
    <t>Stroke</t>
  </si>
  <si>
    <t>Intake Port Air Temp</t>
  </si>
  <si>
    <t>Intake Port Air Press</t>
  </si>
  <si>
    <t>B</t>
  </si>
  <si>
    <t>S</t>
  </si>
  <si>
    <r>
      <t>T</t>
    </r>
    <r>
      <rPr>
        <vertAlign val="subscript"/>
        <sz val="11"/>
        <color theme="1"/>
        <rFont val="Calibri"/>
        <family val="2"/>
        <scheme val="minor"/>
      </rPr>
      <t>port</t>
    </r>
  </si>
  <si>
    <r>
      <t>P</t>
    </r>
    <r>
      <rPr>
        <vertAlign val="subscript"/>
        <sz val="11"/>
        <color theme="1"/>
        <rFont val="Calibri"/>
        <family val="2"/>
        <scheme val="minor"/>
      </rPr>
      <t>port</t>
    </r>
  </si>
  <si>
    <t># Intake Valves</t>
  </si>
  <si>
    <r>
      <t>N</t>
    </r>
    <r>
      <rPr>
        <vertAlign val="subscript"/>
        <sz val="11"/>
        <color theme="1"/>
        <rFont val="Calibri"/>
        <family val="2"/>
        <scheme val="minor"/>
      </rPr>
      <t>valve,in</t>
    </r>
  </si>
  <si>
    <t>Description</t>
  </si>
  <si>
    <t>Symbol</t>
  </si>
  <si>
    <t>Value</t>
  </si>
  <si>
    <t>Units</t>
  </si>
  <si>
    <t>Intake Valve Diameter</t>
  </si>
  <si>
    <r>
      <t>Dia</t>
    </r>
    <r>
      <rPr>
        <vertAlign val="subscript"/>
        <sz val="11"/>
        <color theme="1"/>
        <rFont val="Calibri"/>
        <family val="2"/>
        <scheme val="minor"/>
      </rPr>
      <t>valve,in</t>
    </r>
  </si>
  <si>
    <t>Effective Flow Coefficient</t>
  </si>
  <si>
    <t>Intake Port Air Density</t>
  </si>
  <si>
    <t>Air Specific Heat Ratio</t>
  </si>
  <si>
    <t>Universal Gas Constant</t>
  </si>
  <si>
    <t>Molecular Weight of Air</t>
  </si>
  <si>
    <t>Specific Gas Constant of Air</t>
  </si>
  <si>
    <t>Speed of Sound in Port</t>
  </si>
  <si>
    <t>Piston Crown Projected Surface Area</t>
  </si>
  <si>
    <t>Individual Valve Area</t>
  </si>
  <si>
    <t>Effective Valve Area</t>
  </si>
  <si>
    <r>
      <t>C</t>
    </r>
    <r>
      <rPr>
        <vertAlign val="subscript"/>
        <sz val="11"/>
        <color theme="1"/>
        <rFont val="Calibri"/>
        <family val="2"/>
        <scheme val="minor"/>
      </rPr>
      <t>eff</t>
    </r>
  </si>
  <si>
    <r>
      <rPr>
        <sz val="11"/>
        <color theme="1"/>
        <rFont val="Calibri"/>
        <family val="2"/>
      </rPr>
      <t>ρ</t>
    </r>
    <r>
      <rPr>
        <vertAlign val="subscript"/>
        <sz val="11"/>
        <color theme="1"/>
        <rFont val="Calibri"/>
        <family val="2"/>
      </rPr>
      <t>port</t>
    </r>
  </si>
  <si>
    <t>R</t>
  </si>
  <si>
    <r>
      <t>Mw</t>
    </r>
    <r>
      <rPr>
        <vertAlign val="subscript"/>
        <sz val="11"/>
        <color theme="1"/>
        <rFont val="Calibri"/>
        <family val="2"/>
      </rPr>
      <t>air</t>
    </r>
  </si>
  <si>
    <r>
      <t>R</t>
    </r>
    <r>
      <rPr>
        <vertAlign val="subscript"/>
        <sz val="11"/>
        <color theme="1"/>
        <rFont val="Calibri"/>
        <family val="2"/>
      </rPr>
      <t>air</t>
    </r>
  </si>
  <si>
    <r>
      <t>C</t>
    </r>
    <r>
      <rPr>
        <vertAlign val="subscript"/>
        <sz val="11"/>
        <color theme="1"/>
        <rFont val="Calibri"/>
        <family val="2"/>
      </rPr>
      <t>port</t>
    </r>
  </si>
  <si>
    <r>
      <t>A</t>
    </r>
    <r>
      <rPr>
        <vertAlign val="subscript"/>
        <sz val="11"/>
        <color theme="1"/>
        <rFont val="Calibri"/>
        <family val="2"/>
      </rPr>
      <t>piston</t>
    </r>
  </si>
  <si>
    <r>
      <t>A</t>
    </r>
    <r>
      <rPr>
        <vertAlign val="subscript"/>
        <sz val="11"/>
        <color theme="1"/>
        <rFont val="Calibri"/>
        <family val="2"/>
      </rPr>
      <t>valve</t>
    </r>
  </si>
  <si>
    <r>
      <t>A</t>
    </r>
    <r>
      <rPr>
        <vertAlign val="subscript"/>
        <sz val="11"/>
        <color theme="1"/>
        <rFont val="Calibri"/>
        <family val="2"/>
      </rPr>
      <t>valve,eff</t>
    </r>
  </si>
  <si>
    <t>mm</t>
  </si>
  <si>
    <t>°C</t>
  </si>
  <si>
    <t>kPa</t>
  </si>
  <si>
    <t>-</t>
  </si>
  <si>
    <r>
      <t>k</t>
    </r>
    <r>
      <rPr>
        <vertAlign val="subscript"/>
        <sz val="11"/>
        <color theme="1"/>
        <rFont val="Calibri"/>
        <family val="2"/>
      </rPr>
      <t>air</t>
    </r>
  </si>
  <si>
    <t>J/(K*mol)</t>
  </si>
  <si>
    <t>g/mol</t>
  </si>
  <si>
    <t>J(kg*K)</t>
  </si>
  <si>
    <t>m/s</t>
  </si>
  <si>
    <t>mm^2</t>
  </si>
  <si>
    <t>kg/m^3</t>
  </si>
  <si>
    <t>Engine Speed</t>
  </si>
  <si>
    <t>Mean Piston Speed</t>
  </si>
  <si>
    <t>Mach Index</t>
  </si>
  <si>
    <t>rpm</t>
  </si>
  <si>
    <t>Rated Speed</t>
  </si>
  <si>
    <t>Speed at Max Torque</t>
  </si>
  <si>
    <t>Rev Limit</t>
  </si>
  <si>
    <t>Independent</t>
  </si>
  <si>
    <t>Point</t>
  </si>
  <si>
    <t>Intake Valve Diamter</t>
  </si>
  <si>
    <t>Dependent</t>
  </si>
  <si>
    <t>Speed</t>
  </si>
  <si>
    <t>Engine Speeds to Graph</t>
  </si>
  <si>
    <t>Abbreviation</t>
  </si>
  <si>
    <t>Unit</t>
  </si>
  <si>
    <t>Alt Value</t>
  </si>
  <si>
    <t>Alt Unit</t>
  </si>
  <si>
    <t>Hz</t>
  </si>
  <si>
    <t>inch</t>
  </si>
  <si>
    <t>deg</t>
  </si>
  <si>
    <t>sec</t>
  </si>
  <si>
    <t>deg BTDC</t>
  </si>
  <si>
    <t>deg ABDC</t>
  </si>
  <si>
    <t>NE</t>
  </si>
  <si>
    <t>Distance Pulse travels from IVC</t>
  </si>
  <si>
    <t>ft/s</t>
  </si>
  <si>
    <t>Desired Approx Port Length (from Intake Valve to change in dia)</t>
  </si>
  <si>
    <t>Number of Pulse Bounces</t>
  </si>
  <si>
    <t>m</t>
  </si>
  <si>
    <t>ft</t>
  </si>
  <si>
    <t>Number of Closest Even Number Pulse Bounces</t>
  </si>
  <si>
    <t>New Approx Port Length</t>
  </si>
  <si>
    <t>Intake Valve Opening Crank Angle</t>
  </si>
  <si>
    <t>Intake Valve Closing Crank Angle</t>
  </si>
  <si>
    <t>Duration of Crank Angle that Intake Valve is Open</t>
  </si>
  <si>
    <t>Duration of Crank Angle that Intake Valve is Closed</t>
  </si>
  <si>
    <t>Intake Valve Closed Time</t>
  </si>
  <si>
    <t>ms</t>
  </si>
  <si>
    <t>Intake Pulse Wave Tuning</t>
  </si>
  <si>
    <t>deg ATDC</t>
  </si>
  <si>
    <t>Air Temp in Port</t>
  </si>
  <si>
    <t>°F</t>
  </si>
  <si>
    <r>
      <t>T</t>
    </r>
    <r>
      <rPr>
        <vertAlign val="subscript"/>
        <sz val="11"/>
        <color theme="1"/>
        <rFont val="Calibri"/>
        <family val="2"/>
        <scheme val="minor"/>
      </rPr>
      <t>Port</t>
    </r>
  </si>
  <si>
    <r>
      <t>k</t>
    </r>
    <r>
      <rPr>
        <vertAlign val="subscript"/>
        <sz val="11"/>
        <color theme="1"/>
        <rFont val="Calibri"/>
        <family val="2"/>
        <scheme val="minor"/>
      </rPr>
      <t>air</t>
    </r>
  </si>
  <si>
    <r>
      <t>MW</t>
    </r>
    <r>
      <rPr>
        <vertAlign val="subscript"/>
        <sz val="11"/>
        <color theme="1"/>
        <rFont val="Calibri"/>
        <family val="2"/>
      </rPr>
      <t>air</t>
    </r>
  </si>
  <si>
    <r>
      <t>c</t>
    </r>
    <r>
      <rPr>
        <vertAlign val="subscript"/>
        <sz val="11"/>
        <color theme="1"/>
        <rFont val="Calibri"/>
        <family val="2"/>
        <scheme val="minor"/>
      </rPr>
      <t>Port</t>
    </r>
  </si>
  <si>
    <r>
      <t>L</t>
    </r>
    <r>
      <rPr>
        <vertAlign val="subscript"/>
        <sz val="11"/>
        <color theme="1"/>
        <rFont val="Calibri"/>
        <family val="2"/>
        <scheme val="minor"/>
      </rPr>
      <t>Port_des</t>
    </r>
  </si>
  <si>
    <r>
      <t>CA</t>
    </r>
    <r>
      <rPr>
        <vertAlign val="subscript"/>
        <sz val="11"/>
        <color theme="1"/>
        <rFont val="Calibri"/>
        <family val="2"/>
        <scheme val="minor"/>
      </rPr>
      <t>IVO</t>
    </r>
  </si>
  <si>
    <r>
      <t>CA</t>
    </r>
    <r>
      <rPr>
        <vertAlign val="subscript"/>
        <sz val="11"/>
        <color theme="1"/>
        <rFont val="Calibri"/>
        <family val="2"/>
        <scheme val="minor"/>
      </rPr>
      <t>IVC</t>
    </r>
  </si>
  <si>
    <r>
      <t>Dist</t>
    </r>
    <r>
      <rPr>
        <vertAlign val="subscript"/>
        <sz val="11"/>
        <color theme="1"/>
        <rFont val="Calibri"/>
        <family val="2"/>
        <scheme val="minor"/>
      </rPr>
      <t>Pulse</t>
    </r>
  </si>
  <si>
    <r>
      <t>N</t>
    </r>
    <r>
      <rPr>
        <vertAlign val="subscript"/>
        <sz val="11"/>
        <color theme="1"/>
        <rFont val="Calibri"/>
        <family val="2"/>
        <scheme val="minor"/>
      </rPr>
      <t>Bounce</t>
    </r>
  </si>
  <si>
    <t>Input</t>
  </si>
  <si>
    <t>Helpful</t>
  </si>
  <si>
    <t>Output</t>
  </si>
  <si>
    <t>Key</t>
  </si>
  <si>
    <r>
      <t>L</t>
    </r>
    <r>
      <rPr>
        <vertAlign val="subscript"/>
        <sz val="11"/>
        <color theme="1"/>
        <rFont val="Calibri"/>
        <family val="2"/>
        <scheme val="minor"/>
      </rPr>
      <t>port_new</t>
    </r>
  </si>
  <si>
    <r>
      <t>R</t>
    </r>
    <r>
      <rPr>
        <vertAlign val="subscript"/>
        <sz val="11"/>
        <color theme="1"/>
        <rFont val="Calibri"/>
        <family val="2"/>
      </rPr>
      <t>bar</t>
    </r>
  </si>
  <si>
    <r>
      <t>Duration</t>
    </r>
    <r>
      <rPr>
        <vertAlign val="subscript"/>
        <sz val="11"/>
        <color theme="1"/>
        <rFont val="Calibri"/>
        <family val="2"/>
        <scheme val="minor"/>
      </rPr>
      <t>IV_Open</t>
    </r>
  </si>
  <si>
    <r>
      <t>Duration</t>
    </r>
    <r>
      <rPr>
        <vertAlign val="subscript"/>
        <sz val="11"/>
        <color theme="1"/>
        <rFont val="Calibri"/>
        <family val="2"/>
        <scheme val="minor"/>
      </rPr>
      <t>IV_Closed</t>
    </r>
  </si>
  <si>
    <r>
      <t>t</t>
    </r>
    <r>
      <rPr>
        <vertAlign val="subscript"/>
        <sz val="11"/>
        <color theme="1"/>
        <rFont val="Calibri"/>
        <family val="2"/>
        <scheme val="minor"/>
      </rPr>
      <t>dur_IV_closed</t>
    </r>
  </si>
  <si>
    <r>
      <t>N</t>
    </r>
    <r>
      <rPr>
        <vertAlign val="subscript"/>
        <sz val="11"/>
        <color theme="1"/>
        <rFont val="Calibri"/>
        <family val="2"/>
        <scheme val="minor"/>
      </rPr>
      <t>Bounce_even</t>
    </r>
  </si>
  <si>
    <t>Number of Times bounce off intake valve</t>
  </si>
  <si>
    <t>Data Table</t>
  </si>
  <si>
    <t>Approx Ideal Intake Length (mm)</t>
  </si>
  <si>
    <t>Chart Title</t>
  </si>
  <si>
    <t>Y Lim Min</t>
  </si>
  <si>
    <t>Y Lim Max</t>
  </si>
  <si>
    <t>Y Lim Offset</t>
  </si>
  <si>
    <t>Y Min</t>
  </si>
  <si>
    <t>Y Max</t>
  </si>
  <si>
    <t>This sheet does NOT find the optimal length. Instead, it finds the opimtal length given a certain desired port length, and trying to stay within that length, changing the port length slightly depending on where the pulse wave in the intake runner is at a given engine speed. If the pulse is on its way back to the valve, it will shorten the runner length slightly until the pulse would arrive when the intake valve opens. If the pulse is still traveling away from the valve, it will lengthen the runner slightly until the pulse would arrive at the valve when the intake valve opens.
-JWilliams 2022-05-10</t>
  </si>
  <si>
    <t>Approx Ideal Runner Length (David Vizard Equation for Runner Length)</t>
  </si>
  <si>
    <t>Approx Ideal Runner Dia (David Vizard Equation for Runner Dia)</t>
  </si>
  <si>
    <t>Displacement per Cyl</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</si>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</sst>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
    <numFmt numFmtId="165" formatCode="0.000000"/>
    <numFmt numFmtId="166" formatCode="0.000"/>
    <numFmt numFmtId="168" formatCode="0.0000"/>
    <numFmt numFmtId="169" formatCode="0.0"/>
  </numFmts>
  <fonts count="14" x14ac:knownFonts="1">
    <font>
      <sz val="11"/>
      <color theme="1"/>
      <name val="Calibri"/>
      <family val="2"/>
      <scheme val="minor"/>
    </font>
    <font>
      <b/>
      <sz val="11"/>
      <color theme="1"/>
      <name val="Calibri"/>
      <family val="2"/>
      <scheme val="minor"/>
    </font>
    <font>
      <vertAlign val="subscript"/>
      <sz val="11"/>
      <color theme="1"/>
      <name val="Calibri"/>
      <family val="2"/>
      <scheme val="minor"/>
    </font>
    <font>
      <sz val="11"/>
      <color theme="1"/>
      <name val="Calibri"/>
      <family val="2"/>
    </font>
    <font>
      <vertAlign val="subscript"/>
      <sz val="11"/>
      <color theme="1"/>
      <name val="Calibri"/>
      <family val="2"/>
    </font>
    <font>
      <i/>
      <sz val="11"/>
      <color theme="1"/>
      <name val="Calibri"/>
      <family val="2"/>
      <scheme val="minor"/>
    </font>
    <font>
      <i/>
      <sz val="11"/>
      <color theme="1"/>
      <name val="Calibri"/>
      <family val="2"/>
    </font>
    <font>
      <sz val="9"/>
      <color indexed="81"/>
      <name val="Tahoma"/>
      <family val="2"/>
    </font>
    <font>
      <b/>
      <sz val="9"/>
      <color indexed="81"/>
      <name val="Tahoma"/>
      <family val="2"/>
    </font>
    <font>
      <i/>
      <sz val="11"/>
      <name val="Calibri"/>
      <family val="2"/>
    </font>
    <font>
      <sz val="11"/>
      <color theme="0"/>
      <name val="Calibri"/>
      <family val="2"/>
      <scheme val="minor"/>
    </font>
    <font>
      <sz val="9"/>
      <color indexed="81"/>
      <name val="Tahoma"/>
      <charset val="1"/>
    </font>
    <font>
      <sz val="8"/>
      <color theme="1"/>
      <name val="Calibri"/>
      <family val="2"/>
      <scheme val="minor"/>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4"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112">
    <xf numFmtId="0" fontId="0" fillId="0" borderId="0" xfId="0"/>
    <xf numFmtId="0" fontId="0" fillId="0" borderId="1" xfId="0" applyBorder="1"/>
    <xf numFmtId="0" fontId="3" fillId="0" borderId="1" xfId="0" applyFont="1" applyBorder="1"/>
    <xf numFmtId="164" fontId="0" fillId="0" borderId="1" xfId="0" applyNumberFormat="1" applyBorder="1"/>
    <xf numFmtId="2" fontId="0" fillId="0" borderId="1" xfId="0" applyNumberFormat="1" applyBorder="1"/>
    <xf numFmtId="0" fontId="0" fillId="0" borderId="2" xfId="0" applyBorder="1"/>
    <xf numFmtId="0" fontId="0" fillId="0" borderId="4" xfId="0" applyBorder="1"/>
    <xf numFmtId="0" fontId="3" fillId="0" borderId="5" xfId="0" applyFont="1" applyBorder="1"/>
    <xf numFmtId="0" fontId="0" fillId="0" borderId="7" xfId="0" applyBorder="1"/>
    <xf numFmtId="0" fontId="0" fillId="0" borderId="8" xfId="0" applyBorder="1"/>
    <xf numFmtId="0" fontId="5" fillId="0" borderId="9" xfId="0" applyFont="1" applyBorder="1"/>
    <xf numFmtId="0" fontId="5" fillId="0" borderId="3" xfId="0" applyFont="1" applyBorder="1"/>
    <xf numFmtId="0" fontId="6" fillId="0" borderId="3" xfId="0" applyFont="1" applyBorder="1"/>
    <xf numFmtId="0" fontId="5" fillId="0" borderId="6" xfId="0" applyFont="1" applyBorder="1"/>
    <xf numFmtId="0" fontId="0" fillId="2" borderId="8" xfId="0" applyFill="1" applyBorder="1"/>
    <xf numFmtId="0" fontId="0" fillId="2" borderId="1" xfId="0" applyFill="1" applyBorder="1"/>
    <xf numFmtId="2" fontId="0" fillId="3" borderId="5" xfId="0" applyNumberFormat="1" applyFill="1" applyBorder="1"/>
    <xf numFmtId="2" fontId="0" fillId="3" borderId="1" xfId="0" applyNumberFormat="1" applyFill="1" applyBorder="1"/>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2" fontId="0" fillId="0" borderId="8" xfId="0" applyNumberFormat="1" applyBorder="1"/>
    <xf numFmtId="166" fontId="0" fillId="0" borderId="9" xfId="0" applyNumberFormat="1" applyBorder="1"/>
    <xf numFmtId="165" fontId="0" fillId="0" borderId="1" xfId="0" applyNumberFormat="1" applyFill="1" applyBorder="1"/>
    <xf numFmtId="0" fontId="0" fillId="0" borderId="10" xfId="0" applyBorder="1"/>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2" fontId="0" fillId="0" borderId="11" xfId="0" applyNumberFormat="1" applyBorder="1"/>
    <xf numFmtId="166" fontId="0" fillId="0" borderId="12" xfId="0" applyNumberFormat="1" applyBorder="1"/>
    <xf numFmtId="2" fontId="0" fillId="0" borderId="16" xfId="0" applyNumberFormat="1" applyBorder="1"/>
    <xf numFmtId="166" fontId="0" fillId="0" borderId="17" xfId="0" applyNumberFormat="1" applyBorder="1"/>
    <xf numFmtId="0" fontId="1" fillId="0" borderId="0" xfId="0" applyFont="1"/>
    <xf numFmtId="0" fontId="5" fillId="0" borderId="3" xfId="0" applyFont="1" applyFill="1" applyBorder="1" applyAlignment="1">
      <alignment horizontal="center" vertical="center"/>
    </xf>
    <xf numFmtId="0" fontId="0" fillId="2" borderId="5" xfId="0" applyFill="1" applyBorder="1"/>
    <xf numFmtId="0" fontId="5"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9" xfId="0" applyFont="1" applyFill="1" applyBorder="1" applyAlignment="1">
      <alignment horizontal="center" vertical="center"/>
    </xf>
    <xf numFmtId="166" fontId="0" fillId="0" borderId="0" xfId="0" applyNumberFormat="1"/>
    <xf numFmtId="0" fontId="9" fillId="0" borderId="3" xfId="0" applyFont="1" applyBorder="1"/>
    <xf numFmtId="0" fontId="0" fillId="0" borderId="3" xfId="0" applyBorder="1"/>
    <xf numFmtId="0" fontId="0" fillId="0" borderId="6" xfId="0" applyBorder="1"/>
    <xf numFmtId="0" fontId="0" fillId="0" borderId="9" xfId="0" applyBorder="1"/>
    <xf numFmtId="0" fontId="1" fillId="0" borderId="18" xfId="0" applyFont="1" applyBorder="1" applyAlignment="1">
      <alignment horizontal="center" vertical="center"/>
    </xf>
    <xf numFmtId="0" fontId="1" fillId="0" borderId="17" xfId="0" applyFont="1" applyBorder="1" applyAlignment="1">
      <alignment horizontal="center" vertical="center"/>
    </xf>
    <xf numFmtId="0" fontId="1" fillId="0" borderId="22" xfId="0" applyFont="1" applyBorder="1" applyAlignment="1">
      <alignment horizontal="center" vertical="center"/>
    </xf>
    <xf numFmtId="0" fontId="0" fillId="0" borderId="23" xfId="0" applyBorder="1" applyAlignment="1">
      <alignment horizontal="right"/>
    </xf>
    <xf numFmtId="0" fontId="0" fillId="0" borderId="24" xfId="0" applyBorder="1" applyAlignment="1">
      <alignment horizontal="right"/>
    </xf>
    <xf numFmtId="0" fontId="0" fillId="0" borderId="25" xfId="0" applyBorder="1" applyAlignment="1">
      <alignment horizontal="right"/>
    </xf>
    <xf numFmtId="0" fontId="1" fillId="0" borderId="26" xfId="0" applyFont="1" applyBorder="1" applyAlignment="1">
      <alignment horizontal="center" vertical="center"/>
    </xf>
    <xf numFmtId="0" fontId="0" fillId="0" borderId="27" xfId="0" applyBorder="1"/>
    <xf numFmtId="0" fontId="0" fillId="0" borderId="28" xfId="0" applyBorder="1"/>
    <xf numFmtId="165" fontId="0" fillId="0" borderId="2" xfId="0" applyNumberFormat="1" applyBorder="1"/>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3" fillId="0" borderId="9" xfId="0" applyFont="1" applyBorder="1"/>
    <xf numFmtId="0" fontId="0" fillId="2" borderId="7" xfId="0" applyFill="1" applyBorder="1"/>
    <xf numFmtId="0" fontId="3" fillId="0" borderId="24" xfId="0" applyFont="1" applyBorder="1" applyAlignment="1">
      <alignment horizontal="right"/>
    </xf>
    <xf numFmtId="0" fontId="0" fillId="2" borderId="10" xfId="0" applyFill="1" applyBorder="1"/>
    <xf numFmtId="0" fontId="0" fillId="0" borderId="12" xfId="0" applyBorder="1"/>
    <xf numFmtId="164" fontId="0" fillId="0" borderId="2" xfId="0" applyNumberFormat="1" applyBorder="1"/>
    <xf numFmtId="2" fontId="0" fillId="4" borderId="7" xfId="0" applyNumberFormat="1" applyFill="1" applyBorder="1"/>
    <xf numFmtId="0" fontId="0" fillId="2" borderId="2" xfId="0" applyFill="1" applyBorder="1"/>
    <xf numFmtId="0" fontId="0" fillId="0" borderId="0" xfId="0" applyAlignment="1">
      <alignment horizontal="center" vertical="center"/>
    </xf>
    <xf numFmtId="0" fontId="0" fillId="4" borderId="31" xfId="0" applyFill="1" applyBorder="1" applyAlignment="1">
      <alignment horizontal="center" vertical="center"/>
    </xf>
    <xf numFmtId="0" fontId="0" fillId="3" borderId="32" xfId="0" applyFill="1" applyBorder="1" applyAlignment="1">
      <alignment horizontal="center" vertical="center"/>
    </xf>
    <xf numFmtId="0" fontId="0" fillId="2" borderId="33" xfId="0" applyFill="1" applyBorder="1" applyAlignment="1">
      <alignment horizontal="center" vertical="center"/>
    </xf>
    <xf numFmtId="0" fontId="1" fillId="0" borderId="30" xfId="0" applyFont="1" applyBorder="1" applyAlignment="1">
      <alignment horizontal="center" vertical="center"/>
    </xf>
    <xf numFmtId="168" fontId="0" fillId="0" borderId="28" xfId="0" applyNumberFormat="1" applyBorder="1"/>
    <xf numFmtId="166" fontId="0" fillId="0" borderId="28" xfId="0" applyNumberFormat="1" applyBorder="1"/>
    <xf numFmtId="166" fontId="0" fillId="0" borderId="29" xfId="0" applyNumberFormat="1" applyBorder="1"/>
    <xf numFmtId="2" fontId="0" fillId="0" borderId="27" xfId="0" applyNumberFormat="1" applyBorder="1"/>
    <xf numFmtId="2" fontId="0" fillId="0" borderId="28" xfId="0" applyNumberFormat="1" applyBorder="1"/>
    <xf numFmtId="169" fontId="0" fillId="0" borderId="27" xfId="0" applyNumberFormat="1" applyBorder="1"/>
    <xf numFmtId="169" fontId="0" fillId="2" borderId="7" xfId="0" applyNumberFormat="1" applyFill="1" applyBorder="1"/>
    <xf numFmtId="169" fontId="0" fillId="0" borderId="28" xfId="0" applyNumberFormat="1" applyBorder="1"/>
    <xf numFmtId="169" fontId="0" fillId="2" borderId="2" xfId="0" applyNumberFormat="1" applyFill="1" applyBorder="1"/>
    <xf numFmtId="168" fontId="0" fillId="0" borderId="2" xfId="0" applyNumberFormat="1" applyBorder="1"/>
    <xf numFmtId="169" fontId="0" fillId="4" borderId="2" xfId="0" applyNumberFormat="1" applyFill="1" applyBorder="1"/>
    <xf numFmtId="166" fontId="0" fillId="0" borderId="2" xfId="0" applyNumberFormat="1" applyBorder="1"/>
    <xf numFmtId="1" fontId="0" fillId="0" borderId="2" xfId="0" applyNumberFormat="1" applyBorder="1"/>
    <xf numFmtId="166" fontId="0" fillId="3" borderId="4" xfId="0" applyNumberFormat="1" applyFill="1" applyBorder="1"/>
    <xf numFmtId="0" fontId="0" fillId="0" borderId="34" xfId="0" applyBorder="1"/>
    <xf numFmtId="0" fontId="0" fillId="0" borderId="35" xfId="0" applyBorder="1" applyAlignment="1">
      <alignment horizontal="right"/>
    </xf>
    <xf numFmtId="1" fontId="0" fillId="0" borderId="34" xfId="0" applyNumberFormat="1" applyBorder="1"/>
    <xf numFmtId="0" fontId="0" fillId="0" borderId="36" xfId="0" applyBorder="1"/>
    <xf numFmtId="0" fontId="0" fillId="0" borderId="37" xfId="0"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7" xfId="0" applyFont="1" applyBorder="1" applyAlignment="1">
      <alignment horizontal="center"/>
    </xf>
    <xf numFmtId="0" fontId="1" fillId="0" borderId="9" xfId="0" applyFont="1" applyBorder="1" applyAlignment="1">
      <alignment horizontal="center"/>
    </xf>
    <xf numFmtId="0" fontId="1" fillId="0" borderId="13" xfId="0" applyFont="1" applyBorder="1"/>
    <xf numFmtId="0" fontId="0" fillId="0" borderId="15" xfId="0" applyBorder="1"/>
    <xf numFmtId="0" fontId="0" fillId="0" borderId="0" xfId="0" applyAlignment="1">
      <alignment wrapText="1"/>
    </xf>
    <xf numFmtId="0" fontId="0" fillId="0" borderId="34" xfId="0" applyBorder="1" applyAlignment="1">
      <alignment horizontal="center" vertical="center" wrapText="1"/>
    </xf>
    <xf numFmtId="0" fontId="10" fillId="0" borderId="36" xfId="0" applyFont="1" applyBorder="1" applyAlignment="1">
      <alignment horizontal="center" vertical="center" wrapText="1"/>
    </xf>
    <xf numFmtId="0" fontId="12" fillId="5" borderId="0" xfId="0" applyFont="1" applyFill="1" applyAlignment="1">
      <alignment horizontal="left" vertical="top" wrapText="1"/>
    </xf>
    <xf numFmtId="0" fontId="0" fillId="0" borderId="38" xfId="0" applyBorder="1" applyAlignment="1"/>
    <xf numFmtId="169" fontId="0" fillId="6" borderId="10" xfId="0" applyNumberFormat="1" applyFill="1" applyBorder="1"/>
    <xf numFmtId="0" fontId="3" fillId="0" borderId="12" xfId="0" applyFont="1" applyBorder="1"/>
    <xf numFmtId="166" fontId="0" fillId="0" borderId="39" xfId="0" applyNumberFormat="1" applyBorder="1"/>
    <xf numFmtId="0" fontId="0" fillId="0" borderId="40" xfId="0" applyBorder="1" applyAlignment="1">
      <alignment horizontal="left"/>
    </xf>
    <xf numFmtId="169" fontId="0" fillId="6" borderId="18" xfId="0" applyNumberFormat="1" applyFill="1" applyBorder="1"/>
    <xf numFmtId="0" fontId="3" fillId="0" borderId="17" xfId="0" applyFont="1" applyBorder="1"/>
    <xf numFmtId="0" fontId="0" fillId="0" borderId="0" xfId="0" applyFont="1" applyFill="1" applyBorder="1" applyAlignment="1">
      <alignment horizontal="center"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 Mach Index vs Valve Dia</a:t>
            </a:r>
            <a:r>
              <a:rPr lang="en-US" baseline="0"/>
              <a:t> (Varying Engine Speeds)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'Valve Sizing (Mach Index)'!$D$102</c:f>
              <c:strCache>
                <c:ptCount val="1"/>
                <c:pt idx="0">
                  <c:v>Mach Index (Speed @ Max Torque: 4250 rpm)</c:v>
                </c:pt>
              </c:strCache>
            </c:strRef>
          </c:tx>
          <c:spPr>
            <a:ln w="19050" cap="rnd">
              <a:solidFill>
                <a:schemeClr val="accent1"/>
              </a:solidFill>
              <a:round/>
            </a:ln>
            <a:effectLst/>
          </c:spPr>
          <c:marker>
            <c:symbol val="none"/>
          </c:marker>
          <c:xVal>
            <c:numRef>
              <c:f>'Valve Sizing (Mach Index)'!$C$103:$C$185</c:f>
              <c:numCache>
                <c:formatCode>General</c:formatCode>
                <c:ptCount val="83"/>
                <c:pt idx="0">
                  <c:v>46.46914698795181</c:v>
                </c:pt>
                <c:pt idx="1">
                  <c:v>46.748240963855423</c:v>
                </c:pt>
                <c:pt idx="2">
                  <c:v>47.027334939759037</c:v>
                </c:pt>
                <c:pt idx="3">
                  <c:v>47.30642891566265</c:v>
                </c:pt>
                <c:pt idx="4">
                  <c:v>47.585522891566264</c:v>
                </c:pt>
                <c:pt idx="5">
                  <c:v>47.864616867469877</c:v>
                </c:pt>
                <c:pt idx="6">
                  <c:v>48.143710843373491</c:v>
                </c:pt>
                <c:pt idx="7">
                  <c:v>48.422804819277111</c:v>
                </c:pt>
                <c:pt idx="8">
                  <c:v>48.701898795180718</c:v>
                </c:pt>
                <c:pt idx="9">
                  <c:v>48.980992771084338</c:v>
                </c:pt>
                <c:pt idx="10">
                  <c:v>49.260086746987952</c:v>
                </c:pt>
                <c:pt idx="11">
                  <c:v>49.539180722891565</c:v>
                </c:pt>
                <c:pt idx="12">
                  <c:v>49.818274698795179</c:v>
                </c:pt>
                <c:pt idx="13">
                  <c:v>50.097368674698799</c:v>
                </c:pt>
                <c:pt idx="14">
                  <c:v>50.376462650602406</c:v>
                </c:pt>
                <c:pt idx="15">
                  <c:v>50.655556626506026</c:v>
                </c:pt>
                <c:pt idx="16">
                  <c:v>50.934650602409633</c:v>
                </c:pt>
                <c:pt idx="17">
                  <c:v>51.213744578313253</c:v>
                </c:pt>
                <c:pt idx="18">
                  <c:v>51.492838554216867</c:v>
                </c:pt>
                <c:pt idx="19">
                  <c:v>51.77193253012048</c:v>
                </c:pt>
                <c:pt idx="20">
                  <c:v>52.051026506024094</c:v>
                </c:pt>
                <c:pt idx="21">
                  <c:v>52.330120481927715</c:v>
                </c:pt>
                <c:pt idx="22">
                  <c:v>52.609214457831328</c:v>
                </c:pt>
                <c:pt idx="23">
                  <c:v>52.888308433734942</c:v>
                </c:pt>
                <c:pt idx="24">
                  <c:v>53.167402409638555</c:v>
                </c:pt>
                <c:pt idx="25">
                  <c:v>53.446496385542162</c:v>
                </c:pt>
                <c:pt idx="26">
                  <c:v>53.725590361445782</c:v>
                </c:pt>
                <c:pt idx="27">
                  <c:v>54.004684337349396</c:v>
                </c:pt>
                <c:pt idx="28">
                  <c:v>54.283778313253009</c:v>
                </c:pt>
                <c:pt idx="29">
                  <c:v>54.562872289156623</c:v>
                </c:pt>
                <c:pt idx="30">
                  <c:v>54.841966265060243</c:v>
                </c:pt>
                <c:pt idx="31">
                  <c:v>55.12106024096385</c:v>
                </c:pt>
                <c:pt idx="32">
                  <c:v>55.40015421686747</c:v>
                </c:pt>
                <c:pt idx="33">
                  <c:v>55.679248192771084</c:v>
                </c:pt>
                <c:pt idx="34">
                  <c:v>55.958342168674697</c:v>
                </c:pt>
                <c:pt idx="35">
                  <c:v>56.237436144578311</c:v>
                </c:pt>
                <c:pt idx="36">
                  <c:v>56.516530120481931</c:v>
                </c:pt>
                <c:pt idx="37">
                  <c:v>56.795624096385538</c:v>
                </c:pt>
                <c:pt idx="38">
                  <c:v>57.074718072289158</c:v>
                </c:pt>
                <c:pt idx="39">
                  <c:v>57.353812048192772</c:v>
                </c:pt>
                <c:pt idx="40">
                  <c:v>57.632906024096386</c:v>
                </c:pt>
                <c:pt idx="41">
                  <c:v>57.911999999999999</c:v>
                </c:pt>
                <c:pt idx="42">
                  <c:v>58.191093975903613</c:v>
                </c:pt>
                <c:pt idx="43">
                  <c:v>58.470187951807233</c:v>
                </c:pt>
                <c:pt idx="44">
                  <c:v>58.74928192771084</c:v>
                </c:pt>
                <c:pt idx="45">
                  <c:v>59.028375903614453</c:v>
                </c:pt>
                <c:pt idx="46">
                  <c:v>59.307469879518074</c:v>
                </c:pt>
                <c:pt idx="47">
                  <c:v>59.586563855421687</c:v>
                </c:pt>
                <c:pt idx="48">
                  <c:v>59.865657831325294</c:v>
                </c:pt>
                <c:pt idx="49">
                  <c:v>60.144751807228921</c:v>
                </c:pt>
                <c:pt idx="50">
                  <c:v>60.423845783132528</c:v>
                </c:pt>
                <c:pt idx="51">
                  <c:v>60.702939759036141</c:v>
                </c:pt>
                <c:pt idx="52">
                  <c:v>60.982033734939762</c:v>
                </c:pt>
                <c:pt idx="53">
                  <c:v>61.261127710843375</c:v>
                </c:pt>
                <c:pt idx="54">
                  <c:v>61.540221686746982</c:v>
                </c:pt>
                <c:pt idx="55">
                  <c:v>61.81931566265061</c:v>
                </c:pt>
                <c:pt idx="56">
                  <c:v>62.098409638554216</c:v>
                </c:pt>
                <c:pt idx="57">
                  <c:v>62.377503614457829</c:v>
                </c:pt>
                <c:pt idx="58">
                  <c:v>62.65659759036145</c:v>
                </c:pt>
                <c:pt idx="59">
                  <c:v>62.935691566265056</c:v>
                </c:pt>
                <c:pt idx="60">
                  <c:v>63.21478554216867</c:v>
                </c:pt>
                <c:pt idx="61">
                  <c:v>63.493879518072291</c:v>
                </c:pt>
                <c:pt idx="62">
                  <c:v>63.772973493975904</c:v>
                </c:pt>
                <c:pt idx="63">
                  <c:v>64.052067469879518</c:v>
                </c:pt>
                <c:pt idx="64">
                  <c:v>64.331161445783138</c:v>
                </c:pt>
                <c:pt idx="65">
                  <c:v>64.610255421686745</c:v>
                </c:pt>
                <c:pt idx="66">
                  <c:v>64.889349397590351</c:v>
                </c:pt>
                <c:pt idx="67">
                  <c:v>65.168443373493986</c:v>
                </c:pt>
                <c:pt idx="68">
                  <c:v>65.447537349397592</c:v>
                </c:pt>
                <c:pt idx="69">
                  <c:v>65.726631325301199</c:v>
                </c:pt>
                <c:pt idx="70">
                  <c:v>66.005725301204819</c:v>
                </c:pt>
                <c:pt idx="71">
                  <c:v>66.28481927710844</c:v>
                </c:pt>
                <c:pt idx="72">
                  <c:v>66.563913253012046</c:v>
                </c:pt>
                <c:pt idx="73">
                  <c:v>66.843007228915667</c:v>
                </c:pt>
                <c:pt idx="74">
                  <c:v>67.122101204819273</c:v>
                </c:pt>
                <c:pt idx="75">
                  <c:v>67.401195180722894</c:v>
                </c:pt>
                <c:pt idx="76">
                  <c:v>67.680289156626515</c:v>
                </c:pt>
                <c:pt idx="77">
                  <c:v>67.959383132530121</c:v>
                </c:pt>
                <c:pt idx="78">
                  <c:v>68.238477108433727</c:v>
                </c:pt>
                <c:pt idx="79">
                  <c:v>68.517571084337348</c:v>
                </c:pt>
                <c:pt idx="80">
                  <c:v>68.796665060240969</c:v>
                </c:pt>
                <c:pt idx="81">
                  <c:v>69.075759036144575</c:v>
                </c:pt>
                <c:pt idx="82">
                  <c:v>69.354853012048181</c:v>
                </c:pt>
              </c:numCache>
            </c:numRef>
          </c:xVal>
          <c:yVal>
            <c:numRef>
              <c:f>'Valve Sizing (Mach Index)'!$D$103:$D$185</c:f>
              <c:numCache>
                <c:formatCode>General</c:formatCode>
                <c:ptCount val="83"/>
                <c:pt idx="0">
                  <c:v>0.30788176882713331</c:v>
                </c:pt>
                <c:pt idx="1">
                  <c:v>0.30421654233434603</c:v>
                </c:pt>
                <c:pt idx="2">
                  <c:v>0.30061637826759052</c:v>
                </c:pt>
                <c:pt idx="3">
                  <c:v>0.29707974576858881</c:v>
                </c:pt>
                <c:pt idx="4">
                  <c:v>0.29360515874022403</c:v>
                </c:pt>
                <c:pt idx="5">
                  <c:v>0.29019117428513624</c:v>
                </c:pt>
                <c:pt idx="6">
                  <c:v>0.28683639120749416</c:v>
                </c:pt>
                <c:pt idx="7">
                  <c:v>0.28353944857503993</c:v>
                </c:pt>
                <c:pt idx="8">
                  <c:v>0.28029902433865073</c:v>
                </c:pt>
                <c:pt idx="9">
                  <c:v>0.27711383400680178</c:v>
                </c:pt>
                <c:pt idx="10">
                  <c:v>0.27398262937245293</c:v>
                </c:pt>
                <c:pt idx="11">
                  <c:v>0.27090419728999798</c:v>
                </c:pt>
                <c:pt idx="12">
                  <c:v>0.26787735850004313</c:v>
                </c:pt>
                <c:pt idx="13">
                  <c:v>0.26490096649988737</c:v>
                </c:pt>
                <c:pt idx="14">
                  <c:v>0.2619739064576852</c:v>
                </c:pt>
                <c:pt idx="15">
                  <c:v>0.25909509416837034</c:v>
                </c:pt>
                <c:pt idx="16">
                  <c:v>0.25626347504951769</c:v>
                </c:pt>
                <c:pt idx="17">
                  <c:v>0.25347802317540402</c:v>
                </c:pt>
                <c:pt idx="18">
                  <c:v>0.25073774034761787</c:v>
                </c:pt>
                <c:pt idx="19">
                  <c:v>0.24804165520064506</c:v>
                </c:pt>
                <c:pt idx="20">
                  <c:v>0.24538882234093529</c:v>
                </c:pt>
                <c:pt idx="21">
                  <c:v>0.242778321518023</c:v>
                </c:pt>
                <c:pt idx="22">
                  <c:v>0.24020925682634775</c:v>
                </c:pt>
                <c:pt idx="23">
                  <c:v>0.23768075593648041</c:v>
                </c:pt>
                <c:pt idx="24">
                  <c:v>0.23519196935452352</c:v>
                </c:pt>
                <c:pt idx="25">
                  <c:v>0.23274206970851258</c:v>
                </c:pt>
                <c:pt idx="26">
                  <c:v>0.23033025106069815</c:v>
                </c:pt>
                <c:pt idx="27">
                  <c:v>0.22795572824464336</c:v>
                </c:pt>
                <c:pt idx="28">
                  <c:v>0.22561773622611528</c:v>
                </c:pt>
                <c:pt idx="29">
                  <c:v>0.22331552948680344</c:v>
                </c:pt>
                <c:pt idx="30">
                  <c:v>0.22104838142993469</c:v>
                </c:pt>
                <c:pt idx="31">
                  <c:v>0.21881558380690275</c:v>
                </c:pt>
                <c:pt idx="32">
                  <c:v>0.21661644616406414</c:v>
                </c:pt>
                <c:pt idx="33">
                  <c:v>0.21445029530889875</c:v>
                </c:pt>
                <c:pt idx="34">
                  <c:v>0.21231647479475868</c:v>
                </c:pt>
                <c:pt idx="35">
                  <c:v>0.21021434442347406</c:v>
                </c:pt>
                <c:pt idx="36">
                  <c:v>0.20814327976510885</c:v>
                </c:pt>
                <c:pt idx="37">
                  <c:v>0.20610267169419674</c:v>
                </c:pt>
                <c:pt idx="38">
                  <c:v>0.20409192594181041</c:v>
                </c:pt>
                <c:pt idx="39">
                  <c:v>0.2021104626628541</c:v>
                </c:pt>
                <c:pt idx="40">
                  <c:v>0.20015771601798682</c:v>
                </c:pt>
                <c:pt idx="41">
                  <c:v>0.19823313376961529</c:v>
                </c:pt>
                <c:pt idx="42">
                  <c:v>0.19633617689141919</c:v>
                </c:pt>
                <c:pt idx="43">
                  <c:v>0.19446631919089083</c:v>
                </c:pt>
                <c:pt idx="44">
                  <c:v>0.19262304694439772</c:v>
                </c:pt>
                <c:pt idx="45">
                  <c:v>0.19080585854429408</c:v>
                </c:pt>
                <c:pt idx="46">
                  <c:v>0.18901426415763037</c:v>
                </c:pt>
                <c:pt idx="47">
                  <c:v>0.1872477853960258</c:v>
                </c:pt>
                <c:pt idx="48">
                  <c:v>0.18550595499628883</c:v>
                </c:pt>
                <c:pt idx="49">
                  <c:v>0.18378831651138816</c:v>
                </c:pt>
                <c:pt idx="50">
                  <c:v>0.18209442401139264</c:v>
                </c:pt>
                <c:pt idx="51">
                  <c:v>0.18042384179401236</c:v>
                </c:pt>
                <c:pt idx="52">
                  <c:v>0.17877614410439385</c:v>
                </c:pt>
                <c:pt idx="53">
                  <c:v>0.17715091486382897</c:v>
                </c:pt>
                <c:pt idx="54">
                  <c:v>0.17554774740705772</c:v>
                </c:pt>
                <c:pt idx="55">
                  <c:v>0.17396624422785328</c:v>
                </c:pt>
                <c:pt idx="56">
                  <c:v>0.17240601673259434</c:v>
                </c:pt>
                <c:pt idx="57">
                  <c:v>0.1708666850015364</c:v>
                </c:pt>
                <c:pt idx="58">
                  <c:v>0.16934787755751204</c:v>
                </c:pt>
                <c:pt idx="59">
                  <c:v>0.16784923114179376</c:v>
                </c:pt>
                <c:pt idx="60">
                  <c:v>0.166370390496869</c:v>
                </c:pt>
                <c:pt idx="61">
                  <c:v>0.1649110081558845</c:v>
                </c:pt>
                <c:pt idx="62">
                  <c:v>0.16347074423852634</c:v>
                </c:pt>
                <c:pt idx="63">
                  <c:v>0.16204926625311247</c:v>
                </c:pt>
                <c:pt idx="64">
                  <c:v>0.16064624890468227</c:v>
                </c:pt>
                <c:pt idx="65">
                  <c:v>0.15926137390887668</c:v>
                </c:pt>
                <c:pt idx="66">
                  <c:v>0.15789432981140941</c:v>
                </c:pt>
                <c:pt idx="67">
                  <c:v>0.15654481181293867</c:v>
                </c:pt>
                <c:pt idx="68">
                  <c:v>0.15521252159915616</c:v>
                </c:pt>
                <c:pt idx="69">
                  <c:v>0.15389716717591423</c:v>
                </c:pt>
                <c:pt idx="70">
                  <c:v>0.15259846270922406</c:v>
                </c:pt>
                <c:pt idx="71">
                  <c:v>0.15131612836995895</c:v>
                </c:pt>
                <c:pt idx="72">
                  <c:v>0.15004989018310627</c:v>
                </c:pt>
                <c:pt idx="73">
                  <c:v>0.14879947988141606</c:v>
                </c:pt>
                <c:pt idx="74">
                  <c:v>0.14756463476330059</c:v>
                </c:pt>
                <c:pt idx="75">
                  <c:v>0.14634509755484393</c:v>
                </c:pt>
                <c:pt idx="76">
                  <c:v>0.14514061627578692</c:v>
                </c:pt>
                <c:pt idx="77">
                  <c:v>0.14395094410935658</c:v>
                </c:pt>
                <c:pt idx="78">
                  <c:v>0.14277583927581433</c:v>
                </c:pt>
                <c:pt idx="79">
                  <c:v>0.14161506490960293</c:v>
                </c:pt>
                <c:pt idx="80">
                  <c:v>0.14046838893997501</c:v>
                </c:pt>
                <c:pt idx="81">
                  <c:v>0.13933558397499027</c:v>
                </c:pt>
                <c:pt idx="82">
                  <c:v>0.1382164271887745</c:v>
                </c:pt>
              </c:numCache>
            </c:numRef>
          </c:yVal>
          <c:smooth val="1"/>
          <c:extLst>
            <c:ext xmlns:c16="http://schemas.microsoft.com/office/drawing/2014/chart" uri="{C3380CC4-5D6E-409C-BE32-E72D297353CC}">
              <c16:uniqueId val="{00000000-EDEB-4D83-BE38-FD53BF56286C}"/>
            </c:ext>
          </c:extLst>
        </c:ser>
        <c:ser>
          <c:idx val="1"/>
          <c:order val="1"/>
          <c:tx>
            <c:strRef>
              <c:f>'Valve Sizing (Mach Index)'!$E$102</c:f>
              <c:strCache>
                <c:ptCount val="1"/>
                <c:pt idx="0">
                  <c:v>Mach Index (Speed @ Max Torque: 6100 rpm)</c:v>
                </c:pt>
              </c:strCache>
            </c:strRef>
          </c:tx>
          <c:spPr>
            <a:ln w="19050" cap="rnd">
              <a:solidFill>
                <a:schemeClr val="accent2"/>
              </a:solidFill>
              <a:round/>
            </a:ln>
            <a:effectLst/>
          </c:spPr>
          <c:marker>
            <c:symbol val="none"/>
          </c:marker>
          <c:xVal>
            <c:numRef>
              <c:f>'Valve Sizing (Mach Index)'!$C$103:$C$185</c:f>
              <c:numCache>
                <c:formatCode>General</c:formatCode>
                <c:ptCount val="83"/>
                <c:pt idx="0">
                  <c:v>46.46914698795181</c:v>
                </c:pt>
                <c:pt idx="1">
                  <c:v>46.748240963855423</c:v>
                </c:pt>
                <c:pt idx="2">
                  <c:v>47.027334939759037</c:v>
                </c:pt>
                <c:pt idx="3">
                  <c:v>47.30642891566265</c:v>
                </c:pt>
                <c:pt idx="4">
                  <c:v>47.585522891566264</c:v>
                </c:pt>
                <c:pt idx="5">
                  <c:v>47.864616867469877</c:v>
                </c:pt>
                <c:pt idx="6">
                  <c:v>48.143710843373491</c:v>
                </c:pt>
                <c:pt idx="7">
                  <c:v>48.422804819277111</c:v>
                </c:pt>
                <c:pt idx="8">
                  <c:v>48.701898795180718</c:v>
                </c:pt>
                <c:pt idx="9">
                  <c:v>48.980992771084338</c:v>
                </c:pt>
                <c:pt idx="10">
                  <c:v>49.260086746987952</c:v>
                </c:pt>
                <c:pt idx="11">
                  <c:v>49.539180722891565</c:v>
                </c:pt>
                <c:pt idx="12">
                  <c:v>49.818274698795179</c:v>
                </c:pt>
                <c:pt idx="13">
                  <c:v>50.097368674698799</c:v>
                </c:pt>
                <c:pt idx="14">
                  <c:v>50.376462650602406</c:v>
                </c:pt>
                <c:pt idx="15">
                  <c:v>50.655556626506026</c:v>
                </c:pt>
                <c:pt idx="16">
                  <c:v>50.934650602409633</c:v>
                </c:pt>
                <c:pt idx="17">
                  <c:v>51.213744578313253</c:v>
                </c:pt>
                <c:pt idx="18">
                  <c:v>51.492838554216867</c:v>
                </c:pt>
                <c:pt idx="19">
                  <c:v>51.77193253012048</c:v>
                </c:pt>
                <c:pt idx="20">
                  <c:v>52.051026506024094</c:v>
                </c:pt>
                <c:pt idx="21">
                  <c:v>52.330120481927715</c:v>
                </c:pt>
                <c:pt idx="22">
                  <c:v>52.609214457831328</c:v>
                </c:pt>
                <c:pt idx="23">
                  <c:v>52.888308433734942</c:v>
                </c:pt>
                <c:pt idx="24">
                  <c:v>53.167402409638555</c:v>
                </c:pt>
                <c:pt idx="25">
                  <c:v>53.446496385542162</c:v>
                </c:pt>
                <c:pt idx="26">
                  <c:v>53.725590361445782</c:v>
                </c:pt>
                <c:pt idx="27">
                  <c:v>54.004684337349396</c:v>
                </c:pt>
                <c:pt idx="28">
                  <c:v>54.283778313253009</c:v>
                </c:pt>
                <c:pt idx="29">
                  <c:v>54.562872289156623</c:v>
                </c:pt>
                <c:pt idx="30">
                  <c:v>54.841966265060243</c:v>
                </c:pt>
                <c:pt idx="31">
                  <c:v>55.12106024096385</c:v>
                </c:pt>
                <c:pt idx="32">
                  <c:v>55.40015421686747</c:v>
                </c:pt>
                <c:pt idx="33">
                  <c:v>55.679248192771084</c:v>
                </c:pt>
                <c:pt idx="34">
                  <c:v>55.958342168674697</c:v>
                </c:pt>
                <c:pt idx="35">
                  <c:v>56.237436144578311</c:v>
                </c:pt>
                <c:pt idx="36">
                  <c:v>56.516530120481931</c:v>
                </c:pt>
                <c:pt idx="37">
                  <c:v>56.795624096385538</c:v>
                </c:pt>
                <c:pt idx="38">
                  <c:v>57.074718072289158</c:v>
                </c:pt>
                <c:pt idx="39">
                  <c:v>57.353812048192772</c:v>
                </c:pt>
                <c:pt idx="40">
                  <c:v>57.632906024096386</c:v>
                </c:pt>
                <c:pt idx="41">
                  <c:v>57.911999999999999</c:v>
                </c:pt>
                <c:pt idx="42">
                  <c:v>58.191093975903613</c:v>
                </c:pt>
                <c:pt idx="43">
                  <c:v>58.470187951807233</c:v>
                </c:pt>
                <c:pt idx="44">
                  <c:v>58.74928192771084</c:v>
                </c:pt>
                <c:pt idx="45">
                  <c:v>59.028375903614453</c:v>
                </c:pt>
                <c:pt idx="46">
                  <c:v>59.307469879518074</c:v>
                </c:pt>
                <c:pt idx="47">
                  <c:v>59.586563855421687</c:v>
                </c:pt>
                <c:pt idx="48">
                  <c:v>59.865657831325294</c:v>
                </c:pt>
                <c:pt idx="49">
                  <c:v>60.144751807228921</c:v>
                </c:pt>
                <c:pt idx="50">
                  <c:v>60.423845783132528</c:v>
                </c:pt>
                <c:pt idx="51">
                  <c:v>60.702939759036141</c:v>
                </c:pt>
                <c:pt idx="52">
                  <c:v>60.982033734939762</c:v>
                </c:pt>
                <c:pt idx="53">
                  <c:v>61.261127710843375</c:v>
                </c:pt>
                <c:pt idx="54">
                  <c:v>61.540221686746982</c:v>
                </c:pt>
                <c:pt idx="55">
                  <c:v>61.81931566265061</c:v>
                </c:pt>
                <c:pt idx="56">
                  <c:v>62.098409638554216</c:v>
                </c:pt>
                <c:pt idx="57">
                  <c:v>62.377503614457829</c:v>
                </c:pt>
                <c:pt idx="58">
                  <c:v>62.65659759036145</c:v>
                </c:pt>
                <c:pt idx="59">
                  <c:v>62.935691566265056</c:v>
                </c:pt>
                <c:pt idx="60">
                  <c:v>63.21478554216867</c:v>
                </c:pt>
                <c:pt idx="61">
                  <c:v>63.493879518072291</c:v>
                </c:pt>
                <c:pt idx="62">
                  <c:v>63.772973493975904</c:v>
                </c:pt>
                <c:pt idx="63">
                  <c:v>64.052067469879518</c:v>
                </c:pt>
                <c:pt idx="64">
                  <c:v>64.331161445783138</c:v>
                </c:pt>
                <c:pt idx="65">
                  <c:v>64.610255421686745</c:v>
                </c:pt>
                <c:pt idx="66">
                  <c:v>64.889349397590351</c:v>
                </c:pt>
                <c:pt idx="67">
                  <c:v>65.168443373493986</c:v>
                </c:pt>
                <c:pt idx="68">
                  <c:v>65.447537349397592</c:v>
                </c:pt>
                <c:pt idx="69">
                  <c:v>65.726631325301199</c:v>
                </c:pt>
                <c:pt idx="70">
                  <c:v>66.005725301204819</c:v>
                </c:pt>
                <c:pt idx="71">
                  <c:v>66.28481927710844</c:v>
                </c:pt>
                <c:pt idx="72">
                  <c:v>66.563913253012046</c:v>
                </c:pt>
                <c:pt idx="73">
                  <c:v>66.843007228915667</c:v>
                </c:pt>
                <c:pt idx="74">
                  <c:v>67.122101204819273</c:v>
                </c:pt>
                <c:pt idx="75">
                  <c:v>67.401195180722894</c:v>
                </c:pt>
                <c:pt idx="76">
                  <c:v>67.680289156626515</c:v>
                </c:pt>
                <c:pt idx="77">
                  <c:v>67.959383132530121</c:v>
                </c:pt>
                <c:pt idx="78">
                  <c:v>68.238477108433727</c:v>
                </c:pt>
                <c:pt idx="79">
                  <c:v>68.517571084337348</c:v>
                </c:pt>
                <c:pt idx="80">
                  <c:v>68.796665060240969</c:v>
                </c:pt>
                <c:pt idx="81">
                  <c:v>69.075759036144575</c:v>
                </c:pt>
                <c:pt idx="82">
                  <c:v>69.354853012048181</c:v>
                </c:pt>
              </c:numCache>
            </c:numRef>
          </c:xVal>
          <c:yVal>
            <c:numRef>
              <c:f>'Valve Sizing (Mach Index)'!$E$103:$E$185</c:f>
              <c:numCache>
                <c:formatCode>General</c:formatCode>
                <c:ptCount val="83"/>
                <c:pt idx="0">
                  <c:v>0.44190089172835612</c:v>
                </c:pt>
                <c:pt idx="1">
                  <c:v>0.43664021370341444</c:v>
                </c:pt>
                <c:pt idx="2">
                  <c:v>0.43147291939583593</c:v>
                </c:pt>
                <c:pt idx="3">
                  <c:v>0.42639681157373932</c:v>
                </c:pt>
                <c:pt idx="4">
                  <c:v>0.42140975725067459</c:v>
                </c:pt>
                <c:pt idx="5">
                  <c:v>0.41650968544454858</c:v>
                </c:pt>
                <c:pt idx="6">
                  <c:v>0.411694585027227</c:v>
                </c:pt>
                <c:pt idx="7">
                  <c:v>0.40696250266064565</c:v>
                </c:pt>
                <c:pt idx="8">
                  <c:v>0.40231154081547527</c:v>
                </c:pt>
                <c:pt idx="9">
                  <c:v>0.39773985586858623</c:v>
                </c:pt>
                <c:pt idx="10">
                  <c:v>0.39324565627575603</c:v>
                </c:pt>
                <c:pt idx="11">
                  <c:v>0.38882720081623245</c:v>
                </c:pt>
                <c:pt idx="12">
                  <c:v>0.38448279690594439</c:v>
                </c:pt>
                <c:pt idx="13">
                  <c:v>0.38021079897630899</c:v>
                </c:pt>
                <c:pt idx="14">
                  <c:v>0.37600960691573654</c:v>
                </c:pt>
                <c:pt idx="15">
                  <c:v>0.37187766457107285</c:v>
                </c:pt>
                <c:pt idx="16">
                  <c:v>0.36781345830636664</c:v>
                </c:pt>
                <c:pt idx="17">
                  <c:v>0.3638155156164623</c:v>
                </c:pt>
                <c:pt idx="18">
                  <c:v>0.35988240379305159</c:v>
                </c:pt>
                <c:pt idx="19">
                  <c:v>0.35601272864092592</c:v>
                </c:pt>
                <c:pt idx="20">
                  <c:v>0.3522051332422837</c:v>
                </c:pt>
                <c:pt idx="21">
                  <c:v>0.34845829676704487</c:v>
                </c:pt>
                <c:pt idx="22">
                  <c:v>0.34477093332722863</c:v>
                </c:pt>
                <c:pt idx="23">
                  <c:v>0.34114179087353669</c:v>
                </c:pt>
                <c:pt idx="24">
                  <c:v>0.337569650132375</c:v>
                </c:pt>
                <c:pt idx="25">
                  <c:v>0.33405332358162987</c:v>
                </c:pt>
                <c:pt idx="26">
                  <c:v>0.3305916544635904</c:v>
                </c:pt>
                <c:pt idx="27">
                  <c:v>0.3271835158334882</c:v>
                </c:pt>
                <c:pt idx="28">
                  <c:v>0.32382780964218905</c:v>
                </c:pt>
                <c:pt idx="29">
                  <c:v>0.32052346585164737</c:v>
                </c:pt>
                <c:pt idx="30">
                  <c:v>0.31726944158178866</c:v>
                </c:pt>
                <c:pt idx="31">
                  <c:v>0.31406472028755461</c:v>
                </c:pt>
                <c:pt idx="32">
                  <c:v>0.31090831096489213</c:v>
                </c:pt>
                <c:pt idx="33">
                  <c:v>0.30779924738453712</c:v>
                </c:pt>
                <c:pt idx="34">
                  <c:v>0.30473658735247722</c:v>
                </c:pt>
                <c:pt idx="35">
                  <c:v>0.30171941199604518</c:v>
                </c:pt>
                <c:pt idx="36">
                  <c:v>0.29874682507462691</c:v>
                </c:pt>
                <c:pt idx="37">
                  <c:v>0.29581795231402364</c:v>
                </c:pt>
                <c:pt idx="38">
                  <c:v>0.29293194076353973</c:v>
                </c:pt>
                <c:pt idx="39">
                  <c:v>0.29008795817492006</c:v>
                </c:pt>
                <c:pt idx="40">
                  <c:v>0.287285192402287</c:v>
                </c:pt>
                <c:pt idx="41">
                  <c:v>0.28452285082227141</c:v>
                </c:pt>
                <c:pt idx="42">
                  <c:v>0.28180015977356643</c:v>
                </c:pt>
                <c:pt idx="43">
                  <c:v>0.27911636401516104</c:v>
                </c:pt>
                <c:pt idx="44">
                  <c:v>0.27647072620254742</c:v>
                </c:pt>
                <c:pt idx="45">
                  <c:v>0.27386252638122216</c:v>
                </c:pt>
                <c:pt idx="46">
                  <c:v>0.27129106149683424</c:v>
                </c:pt>
                <c:pt idx="47">
                  <c:v>0.26875564492135473</c:v>
                </c:pt>
                <c:pt idx="48">
                  <c:v>0.26625560599467346</c:v>
                </c:pt>
                <c:pt idx="49">
                  <c:v>0.26379028958105133</c:v>
                </c:pt>
                <c:pt idx="50">
                  <c:v>0.26135905563988127</c:v>
                </c:pt>
                <c:pt idx="51">
                  <c:v>0.25896127881022957</c:v>
                </c:pt>
                <c:pt idx="52">
                  <c:v>0.25659634800865949</c:v>
                </c:pt>
                <c:pt idx="53">
                  <c:v>0.25426366603984868</c:v>
                </c:pt>
                <c:pt idx="54">
                  <c:v>0.25196264921954176</c:v>
                </c:pt>
                <c:pt idx="55">
                  <c:v>0.24969272700938949</c:v>
                </c:pt>
                <c:pt idx="56">
                  <c:v>0.24745334166325311</c:v>
                </c:pt>
                <c:pt idx="57">
                  <c:v>0.24524394788455819</c:v>
                </c:pt>
                <c:pt idx="58">
                  <c:v>0.24306401249431148</c:v>
                </c:pt>
                <c:pt idx="59">
                  <c:v>0.24091301410939817</c:v>
                </c:pt>
                <c:pt idx="60">
                  <c:v>0.23879044283080028</c:v>
                </c:pt>
                <c:pt idx="61">
                  <c:v>0.23669579994138723</c:v>
                </c:pt>
                <c:pt idx="62">
                  <c:v>0.23462859761294375</c:v>
                </c:pt>
                <c:pt idx="63">
                  <c:v>0.23258835862211444</c:v>
                </c:pt>
                <c:pt idx="64">
                  <c:v>0.2305746160749558</c:v>
                </c:pt>
                <c:pt idx="65">
                  <c:v>0.22858691313979954</c:v>
                </c:pt>
                <c:pt idx="66">
                  <c:v>0.22662480278814059</c:v>
                </c:pt>
                <c:pt idx="67">
                  <c:v>0.22468784754327673</c:v>
                </c:pt>
                <c:pt idx="68">
                  <c:v>0.22277561923643596</c:v>
                </c:pt>
                <c:pt idx="69">
                  <c:v>0.22088769877013578</c:v>
                </c:pt>
                <c:pt idx="70">
                  <c:v>0.21902367588853341</c:v>
                </c:pt>
                <c:pt idx="71">
                  <c:v>0.21718314895452936</c:v>
                </c:pt>
                <c:pt idx="72">
                  <c:v>0.21536572473339965</c:v>
                </c:pt>
                <c:pt idx="73">
                  <c:v>0.21357101818273838</c:v>
                </c:pt>
                <c:pt idx="74">
                  <c:v>0.21179865224850208</c:v>
                </c:pt>
                <c:pt idx="75">
                  <c:v>0.21004825766695254</c:v>
                </c:pt>
                <c:pt idx="76">
                  <c:v>0.20831947277230597</c:v>
                </c:pt>
                <c:pt idx="77">
                  <c:v>0.20661194330990007</c:v>
                </c:pt>
                <c:pt idx="78">
                  <c:v>0.20492532225469828</c:v>
                </c:pt>
                <c:pt idx="79">
                  <c:v>0.20325926963495958</c:v>
                </c:pt>
                <c:pt idx="80">
                  <c:v>0.20161345236090539</c:v>
                </c:pt>
                <c:pt idx="81">
                  <c:v>0.19998754405822139</c:v>
                </c:pt>
                <c:pt idx="82">
                  <c:v>0.19838122490624108</c:v>
                </c:pt>
              </c:numCache>
            </c:numRef>
          </c:yVal>
          <c:smooth val="1"/>
          <c:extLst>
            <c:ext xmlns:c16="http://schemas.microsoft.com/office/drawing/2014/chart" uri="{C3380CC4-5D6E-409C-BE32-E72D297353CC}">
              <c16:uniqueId val="{00000001-EDEB-4D83-BE38-FD53BF56286C}"/>
            </c:ext>
          </c:extLst>
        </c:ser>
        <c:ser>
          <c:idx val="2"/>
          <c:order val="2"/>
          <c:tx>
            <c:strRef>
              <c:f>'Valve Sizing (Mach Index)'!$F$102</c:f>
              <c:strCache>
                <c:ptCount val="1"/>
                <c:pt idx="0">
                  <c:v>Mach Index (Speed @ Max Torque: 7200 rpm)</c:v>
                </c:pt>
              </c:strCache>
            </c:strRef>
          </c:tx>
          <c:spPr>
            <a:ln w="19050" cap="rnd">
              <a:solidFill>
                <a:schemeClr val="accent3"/>
              </a:solidFill>
              <a:round/>
            </a:ln>
            <a:effectLst/>
          </c:spPr>
          <c:marker>
            <c:symbol val="none"/>
          </c:marker>
          <c:xVal>
            <c:numRef>
              <c:f>'Valve Sizing (Mach Index)'!$C$103:$C$185</c:f>
              <c:numCache>
                <c:formatCode>General</c:formatCode>
                <c:ptCount val="83"/>
                <c:pt idx="0">
                  <c:v>46.46914698795181</c:v>
                </c:pt>
                <c:pt idx="1">
                  <c:v>46.748240963855423</c:v>
                </c:pt>
                <c:pt idx="2">
                  <c:v>47.027334939759037</c:v>
                </c:pt>
                <c:pt idx="3">
                  <c:v>47.30642891566265</c:v>
                </c:pt>
                <c:pt idx="4">
                  <c:v>47.585522891566264</c:v>
                </c:pt>
                <c:pt idx="5">
                  <c:v>47.864616867469877</c:v>
                </c:pt>
                <c:pt idx="6">
                  <c:v>48.143710843373491</c:v>
                </c:pt>
                <c:pt idx="7">
                  <c:v>48.422804819277111</c:v>
                </c:pt>
                <c:pt idx="8">
                  <c:v>48.701898795180718</c:v>
                </c:pt>
                <c:pt idx="9">
                  <c:v>48.980992771084338</c:v>
                </c:pt>
                <c:pt idx="10">
                  <c:v>49.260086746987952</c:v>
                </c:pt>
                <c:pt idx="11">
                  <c:v>49.539180722891565</c:v>
                </c:pt>
                <c:pt idx="12">
                  <c:v>49.818274698795179</c:v>
                </c:pt>
                <c:pt idx="13">
                  <c:v>50.097368674698799</c:v>
                </c:pt>
                <c:pt idx="14">
                  <c:v>50.376462650602406</c:v>
                </c:pt>
                <c:pt idx="15">
                  <c:v>50.655556626506026</c:v>
                </c:pt>
                <c:pt idx="16">
                  <c:v>50.934650602409633</c:v>
                </c:pt>
                <c:pt idx="17">
                  <c:v>51.213744578313253</c:v>
                </c:pt>
                <c:pt idx="18">
                  <c:v>51.492838554216867</c:v>
                </c:pt>
                <c:pt idx="19">
                  <c:v>51.77193253012048</c:v>
                </c:pt>
                <c:pt idx="20">
                  <c:v>52.051026506024094</c:v>
                </c:pt>
                <c:pt idx="21">
                  <c:v>52.330120481927715</c:v>
                </c:pt>
                <c:pt idx="22">
                  <c:v>52.609214457831328</c:v>
                </c:pt>
                <c:pt idx="23">
                  <c:v>52.888308433734942</c:v>
                </c:pt>
                <c:pt idx="24">
                  <c:v>53.167402409638555</c:v>
                </c:pt>
                <c:pt idx="25">
                  <c:v>53.446496385542162</c:v>
                </c:pt>
                <c:pt idx="26">
                  <c:v>53.725590361445782</c:v>
                </c:pt>
                <c:pt idx="27">
                  <c:v>54.004684337349396</c:v>
                </c:pt>
                <c:pt idx="28">
                  <c:v>54.283778313253009</c:v>
                </c:pt>
                <c:pt idx="29">
                  <c:v>54.562872289156623</c:v>
                </c:pt>
                <c:pt idx="30">
                  <c:v>54.841966265060243</c:v>
                </c:pt>
                <c:pt idx="31">
                  <c:v>55.12106024096385</c:v>
                </c:pt>
                <c:pt idx="32">
                  <c:v>55.40015421686747</c:v>
                </c:pt>
                <c:pt idx="33">
                  <c:v>55.679248192771084</c:v>
                </c:pt>
                <c:pt idx="34">
                  <c:v>55.958342168674697</c:v>
                </c:pt>
                <c:pt idx="35">
                  <c:v>56.237436144578311</c:v>
                </c:pt>
                <c:pt idx="36">
                  <c:v>56.516530120481931</c:v>
                </c:pt>
                <c:pt idx="37">
                  <c:v>56.795624096385538</c:v>
                </c:pt>
                <c:pt idx="38">
                  <c:v>57.074718072289158</c:v>
                </c:pt>
                <c:pt idx="39">
                  <c:v>57.353812048192772</c:v>
                </c:pt>
                <c:pt idx="40">
                  <c:v>57.632906024096386</c:v>
                </c:pt>
                <c:pt idx="41">
                  <c:v>57.911999999999999</c:v>
                </c:pt>
                <c:pt idx="42">
                  <c:v>58.191093975903613</c:v>
                </c:pt>
                <c:pt idx="43">
                  <c:v>58.470187951807233</c:v>
                </c:pt>
                <c:pt idx="44">
                  <c:v>58.74928192771084</c:v>
                </c:pt>
                <c:pt idx="45">
                  <c:v>59.028375903614453</c:v>
                </c:pt>
                <c:pt idx="46">
                  <c:v>59.307469879518074</c:v>
                </c:pt>
                <c:pt idx="47">
                  <c:v>59.586563855421687</c:v>
                </c:pt>
                <c:pt idx="48">
                  <c:v>59.865657831325294</c:v>
                </c:pt>
                <c:pt idx="49">
                  <c:v>60.144751807228921</c:v>
                </c:pt>
                <c:pt idx="50">
                  <c:v>60.423845783132528</c:v>
                </c:pt>
                <c:pt idx="51">
                  <c:v>60.702939759036141</c:v>
                </c:pt>
                <c:pt idx="52">
                  <c:v>60.982033734939762</c:v>
                </c:pt>
                <c:pt idx="53">
                  <c:v>61.261127710843375</c:v>
                </c:pt>
                <c:pt idx="54">
                  <c:v>61.540221686746982</c:v>
                </c:pt>
                <c:pt idx="55">
                  <c:v>61.81931566265061</c:v>
                </c:pt>
                <c:pt idx="56">
                  <c:v>62.098409638554216</c:v>
                </c:pt>
                <c:pt idx="57">
                  <c:v>62.377503614457829</c:v>
                </c:pt>
                <c:pt idx="58">
                  <c:v>62.65659759036145</c:v>
                </c:pt>
                <c:pt idx="59">
                  <c:v>62.935691566265056</c:v>
                </c:pt>
                <c:pt idx="60">
                  <c:v>63.21478554216867</c:v>
                </c:pt>
                <c:pt idx="61">
                  <c:v>63.493879518072291</c:v>
                </c:pt>
                <c:pt idx="62">
                  <c:v>63.772973493975904</c:v>
                </c:pt>
                <c:pt idx="63">
                  <c:v>64.052067469879518</c:v>
                </c:pt>
                <c:pt idx="64">
                  <c:v>64.331161445783138</c:v>
                </c:pt>
                <c:pt idx="65">
                  <c:v>64.610255421686745</c:v>
                </c:pt>
                <c:pt idx="66">
                  <c:v>64.889349397590351</c:v>
                </c:pt>
                <c:pt idx="67">
                  <c:v>65.168443373493986</c:v>
                </c:pt>
                <c:pt idx="68">
                  <c:v>65.447537349397592</c:v>
                </c:pt>
                <c:pt idx="69">
                  <c:v>65.726631325301199</c:v>
                </c:pt>
                <c:pt idx="70">
                  <c:v>66.005725301204819</c:v>
                </c:pt>
                <c:pt idx="71">
                  <c:v>66.28481927710844</c:v>
                </c:pt>
                <c:pt idx="72">
                  <c:v>66.563913253012046</c:v>
                </c:pt>
                <c:pt idx="73">
                  <c:v>66.843007228915667</c:v>
                </c:pt>
                <c:pt idx="74">
                  <c:v>67.122101204819273</c:v>
                </c:pt>
                <c:pt idx="75">
                  <c:v>67.401195180722894</c:v>
                </c:pt>
                <c:pt idx="76">
                  <c:v>67.680289156626515</c:v>
                </c:pt>
                <c:pt idx="77">
                  <c:v>67.959383132530121</c:v>
                </c:pt>
                <c:pt idx="78">
                  <c:v>68.238477108433727</c:v>
                </c:pt>
                <c:pt idx="79">
                  <c:v>68.517571084337348</c:v>
                </c:pt>
                <c:pt idx="80">
                  <c:v>68.796665060240969</c:v>
                </c:pt>
                <c:pt idx="81">
                  <c:v>69.075759036144575</c:v>
                </c:pt>
                <c:pt idx="82">
                  <c:v>69.354853012048181</c:v>
                </c:pt>
              </c:numCache>
            </c:numRef>
          </c:xVal>
          <c:yVal>
            <c:numRef>
              <c:f>'Valve Sizing (Mach Index)'!$F$103:$F$185</c:f>
              <c:numCache>
                <c:formatCode>General</c:formatCode>
                <c:ptCount val="83"/>
                <c:pt idx="0">
                  <c:v>0.52158793777773182</c:v>
                </c:pt>
                <c:pt idx="1">
                  <c:v>0.51537861289583342</c:v>
                </c:pt>
                <c:pt idx="2">
                  <c:v>0.50927951141803585</c:v>
                </c:pt>
                <c:pt idx="3">
                  <c:v>0.50328803989031523</c:v>
                </c:pt>
                <c:pt idx="4">
                  <c:v>0.49740168068932078</c:v>
                </c:pt>
                <c:pt idx="5">
                  <c:v>0.49161798937717205</c:v>
                </c:pt>
                <c:pt idx="6">
                  <c:v>0.48593459216328427</c:v>
                </c:pt>
                <c:pt idx="7">
                  <c:v>0.48034918346830302</c:v>
                </c:pt>
                <c:pt idx="8">
                  <c:v>0.47485952358547895</c:v>
                </c:pt>
                <c:pt idx="9">
                  <c:v>0.46946343643505256</c:v>
                </c:pt>
                <c:pt idx="10">
                  <c:v>0.46415880740744969</c:v>
                </c:pt>
                <c:pt idx="11">
                  <c:v>0.45894358129129076</c:v>
                </c:pt>
                <c:pt idx="12">
                  <c:v>0.45381576028242609</c:v>
                </c:pt>
                <c:pt idx="13">
                  <c:v>0.44877340207039745</c:v>
                </c:pt>
                <c:pt idx="14">
                  <c:v>0.44381461799890209</c:v>
                </c:pt>
                <c:pt idx="15">
                  <c:v>0.43893757129700395</c:v>
                </c:pt>
                <c:pt idx="16">
                  <c:v>0.43414047537800649</c:v>
                </c:pt>
                <c:pt idx="17">
                  <c:v>0.42942159220303744</c:v>
                </c:pt>
                <c:pt idx="18">
                  <c:v>0.42477923070655266</c:v>
                </c:pt>
                <c:pt idx="19">
                  <c:v>0.4202117452810929</c:v>
                </c:pt>
                <c:pt idx="20">
                  <c:v>0.41571753431876102</c:v>
                </c:pt>
                <c:pt idx="21">
                  <c:v>0.41129503880700374</c:v>
                </c:pt>
                <c:pt idx="22">
                  <c:v>0.40694274097640099</c:v>
                </c:pt>
                <c:pt idx="23">
                  <c:v>0.40265916299827281</c:v>
                </c:pt>
                <c:pt idx="24">
                  <c:v>0.39844286573001636</c:v>
                </c:pt>
                <c:pt idx="25">
                  <c:v>0.39429244750618608</c:v>
                </c:pt>
                <c:pt idx="26">
                  <c:v>0.39020654297341811</c:v>
                </c:pt>
                <c:pt idx="27">
                  <c:v>0.38618382196739587</c:v>
                </c:pt>
                <c:pt idx="28">
                  <c:v>0.38222298843012475</c:v>
                </c:pt>
                <c:pt idx="29">
                  <c:v>0.37832277936587883</c:v>
                </c:pt>
                <c:pt idx="30">
                  <c:v>0.37448196383424232</c:v>
                </c:pt>
                <c:pt idx="31">
                  <c:v>0.37069934197875298</c:v>
                </c:pt>
                <c:pt idx="32">
                  <c:v>0.36697374408970873</c:v>
                </c:pt>
                <c:pt idx="33">
                  <c:v>0.36330402969978148</c:v>
                </c:pt>
                <c:pt idx="34">
                  <c:v>0.35968908671112065</c:v>
                </c:pt>
                <c:pt idx="35">
                  <c:v>0.35612783055270908</c:v>
                </c:pt>
                <c:pt idx="36">
                  <c:v>0.35261920336677272</c:v>
                </c:pt>
                <c:pt idx="37">
                  <c:v>0.34916217322310983</c:v>
                </c:pt>
                <c:pt idx="38">
                  <c:v>0.34575573336024357</c:v>
                </c:pt>
                <c:pt idx="39">
                  <c:v>0.34239890145236468</c:v>
                </c:pt>
                <c:pt idx="40">
                  <c:v>0.33909071890106007</c:v>
                </c:pt>
                <c:pt idx="41">
                  <c:v>0.3358302501508777</c:v>
                </c:pt>
                <c:pt idx="42">
                  <c:v>0.33261658202781613</c:v>
                </c:pt>
                <c:pt idx="43">
                  <c:v>0.32944882309986218</c:v>
                </c:pt>
                <c:pt idx="44">
                  <c:v>0.32632610305874443</c:v>
                </c:pt>
                <c:pt idx="45">
                  <c:v>0.32324757212209826</c:v>
                </c:pt>
                <c:pt idx="46">
                  <c:v>0.32021240045527971</c:v>
                </c:pt>
                <c:pt idx="47">
                  <c:v>0.3172197776120908</c:v>
                </c:pt>
                <c:pt idx="48">
                  <c:v>0.31426891199371293</c:v>
                </c:pt>
                <c:pt idx="49">
                  <c:v>0.31135903032517531</c:v>
                </c:pt>
                <c:pt idx="50">
                  <c:v>0.30848937714871227</c:v>
                </c:pt>
                <c:pt idx="51">
                  <c:v>0.30565921433338572</c:v>
                </c:pt>
                <c:pt idx="52">
                  <c:v>0.30286782060038492</c:v>
                </c:pt>
                <c:pt idx="53">
                  <c:v>0.30011449106342791</c:v>
                </c:pt>
                <c:pt idx="54">
                  <c:v>0.29739853678372136</c:v>
                </c:pt>
                <c:pt idx="55">
                  <c:v>0.2947192843389515</c:v>
                </c:pt>
                <c:pt idx="56">
                  <c:v>0.29207607540580693</c:v>
                </c:pt>
                <c:pt idx="57">
                  <c:v>0.28946826635554407</c:v>
                </c:pt>
                <c:pt idx="58">
                  <c:v>0.28689522786213811</c:v>
                </c:pt>
                <c:pt idx="59">
                  <c:v>0.28435634452256831</c:v>
                </c:pt>
                <c:pt idx="60">
                  <c:v>0.28185101448881344</c:v>
                </c:pt>
                <c:pt idx="61">
                  <c:v>0.27937864911114557</c:v>
                </c:pt>
                <c:pt idx="62">
                  <c:v>0.27693867259232702</c:v>
                </c:pt>
                <c:pt idx="63">
                  <c:v>0.27453052165233177</c:v>
                </c:pt>
                <c:pt idx="64">
                  <c:v>0.27215364520322649</c:v>
                </c:pt>
                <c:pt idx="65">
                  <c:v>0.26980750403386172</c:v>
                </c:pt>
                <c:pt idx="66">
                  <c:v>0.26749157050403477</c:v>
                </c:pt>
                <c:pt idx="67">
                  <c:v>0.26520532824780202</c:v>
                </c:pt>
                <c:pt idx="68">
                  <c:v>0.2629482718856293</c:v>
                </c:pt>
                <c:pt idx="69">
                  <c:v>0.26071990674507828</c:v>
                </c:pt>
                <c:pt idx="70">
                  <c:v>0.25851974858974436</c:v>
                </c:pt>
                <c:pt idx="71">
                  <c:v>0.25634732335616578</c:v>
                </c:pt>
                <c:pt idx="72">
                  <c:v>0.25420216689843894</c:v>
                </c:pt>
                <c:pt idx="73">
                  <c:v>0.25208382474028135</c:v>
                </c:pt>
                <c:pt idx="74">
                  <c:v>0.24999185183429753</c:v>
                </c:pt>
                <c:pt idx="75">
                  <c:v>0.24792581232820624</c:v>
                </c:pt>
                <c:pt idx="76">
                  <c:v>0.24588527933780374</c:v>
                </c:pt>
                <c:pt idx="77">
                  <c:v>0.24386983472643942</c:v>
                </c:pt>
                <c:pt idx="78">
                  <c:v>0.24187906889079139</c:v>
                </c:pt>
                <c:pt idx="79">
                  <c:v>0.23991258055273915</c:v>
                </c:pt>
                <c:pt idx="80">
                  <c:v>0.2379699765571342</c:v>
                </c:pt>
                <c:pt idx="81">
                  <c:v>0.23605087167527769</c:v>
                </c:pt>
                <c:pt idx="82">
                  <c:v>0.23415488841392387</c:v>
                </c:pt>
              </c:numCache>
            </c:numRef>
          </c:yVal>
          <c:smooth val="1"/>
          <c:extLst>
            <c:ext xmlns:c16="http://schemas.microsoft.com/office/drawing/2014/chart" uri="{C3380CC4-5D6E-409C-BE32-E72D297353CC}">
              <c16:uniqueId val="{00000002-EDEB-4D83-BE38-FD53BF56286C}"/>
            </c:ext>
          </c:extLst>
        </c:ser>
        <c:dLbls>
          <c:showLegendKey val="0"/>
          <c:showVal val="0"/>
          <c:showCatName val="0"/>
          <c:showSerName val="0"/>
          <c:showPercent val="0"/>
          <c:showBubbleSize val="0"/>
        </c:dLbls>
        <c:axId val="848323152"/>
        <c:axId val="848323808"/>
      </c:scatterChart>
      <c:valAx>
        <c:axId val="848323152"/>
        <c:scaling>
          <c:orientation val="minMax"/>
          <c:min val="1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Valve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323808"/>
        <c:crosses val="autoZero"/>
        <c:crossBetween val="midCat"/>
        <c:majorUnit val="5"/>
      </c:valAx>
      <c:valAx>
        <c:axId val="848323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Mach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3231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'Pulse Wave Tuning'!$C$502</c:f>
          <c:strCache>
            <c:ptCount val="1"/>
            <c:pt idx="0">
              <c:v>Intake Runner Length Target-Using desired port length as starting point: 80 mm. Temperature of port also affects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'Pulse Wave Tuning'!$B$506:$B$646</c:f>
              <c:numCache>
                <c:formatCode>General</c:formatCode>
                <c:ptCount val="141"/>
                <c:pt idx="0">
                  <c:v>1000</c:v>
                </c:pt>
                <c:pt idx="1">
                  <c:v>1050</c:v>
                </c:pt>
                <c:pt idx="2">
                  <c:v>1100</c:v>
                </c:pt>
                <c:pt idx="3">
                  <c:v>1150</c:v>
                </c:pt>
                <c:pt idx="4">
                  <c:v>1200</c:v>
                </c:pt>
                <c:pt idx="5">
                  <c:v>1250</c:v>
                </c:pt>
                <c:pt idx="6">
                  <c:v>1300</c:v>
                </c:pt>
                <c:pt idx="7">
                  <c:v>1350</c:v>
                </c:pt>
                <c:pt idx="8">
                  <c:v>1400</c:v>
                </c:pt>
                <c:pt idx="9">
                  <c:v>1450</c:v>
                </c:pt>
                <c:pt idx="10">
                  <c:v>1500</c:v>
                </c:pt>
                <c:pt idx="11">
                  <c:v>1550</c:v>
                </c:pt>
                <c:pt idx="12">
                  <c:v>1600</c:v>
                </c:pt>
                <c:pt idx="13">
                  <c:v>1650</c:v>
                </c:pt>
                <c:pt idx="14">
                  <c:v>1700</c:v>
                </c:pt>
                <c:pt idx="15">
                  <c:v>1750</c:v>
                </c:pt>
                <c:pt idx="16">
                  <c:v>1800</c:v>
                </c:pt>
                <c:pt idx="17">
                  <c:v>1850</c:v>
                </c:pt>
                <c:pt idx="18">
                  <c:v>1900</c:v>
                </c:pt>
                <c:pt idx="19">
                  <c:v>1950</c:v>
                </c:pt>
                <c:pt idx="20">
                  <c:v>2000</c:v>
                </c:pt>
                <c:pt idx="21">
                  <c:v>2050</c:v>
                </c:pt>
                <c:pt idx="22">
                  <c:v>2100</c:v>
                </c:pt>
                <c:pt idx="23">
                  <c:v>2150</c:v>
                </c:pt>
                <c:pt idx="24">
                  <c:v>2200</c:v>
                </c:pt>
                <c:pt idx="25">
                  <c:v>2250</c:v>
                </c:pt>
                <c:pt idx="26">
                  <c:v>2300</c:v>
                </c:pt>
                <c:pt idx="27">
                  <c:v>2350</c:v>
                </c:pt>
                <c:pt idx="28">
                  <c:v>2400</c:v>
                </c:pt>
                <c:pt idx="29">
                  <c:v>2450</c:v>
                </c:pt>
                <c:pt idx="30">
                  <c:v>2500</c:v>
                </c:pt>
                <c:pt idx="31">
                  <c:v>2550</c:v>
                </c:pt>
                <c:pt idx="32">
                  <c:v>2600</c:v>
                </c:pt>
                <c:pt idx="33">
                  <c:v>2650</c:v>
                </c:pt>
                <c:pt idx="34">
                  <c:v>2700</c:v>
                </c:pt>
                <c:pt idx="35">
                  <c:v>2750</c:v>
                </c:pt>
                <c:pt idx="36">
                  <c:v>2800</c:v>
                </c:pt>
                <c:pt idx="37">
                  <c:v>2850</c:v>
                </c:pt>
                <c:pt idx="38">
                  <c:v>2900</c:v>
                </c:pt>
                <c:pt idx="39">
                  <c:v>2950</c:v>
                </c:pt>
                <c:pt idx="40">
                  <c:v>3000</c:v>
                </c:pt>
                <c:pt idx="41">
                  <c:v>3050</c:v>
                </c:pt>
                <c:pt idx="42">
                  <c:v>3100</c:v>
                </c:pt>
                <c:pt idx="43">
                  <c:v>3150</c:v>
                </c:pt>
                <c:pt idx="44">
                  <c:v>3200</c:v>
                </c:pt>
                <c:pt idx="45">
                  <c:v>3250</c:v>
                </c:pt>
                <c:pt idx="46">
                  <c:v>3300</c:v>
                </c:pt>
                <c:pt idx="47">
                  <c:v>3350</c:v>
                </c:pt>
                <c:pt idx="48">
                  <c:v>3400</c:v>
                </c:pt>
                <c:pt idx="49">
                  <c:v>3450</c:v>
                </c:pt>
                <c:pt idx="50">
                  <c:v>3500</c:v>
                </c:pt>
                <c:pt idx="51">
                  <c:v>3550</c:v>
                </c:pt>
                <c:pt idx="52">
                  <c:v>3600</c:v>
                </c:pt>
                <c:pt idx="53">
                  <c:v>3650</c:v>
                </c:pt>
                <c:pt idx="54">
                  <c:v>3700</c:v>
                </c:pt>
                <c:pt idx="55">
                  <c:v>3750</c:v>
                </c:pt>
                <c:pt idx="56">
                  <c:v>3800</c:v>
                </c:pt>
                <c:pt idx="57">
                  <c:v>3850</c:v>
                </c:pt>
                <c:pt idx="58">
                  <c:v>3900</c:v>
                </c:pt>
                <c:pt idx="59">
                  <c:v>3950</c:v>
                </c:pt>
                <c:pt idx="60">
                  <c:v>4000</c:v>
                </c:pt>
                <c:pt idx="61">
                  <c:v>4050</c:v>
                </c:pt>
                <c:pt idx="62">
                  <c:v>4100</c:v>
                </c:pt>
                <c:pt idx="63">
                  <c:v>4150</c:v>
                </c:pt>
                <c:pt idx="64">
                  <c:v>4200</c:v>
                </c:pt>
                <c:pt idx="65">
                  <c:v>4250</c:v>
                </c:pt>
                <c:pt idx="66">
                  <c:v>4300</c:v>
                </c:pt>
                <c:pt idx="67">
                  <c:v>4350</c:v>
                </c:pt>
                <c:pt idx="68">
                  <c:v>4400</c:v>
                </c:pt>
                <c:pt idx="69">
                  <c:v>4450</c:v>
                </c:pt>
                <c:pt idx="70">
                  <c:v>4500</c:v>
                </c:pt>
                <c:pt idx="71">
                  <c:v>4550</c:v>
                </c:pt>
                <c:pt idx="72">
                  <c:v>4600</c:v>
                </c:pt>
                <c:pt idx="73">
                  <c:v>4650</c:v>
                </c:pt>
                <c:pt idx="74">
                  <c:v>4700</c:v>
                </c:pt>
                <c:pt idx="75">
                  <c:v>4750</c:v>
                </c:pt>
                <c:pt idx="76">
                  <c:v>4800</c:v>
                </c:pt>
                <c:pt idx="77">
                  <c:v>4850</c:v>
                </c:pt>
                <c:pt idx="78">
                  <c:v>4900</c:v>
                </c:pt>
                <c:pt idx="79">
                  <c:v>4950</c:v>
                </c:pt>
                <c:pt idx="80">
                  <c:v>5000</c:v>
                </c:pt>
                <c:pt idx="81">
                  <c:v>5050</c:v>
                </c:pt>
                <c:pt idx="82">
                  <c:v>5100</c:v>
                </c:pt>
                <c:pt idx="83">
                  <c:v>5150</c:v>
                </c:pt>
                <c:pt idx="84">
                  <c:v>5200</c:v>
                </c:pt>
                <c:pt idx="85">
                  <c:v>5250</c:v>
                </c:pt>
                <c:pt idx="86">
                  <c:v>5300</c:v>
                </c:pt>
                <c:pt idx="87">
                  <c:v>5350</c:v>
                </c:pt>
                <c:pt idx="88">
                  <c:v>5400</c:v>
                </c:pt>
                <c:pt idx="89">
                  <c:v>5450</c:v>
                </c:pt>
                <c:pt idx="90">
                  <c:v>5500</c:v>
                </c:pt>
                <c:pt idx="91">
                  <c:v>5550</c:v>
                </c:pt>
                <c:pt idx="92">
                  <c:v>5600</c:v>
                </c:pt>
                <c:pt idx="93">
                  <c:v>5650</c:v>
                </c:pt>
                <c:pt idx="94">
                  <c:v>5700</c:v>
                </c:pt>
                <c:pt idx="95">
                  <c:v>5750</c:v>
                </c:pt>
                <c:pt idx="96">
                  <c:v>5800</c:v>
                </c:pt>
                <c:pt idx="97">
                  <c:v>5850</c:v>
                </c:pt>
                <c:pt idx="98">
                  <c:v>5900</c:v>
                </c:pt>
                <c:pt idx="99">
                  <c:v>5950</c:v>
                </c:pt>
                <c:pt idx="100">
                  <c:v>6000</c:v>
                </c:pt>
                <c:pt idx="101">
                  <c:v>6050</c:v>
                </c:pt>
                <c:pt idx="102">
                  <c:v>6100</c:v>
                </c:pt>
                <c:pt idx="103">
                  <c:v>6150</c:v>
                </c:pt>
                <c:pt idx="104">
                  <c:v>6200</c:v>
                </c:pt>
                <c:pt idx="105">
                  <c:v>6250</c:v>
                </c:pt>
                <c:pt idx="106">
                  <c:v>6300</c:v>
                </c:pt>
                <c:pt idx="107">
                  <c:v>6350</c:v>
                </c:pt>
                <c:pt idx="108">
                  <c:v>6400</c:v>
                </c:pt>
                <c:pt idx="109">
                  <c:v>6450</c:v>
                </c:pt>
                <c:pt idx="110">
                  <c:v>6500</c:v>
                </c:pt>
                <c:pt idx="111">
                  <c:v>6550</c:v>
                </c:pt>
                <c:pt idx="112">
                  <c:v>6600</c:v>
                </c:pt>
                <c:pt idx="113">
                  <c:v>6650</c:v>
                </c:pt>
                <c:pt idx="114">
                  <c:v>6700</c:v>
                </c:pt>
                <c:pt idx="115">
                  <c:v>6750</c:v>
                </c:pt>
                <c:pt idx="116">
                  <c:v>6800</c:v>
                </c:pt>
                <c:pt idx="117">
                  <c:v>6850</c:v>
                </c:pt>
                <c:pt idx="118">
                  <c:v>6900</c:v>
                </c:pt>
                <c:pt idx="119">
                  <c:v>6950</c:v>
                </c:pt>
                <c:pt idx="120">
                  <c:v>7000</c:v>
                </c:pt>
                <c:pt idx="121">
                  <c:v>7050</c:v>
                </c:pt>
                <c:pt idx="122">
                  <c:v>7100</c:v>
                </c:pt>
                <c:pt idx="123">
                  <c:v>7150</c:v>
                </c:pt>
                <c:pt idx="124">
                  <c:v>7200</c:v>
                </c:pt>
                <c:pt idx="125">
                  <c:v>7250</c:v>
                </c:pt>
                <c:pt idx="126">
                  <c:v>7300</c:v>
                </c:pt>
                <c:pt idx="127">
                  <c:v>7350</c:v>
                </c:pt>
                <c:pt idx="128">
                  <c:v>7400</c:v>
                </c:pt>
                <c:pt idx="129">
                  <c:v>7450</c:v>
                </c:pt>
                <c:pt idx="130">
                  <c:v>7500</c:v>
                </c:pt>
                <c:pt idx="131">
                  <c:v>7550</c:v>
                </c:pt>
                <c:pt idx="132">
                  <c:v>7600</c:v>
                </c:pt>
                <c:pt idx="133">
                  <c:v>7650</c:v>
                </c:pt>
                <c:pt idx="134">
                  <c:v>7700</c:v>
                </c:pt>
                <c:pt idx="135">
                  <c:v>7750</c:v>
                </c:pt>
                <c:pt idx="136">
                  <c:v>7800</c:v>
                </c:pt>
                <c:pt idx="137">
                  <c:v>7850</c:v>
                </c:pt>
                <c:pt idx="138">
                  <c:v>7900</c:v>
                </c:pt>
                <c:pt idx="139">
                  <c:v>7950</c:v>
                </c:pt>
                <c:pt idx="140">
                  <c:v>8000</c:v>
                </c:pt>
              </c:numCache>
            </c:numRef>
          </c:xVal>
          <c:yVal>
            <c:numRef>
              <c:f>'Pulse Wave Tuning'!$C$506:$C$646</c:f>
              <c:numCache>
                <c:formatCode>General</c:formatCode>
                <c:ptCount val="141"/>
                <c:pt idx="0">
                  <c:v>79.870688866145798</c:v>
                </c:pt>
                <c:pt idx="1">
                  <c:v>79.800688262406851</c:v>
                </c:pt>
                <c:pt idx="2">
                  <c:v>80.104913760181432</c:v>
                </c:pt>
                <c:pt idx="3">
                  <c:v>80.246109260346259</c:v>
                </c:pt>
                <c:pt idx="4">
                  <c:v>80.151923686097035</c:v>
                </c:pt>
                <c:pt idx="5">
                  <c:v>79.754089320355831</c:v>
                </c:pt>
                <c:pt idx="6">
                  <c:v>80.198988820381288</c:v>
                </c:pt>
                <c:pt idx="7">
                  <c:v>80.293285103532838</c:v>
                </c:pt>
                <c:pt idx="8">
                  <c:v>79.96421426294458</c:v>
                </c:pt>
                <c:pt idx="9">
                  <c:v>79.824008159619723</c:v>
                </c:pt>
                <c:pt idx="10">
                  <c:v>79.870688866145827</c:v>
                </c:pt>
                <c:pt idx="11">
                  <c:v>80.104913760181446</c:v>
                </c:pt>
                <c:pt idx="12">
                  <c:v>79.77738198662928</c:v>
                </c:pt>
                <c:pt idx="13">
                  <c:v>80.364152963288817</c:v>
                </c:pt>
                <c:pt idx="14">
                  <c:v>80.34051644771138</c:v>
                </c:pt>
                <c:pt idx="15">
                  <c:v>79.637829714932565</c:v>
                </c:pt>
                <c:pt idx="16">
                  <c:v>79.870688866145827</c:v>
                </c:pt>
                <c:pt idx="17">
                  <c:v>80.246109260346273</c:v>
                </c:pt>
                <c:pt idx="18">
                  <c:v>79.870688866145812</c:v>
                </c:pt>
                <c:pt idx="19">
                  <c:v>79.591420723257201</c:v>
                </c:pt>
                <c:pt idx="20">
                  <c:v>80.340516447711366</c:v>
                </c:pt>
                <c:pt idx="21">
                  <c:v>80.26969025043158</c:v>
                </c:pt>
                <c:pt idx="22">
                  <c:v>80.293285103532824</c:v>
                </c:pt>
                <c:pt idx="23">
                  <c:v>80.411467742778527</c:v>
                </c:pt>
                <c:pt idx="24">
                  <c:v>79.591420723257187</c:v>
                </c:pt>
                <c:pt idx="25">
                  <c:v>79.870688866145827</c:v>
                </c:pt>
                <c:pt idx="26">
                  <c:v>80.246109260346259</c:v>
                </c:pt>
                <c:pt idx="27">
                  <c:v>79.614618455907532</c:v>
                </c:pt>
                <c:pt idx="28">
                  <c:v>80.151923686097035</c:v>
                </c:pt>
                <c:pt idx="29">
                  <c:v>79.637829714932565</c:v>
                </c:pt>
                <c:pt idx="30">
                  <c:v>80.34051644771138</c:v>
                </c:pt>
                <c:pt idx="31">
                  <c:v>79.940812385782465</c:v>
                </c:pt>
                <c:pt idx="32">
                  <c:v>79.591420723257187</c:v>
                </c:pt>
                <c:pt idx="33">
                  <c:v>80.529998797823907</c:v>
                </c:pt>
                <c:pt idx="34">
                  <c:v>80.293285103532838</c:v>
                </c:pt>
                <c:pt idx="35">
                  <c:v>80.104913760181418</c:v>
                </c:pt>
                <c:pt idx="36">
                  <c:v>79.96421426294458</c:v>
                </c:pt>
                <c:pt idx="37">
                  <c:v>79.870688866145812</c:v>
                </c:pt>
                <c:pt idx="38">
                  <c:v>79.824008159619723</c:v>
                </c:pt>
                <c:pt idx="39">
                  <c:v>79.824008159619723</c:v>
                </c:pt>
                <c:pt idx="40">
                  <c:v>79.870688866145827</c:v>
                </c:pt>
                <c:pt idx="41">
                  <c:v>79.96421426294458</c:v>
                </c:pt>
                <c:pt idx="42">
                  <c:v>80.104913760181446</c:v>
                </c:pt>
                <c:pt idx="43">
                  <c:v>80.293285103532824</c:v>
                </c:pt>
                <c:pt idx="44">
                  <c:v>80.529998797823893</c:v>
                </c:pt>
                <c:pt idx="45">
                  <c:v>79.291075739395836</c:v>
                </c:pt>
                <c:pt idx="46">
                  <c:v>79.591420723257201</c:v>
                </c:pt>
                <c:pt idx="47">
                  <c:v>79.940812385782465</c:v>
                </c:pt>
                <c:pt idx="48">
                  <c:v>80.34051644771138</c:v>
                </c:pt>
                <c:pt idx="49">
                  <c:v>80.792001160076509</c:v>
                </c:pt>
                <c:pt idx="50">
                  <c:v>79.637829714932565</c:v>
                </c:pt>
                <c:pt idx="51">
                  <c:v>80.151923686097049</c:v>
                </c:pt>
                <c:pt idx="52">
                  <c:v>80.720377045572903</c:v>
                </c:pt>
                <c:pt idx="53">
                  <c:v>79.614618455907504</c:v>
                </c:pt>
                <c:pt idx="54">
                  <c:v>80.246109260346273</c:v>
                </c:pt>
                <c:pt idx="55">
                  <c:v>79.176161136874967</c:v>
                </c:pt>
                <c:pt idx="56">
                  <c:v>79.870688866145812</c:v>
                </c:pt>
                <c:pt idx="57">
                  <c:v>80.62507553784495</c:v>
                </c:pt>
                <c:pt idx="58">
                  <c:v>79.591420723257201</c:v>
                </c:pt>
                <c:pt idx="59">
                  <c:v>80.411467742778541</c:v>
                </c:pt>
                <c:pt idx="60">
                  <c:v>79.406324395993792</c:v>
                </c:pt>
                <c:pt idx="61">
                  <c:v>80.293285103532824</c:v>
                </c:pt>
                <c:pt idx="62">
                  <c:v>79.314098699831206</c:v>
                </c:pt>
                <c:pt idx="63">
                  <c:v>80.26969025043158</c:v>
                </c:pt>
                <c:pt idx="64">
                  <c:v>79.314098699831206</c:v>
                </c:pt>
                <c:pt idx="65">
                  <c:v>80.34051644771138</c:v>
                </c:pt>
                <c:pt idx="66">
                  <c:v>79.406324395993792</c:v>
                </c:pt>
                <c:pt idx="67">
                  <c:v>80.506264639616461</c:v>
                </c:pt>
                <c:pt idx="68">
                  <c:v>79.591420723257187</c:v>
                </c:pt>
                <c:pt idx="69">
                  <c:v>80.768112336551937</c:v>
                </c:pt>
                <c:pt idx="70">
                  <c:v>79.870688866145827</c:v>
                </c:pt>
                <c:pt idx="71">
                  <c:v>78.992988988495867</c:v>
                </c:pt>
                <c:pt idx="72">
                  <c:v>80.246109260346259</c:v>
                </c:pt>
                <c:pt idx="73">
                  <c:v>79.383247870450077</c:v>
                </c:pt>
                <c:pt idx="74">
                  <c:v>80.720377045572903</c:v>
                </c:pt>
                <c:pt idx="75">
                  <c:v>79.870688866145812</c:v>
                </c:pt>
                <c:pt idx="76">
                  <c:v>79.038702523790136</c:v>
                </c:pt>
                <c:pt idx="77">
                  <c:v>80.458838268694748</c:v>
                </c:pt>
                <c:pt idx="78">
                  <c:v>79.637829714932565</c:v>
                </c:pt>
                <c:pt idx="79">
                  <c:v>81.152036815870076</c:v>
                </c:pt>
                <c:pt idx="80">
                  <c:v>80.34051644771138</c:v>
                </c:pt>
                <c:pt idx="81">
                  <c:v>79.54506578981325</c:v>
                </c:pt>
                <c:pt idx="82">
                  <c:v>81.152036815870076</c:v>
                </c:pt>
                <c:pt idx="83">
                  <c:v>80.364152963288831</c:v>
                </c:pt>
                <c:pt idx="84">
                  <c:v>79.591420723257187</c:v>
                </c:pt>
                <c:pt idx="85">
                  <c:v>78.833407192559505</c:v>
                </c:pt>
                <c:pt idx="86">
                  <c:v>80.529998797823907</c:v>
                </c:pt>
                <c:pt idx="87">
                  <c:v>79.77738198662928</c:v>
                </c:pt>
                <c:pt idx="88">
                  <c:v>79.038702523790136</c:v>
                </c:pt>
                <c:pt idx="89">
                  <c:v>80.839821225871177</c:v>
                </c:pt>
                <c:pt idx="90">
                  <c:v>80.104913760181418</c:v>
                </c:pt>
                <c:pt idx="91">
                  <c:v>79.383247870450063</c:v>
                </c:pt>
                <c:pt idx="92">
                  <c:v>81.296951167326995</c:v>
                </c:pt>
                <c:pt idx="93">
                  <c:v>80.577509121598425</c:v>
                </c:pt>
                <c:pt idx="94">
                  <c:v>79.870688866145812</c:v>
                </c:pt>
                <c:pt idx="95">
                  <c:v>79.176161136874981</c:v>
                </c:pt>
                <c:pt idx="96">
                  <c:v>81.200284162371787</c:v>
                </c:pt>
                <c:pt idx="97">
                  <c:v>80.506264639616461</c:v>
                </c:pt>
                <c:pt idx="98">
                  <c:v>79.824008159619723</c:v>
                </c:pt>
                <c:pt idx="99">
                  <c:v>79.153218175085101</c:v>
                </c:pt>
                <c:pt idx="100">
                  <c:v>81.296951167327009</c:v>
                </c:pt>
                <c:pt idx="101">
                  <c:v>80.625075537844964</c:v>
                </c:pt>
                <c:pt idx="102">
                  <c:v>79.96421426294458</c:v>
                </c:pt>
                <c:pt idx="103">
                  <c:v>79.314098699831206</c:v>
                </c:pt>
                <c:pt idx="104">
                  <c:v>78.674468871606777</c:v>
                </c:pt>
                <c:pt idx="105">
                  <c:v>80.935631384361088</c:v>
                </c:pt>
                <c:pt idx="106">
                  <c:v>80.293285103532824</c:v>
                </c:pt>
                <c:pt idx="107">
                  <c:v>79.66105451216643</c:v>
                </c:pt>
                <c:pt idx="108">
                  <c:v>79.038702523790121</c:v>
                </c:pt>
                <c:pt idx="109">
                  <c:v>81.442383995891078</c:v>
                </c:pt>
                <c:pt idx="110">
                  <c:v>80.815904118999612</c:v>
                </c:pt>
                <c:pt idx="111">
                  <c:v>80.198988820381288</c:v>
                </c:pt>
                <c:pt idx="112">
                  <c:v>79.591420723257201</c:v>
                </c:pt>
                <c:pt idx="113">
                  <c:v>78.992988988495867</c:v>
                </c:pt>
                <c:pt idx="114">
                  <c:v>81.539628633498111</c:v>
                </c:pt>
                <c:pt idx="115">
                  <c:v>80.935631384361088</c:v>
                </c:pt>
                <c:pt idx="116">
                  <c:v>80.34051644771138</c:v>
                </c:pt>
                <c:pt idx="117">
                  <c:v>79.754089320355803</c:v>
                </c:pt>
                <c:pt idx="118">
                  <c:v>79.176161136874981</c:v>
                </c:pt>
                <c:pt idx="119">
                  <c:v>78.606548466825515</c:v>
                </c:pt>
                <c:pt idx="120">
                  <c:v>81.296951167326995</c:v>
                </c:pt>
                <c:pt idx="121">
                  <c:v>80.720377045572903</c:v>
                </c:pt>
                <c:pt idx="122">
                  <c:v>80.151923686097049</c:v>
                </c:pt>
                <c:pt idx="123">
                  <c:v>79.591420723257187</c:v>
                </c:pt>
                <c:pt idx="124">
                  <c:v>79.038702523790136</c:v>
                </c:pt>
                <c:pt idx="125">
                  <c:v>78.493608023626066</c:v>
                </c:pt>
                <c:pt idx="126">
                  <c:v>81.345371031035924</c:v>
                </c:pt>
                <c:pt idx="127">
                  <c:v>80.792001160076509</c:v>
                </c:pt>
                <c:pt idx="128">
                  <c:v>80.246109260346273</c:v>
                </c:pt>
                <c:pt idx="129">
                  <c:v>79.707544768666068</c:v>
                </c:pt>
                <c:pt idx="130">
                  <c:v>79.176161136874967</c:v>
                </c:pt>
                <c:pt idx="131">
                  <c:v>78.651815698882444</c:v>
                </c:pt>
                <c:pt idx="132">
                  <c:v>81.685931794921856</c:v>
                </c:pt>
                <c:pt idx="133">
                  <c:v>81.152036815870076</c:v>
                </c:pt>
                <c:pt idx="134">
                  <c:v>80.62507553784495</c:v>
                </c:pt>
                <c:pt idx="135">
                  <c:v>80.104913760181446</c:v>
                </c:pt>
                <c:pt idx="136">
                  <c:v>79.591420723257201</c:v>
                </c:pt>
                <c:pt idx="137">
                  <c:v>79.084468998905223</c:v>
                </c:pt>
                <c:pt idx="138">
                  <c:v>78.583934384988126</c:v>
                </c:pt>
                <c:pt idx="139">
                  <c:v>81.808252746995706</c:v>
                </c:pt>
                <c:pt idx="140">
                  <c:v>81.296951167326981</c:v>
                </c:pt>
              </c:numCache>
            </c:numRef>
          </c:yVal>
          <c:smooth val="1"/>
          <c:extLst>
            <c:ext xmlns:c16="http://schemas.microsoft.com/office/drawing/2014/chart" uri="{C3380CC4-5D6E-409C-BE32-E72D297353CC}">
              <c16:uniqueId val="{00000000-B89B-49D9-B971-7A9F0AE30485}"/>
            </c:ext>
          </c:extLst>
        </c:ser>
        <c:dLbls>
          <c:showLegendKey val="0"/>
          <c:showVal val="0"/>
          <c:showCatName val="0"/>
          <c:showSerName val="0"/>
          <c:showPercent val="0"/>
          <c:showBubbleSize val="0"/>
        </c:dLbls>
        <c:axId val="733984088"/>
        <c:axId val="733986384"/>
      </c:scatterChart>
      <c:valAx>
        <c:axId val="733984088"/>
        <c:scaling>
          <c:orientation val="minMax"/>
          <c:max val="8000"/>
          <c:min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986384"/>
        <c:crosses val="autoZero"/>
        <c:crossBetween val="midCat"/>
      </c:valAx>
      <c:valAx>
        <c:axId val="733986384"/>
        <c:scaling>
          <c:orientation val="minMax"/>
          <c:max val="83"/>
          <c:min val="7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984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19050</xdr:colOff>
      <xdr:row>5</xdr:row>
      <xdr:rowOff>114300</xdr:rowOff>
    </xdr:from>
    <xdr:to>
      <xdr:col>17</xdr:col>
      <xdr:colOff>28575</xdr:colOff>
      <xdr:row>24</xdr:row>
      <xdr:rowOff>19050</xdr:rowOff>
    </xdr:to>
    <xdr:graphicFrame macro="">
      <xdr:nvGraphicFramePr>
        <xdr:cNvPr id="4" name="Chart 3">
          <a:extLst>
            <a:ext uri="{FF2B5EF4-FFF2-40B4-BE49-F238E27FC236}">
              <a16:creationId xmlns:a16="http://schemas.microsoft.com/office/drawing/2014/main" id="{464709F9-E9CF-4936-9089-89CA76C5B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28574</xdr:colOff>
      <xdr:row>24</xdr:row>
      <xdr:rowOff>71437</xdr:rowOff>
    </xdr:from>
    <xdr:to>
      <xdr:col>6</xdr:col>
      <xdr:colOff>581024</xdr:colOff>
      <xdr:row>38</xdr:row>
      <xdr:rowOff>104775</xdr:rowOff>
    </xdr:to>
    <xdr:graphicFrame macro="">
      <xdr:nvGraphicFramePr>
        <xdr:cNvPr id="3" name="Chart 2">
          <a:extLst>
            <a:ext uri="{FF2B5EF4-FFF2-40B4-BE49-F238E27FC236}">
              <a16:creationId xmlns:a16="http://schemas.microsoft.com/office/drawing/2014/main" id="{5DA00DED-5B92-4977-B9AF-3B99155EF1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CF09-6719-425E-B1F1-673EC7D9771B}">
  <dimension ref="B1:M185"/>
  <sheetViews>
    <sheetView zoomScale="85" zoomScaleNormal="85" workbookViewId="0">
      <selection activeCell="D22" sqref="D22"/>
    </sheetView>
  </sheetViews>
  <sheetFormatPr defaultRowHeight="15" x14ac:dyDescent="0.25"/>
  <cols>
    <col min="2" max="2" width="58.85546875" bestFit="1" customWidth="1"/>
    <col min="3" max="3" width="19.85546875" bestFit="1" customWidth="1"/>
    <col min="4" max="4" width="12" bestFit="1" customWidth="1"/>
    <col min="5" max="5" width="9.5703125" bestFit="1" customWidth="1"/>
    <col min="11" max="11" width="20.42578125" bestFit="1" customWidth="1"/>
  </cols>
  <sheetData>
    <row r="1" spans="2:13" ht="15.75" thickBot="1" x14ac:dyDescent="0.3"/>
    <row r="2" spans="2:13" ht="45.75" thickBot="1" x14ac:dyDescent="0.3">
      <c r="B2" s="28" t="s">
        <v>10</v>
      </c>
      <c r="C2" s="29" t="s">
        <v>11</v>
      </c>
      <c r="D2" s="29" t="s">
        <v>12</v>
      </c>
      <c r="E2" s="30" t="s">
        <v>13</v>
      </c>
      <c r="G2" s="18" t="s">
        <v>46</v>
      </c>
      <c r="H2" s="19" t="s">
        <v>47</v>
      </c>
      <c r="I2" s="20" t="s">
        <v>48</v>
      </c>
      <c r="K2" s="56" t="s">
        <v>58</v>
      </c>
      <c r="L2" s="57"/>
      <c r="M2" s="58"/>
    </row>
    <row r="3" spans="2:13" ht="15.75" thickBot="1" x14ac:dyDescent="0.3">
      <c r="B3" s="8" t="s">
        <v>0</v>
      </c>
      <c r="C3" s="9" t="s">
        <v>4</v>
      </c>
      <c r="D3" s="14">
        <v>114.07</v>
      </c>
      <c r="E3" s="10" t="s">
        <v>35</v>
      </c>
      <c r="G3" s="21" t="s">
        <v>49</v>
      </c>
      <c r="H3" s="22" t="s">
        <v>43</v>
      </c>
      <c r="I3" s="23" t="s">
        <v>38</v>
      </c>
      <c r="K3" s="39" t="s">
        <v>51</v>
      </c>
      <c r="L3" s="14">
        <v>4250</v>
      </c>
      <c r="M3" s="40" t="s">
        <v>49</v>
      </c>
    </row>
    <row r="4" spans="2:13" x14ac:dyDescent="0.25">
      <c r="B4" s="5" t="s">
        <v>1</v>
      </c>
      <c r="C4" s="1" t="s">
        <v>5</v>
      </c>
      <c r="D4" s="15">
        <v>103.71</v>
      </c>
      <c r="E4" s="11" t="s">
        <v>35</v>
      </c>
      <c r="G4" s="27">
        <v>0</v>
      </c>
      <c r="H4" s="31">
        <f>2*CONVERT(G4,"s","min")*CONVERT($D$4,"mm","m")</f>
        <v>0</v>
      </c>
      <c r="I4" s="32">
        <f>($D$17/$D$16)*(H4/$D$18)</f>
        <v>0</v>
      </c>
      <c r="K4" s="5" t="s">
        <v>50</v>
      </c>
      <c r="L4" s="15">
        <v>6100</v>
      </c>
      <c r="M4" s="36" t="s">
        <v>49</v>
      </c>
    </row>
    <row r="5" spans="2:13" ht="18.75" thickBot="1" x14ac:dyDescent="0.4">
      <c r="B5" s="5" t="s">
        <v>2</v>
      </c>
      <c r="C5" s="1" t="s">
        <v>6</v>
      </c>
      <c r="D5" s="15">
        <v>40</v>
      </c>
      <c r="E5" s="12" t="s">
        <v>36</v>
      </c>
      <c r="G5" s="5">
        <v>500</v>
      </c>
      <c r="H5" s="24">
        <f t="shared" ref="H5:H24" si="0">2*CONVERT(G5,"s","min")*CONVERT($D$4,"mm","m")</f>
        <v>1.7285000000000001</v>
      </c>
      <c r="I5" s="25">
        <f t="shared" ref="I5:I24" si="1">($D$17/$D$16)*(H5/$D$18)</f>
        <v>2.0989390634429863E-2</v>
      </c>
      <c r="K5" s="6" t="s">
        <v>52</v>
      </c>
      <c r="L5" s="37">
        <v>7200</v>
      </c>
      <c r="M5" s="38" t="s">
        <v>49</v>
      </c>
    </row>
    <row r="6" spans="2:13" ht="18" x14ac:dyDescent="0.35">
      <c r="B6" s="5" t="s">
        <v>3</v>
      </c>
      <c r="C6" s="1" t="s">
        <v>7</v>
      </c>
      <c r="D6" s="15">
        <v>101.325</v>
      </c>
      <c r="E6" s="42" t="s">
        <v>37</v>
      </c>
      <c r="G6" s="5">
        <v>1000</v>
      </c>
      <c r="H6" s="24">
        <f t="shared" si="0"/>
        <v>3.4570000000000003</v>
      </c>
      <c r="I6" s="25">
        <f t="shared" si="1"/>
        <v>4.1978781268859726E-2</v>
      </c>
    </row>
    <row r="7" spans="2:13" ht="18" x14ac:dyDescent="0.35">
      <c r="B7" s="5" t="s">
        <v>8</v>
      </c>
      <c r="C7" s="1" t="s">
        <v>9</v>
      </c>
      <c r="D7" s="15">
        <v>2</v>
      </c>
      <c r="E7" s="42" t="s">
        <v>38</v>
      </c>
      <c r="G7" s="8">
        <v>1500</v>
      </c>
      <c r="H7" s="24">
        <f t="shared" si="0"/>
        <v>5.1855000000000002</v>
      </c>
      <c r="I7" s="25">
        <f t="shared" si="1"/>
        <v>6.2968171903289571E-2</v>
      </c>
    </row>
    <row r="8" spans="2:13" ht="18" x14ac:dyDescent="0.35">
      <c r="B8" s="5" t="s">
        <v>14</v>
      </c>
      <c r="C8" s="1" t="s">
        <v>15</v>
      </c>
      <c r="D8" s="15">
        <v>57.911999999999999</v>
      </c>
      <c r="E8" s="42" t="s">
        <v>35</v>
      </c>
      <c r="G8" s="5">
        <v>2000</v>
      </c>
      <c r="H8" s="24">
        <f t="shared" si="0"/>
        <v>6.9140000000000006</v>
      </c>
      <c r="I8" s="25">
        <f t="shared" si="1"/>
        <v>8.3957562537719452E-2</v>
      </c>
    </row>
    <row r="9" spans="2:13" ht="18" x14ac:dyDescent="0.35">
      <c r="B9" s="5" t="s">
        <v>16</v>
      </c>
      <c r="C9" s="1" t="s">
        <v>26</v>
      </c>
      <c r="D9" s="15">
        <v>0.45</v>
      </c>
      <c r="E9" s="42" t="s">
        <v>38</v>
      </c>
      <c r="G9" s="5">
        <v>2500</v>
      </c>
      <c r="H9" s="24">
        <f t="shared" si="0"/>
        <v>8.6425000000000001</v>
      </c>
      <c r="I9" s="25">
        <f t="shared" si="1"/>
        <v>0.10494695317214929</v>
      </c>
    </row>
    <row r="10" spans="2:13" ht="18" x14ac:dyDescent="0.35">
      <c r="B10" s="5" t="s">
        <v>18</v>
      </c>
      <c r="C10" s="2" t="s">
        <v>39</v>
      </c>
      <c r="D10" s="1">
        <v>1.4019999999999999</v>
      </c>
      <c r="E10" s="42" t="s">
        <v>38</v>
      </c>
      <c r="G10" s="8">
        <v>3000</v>
      </c>
      <c r="H10" s="24">
        <f t="shared" si="0"/>
        <v>10.371</v>
      </c>
      <c r="I10" s="25">
        <f t="shared" si="1"/>
        <v>0.12593634380657914</v>
      </c>
    </row>
    <row r="11" spans="2:13" x14ac:dyDescent="0.25">
      <c r="B11" s="5" t="s">
        <v>19</v>
      </c>
      <c r="C11" s="2" t="s">
        <v>28</v>
      </c>
      <c r="D11" s="1">
        <v>8.3144629999999999</v>
      </c>
      <c r="E11" s="42" t="s">
        <v>40</v>
      </c>
      <c r="G11" s="5">
        <v>3500</v>
      </c>
      <c r="H11" s="24">
        <f t="shared" si="0"/>
        <v>12.099500000000001</v>
      </c>
      <c r="I11" s="25">
        <f t="shared" si="1"/>
        <v>0.14692573444100901</v>
      </c>
    </row>
    <row r="12" spans="2:13" ht="18" x14ac:dyDescent="0.35">
      <c r="B12" s="5" t="s">
        <v>20</v>
      </c>
      <c r="C12" s="2" t="s">
        <v>29</v>
      </c>
      <c r="D12" s="1">
        <v>28.964700000000001</v>
      </c>
      <c r="E12" s="42" t="s">
        <v>41</v>
      </c>
      <c r="G12" s="5">
        <v>4000</v>
      </c>
      <c r="H12" s="24">
        <f t="shared" si="0"/>
        <v>13.828000000000001</v>
      </c>
      <c r="I12" s="25">
        <f t="shared" si="1"/>
        <v>0.1679151250754389</v>
      </c>
    </row>
    <row r="13" spans="2:13" ht="18" x14ac:dyDescent="0.35">
      <c r="B13" s="5" t="s">
        <v>21</v>
      </c>
      <c r="C13" s="2" t="s">
        <v>30</v>
      </c>
      <c r="D13" s="3">
        <f>D11/CONVERT(D12,"g","kg")</f>
        <v>287.05503595756215</v>
      </c>
      <c r="E13" s="42" t="s">
        <v>42</v>
      </c>
      <c r="G13" s="8">
        <v>4500</v>
      </c>
      <c r="H13" s="24">
        <f t="shared" si="0"/>
        <v>15.5565</v>
      </c>
      <c r="I13" s="25">
        <f t="shared" si="1"/>
        <v>0.18890451570986871</v>
      </c>
    </row>
    <row r="14" spans="2:13" ht="18" x14ac:dyDescent="0.35">
      <c r="B14" s="5" t="s">
        <v>17</v>
      </c>
      <c r="C14" s="2" t="s">
        <v>27</v>
      </c>
      <c r="D14" s="26">
        <f>D6/(D13*CONVERT(D5,"C","K"))</f>
        <v>1.1271949283203691E-3</v>
      </c>
      <c r="E14" s="42" t="s">
        <v>45</v>
      </c>
      <c r="G14" s="5">
        <v>5000</v>
      </c>
      <c r="H14" s="24">
        <f t="shared" si="0"/>
        <v>17.285</v>
      </c>
      <c r="I14" s="25">
        <f t="shared" si="1"/>
        <v>0.20989390634429858</v>
      </c>
    </row>
    <row r="15" spans="2:13" ht="18" x14ac:dyDescent="0.35">
      <c r="B15" s="5" t="s">
        <v>24</v>
      </c>
      <c r="C15" s="2" t="s">
        <v>33</v>
      </c>
      <c r="D15" s="4">
        <f>D8^2*PI()/4</f>
        <v>2634.068159340432</v>
      </c>
      <c r="E15" s="11" t="s">
        <v>44</v>
      </c>
      <c r="G15" s="5">
        <v>5500</v>
      </c>
      <c r="H15" s="24">
        <f t="shared" si="0"/>
        <v>19.013500000000001</v>
      </c>
      <c r="I15" s="25">
        <f t="shared" si="1"/>
        <v>0.23088329697872845</v>
      </c>
    </row>
    <row r="16" spans="2:13" ht="18" x14ac:dyDescent="0.35">
      <c r="B16" s="5" t="s">
        <v>25</v>
      </c>
      <c r="C16" s="2" t="s">
        <v>34</v>
      </c>
      <c r="D16" s="17">
        <f>D15*D7*D9</f>
        <v>2370.6613434063888</v>
      </c>
      <c r="E16" s="11" t="s">
        <v>44</v>
      </c>
      <c r="G16" s="8">
        <v>6000</v>
      </c>
      <c r="H16" s="24">
        <f t="shared" si="0"/>
        <v>20.742000000000001</v>
      </c>
      <c r="I16" s="25">
        <f t="shared" si="1"/>
        <v>0.25187268761315829</v>
      </c>
    </row>
    <row r="17" spans="2:9" ht="18" x14ac:dyDescent="0.35">
      <c r="B17" s="5" t="s">
        <v>23</v>
      </c>
      <c r="C17" s="2" t="s">
        <v>32</v>
      </c>
      <c r="D17" s="17">
        <f>D3^2*PI()/4</f>
        <v>10219.573334652061</v>
      </c>
      <c r="E17" s="11" t="s">
        <v>44</v>
      </c>
      <c r="G17" s="5">
        <v>6500</v>
      </c>
      <c r="H17" s="24">
        <f t="shared" si="0"/>
        <v>22.470499999999998</v>
      </c>
      <c r="I17" s="25">
        <f t="shared" si="1"/>
        <v>0.27286207824758812</v>
      </c>
    </row>
    <row r="18" spans="2:9" ht="18.75" thickBot="1" x14ac:dyDescent="0.4">
      <c r="B18" s="6" t="s">
        <v>22</v>
      </c>
      <c r="C18" s="7" t="s">
        <v>31</v>
      </c>
      <c r="D18" s="16">
        <f>SQRT(D10*D6/D14)</f>
        <v>355.00363502811496</v>
      </c>
      <c r="E18" s="13" t="s">
        <v>43</v>
      </c>
      <c r="G18" s="5">
        <v>7000</v>
      </c>
      <c r="H18" s="24">
        <f t="shared" si="0"/>
        <v>24.199000000000002</v>
      </c>
      <c r="I18" s="25">
        <f t="shared" si="1"/>
        <v>0.29385146888201802</v>
      </c>
    </row>
    <row r="19" spans="2:9" x14ac:dyDescent="0.25">
      <c r="G19" s="8">
        <v>7500</v>
      </c>
      <c r="H19" s="24">
        <f t="shared" si="0"/>
        <v>25.927499999999998</v>
      </c>
      <c r="I19" s="25">
        <f t="shared" si="1"/>
        <v>0.31484085951644786</v>
      </c>
    </row>
    <row r="20" spans="2:9" x14ac:dyDescent="0.25">
      <c r="F20" s="41"/>
      <c r="G20" s="5">
        <v>8000</v>
      </c>
      <c r="H20" s="24">
        <f t="shared" si="0"/>
        <v>27.656000000000002</v>
      </c>
      <c r="I20" s="25">
        <f t="shared" si="1"/>
        <v>0.33583025015087781</v>
      </c>
    </row>
    <row r="21" spans="2:9" x14ac:dyDescent="0.25">
      <c r="G21" s="5">
        <v>8500</v>
      </c>
      <c r="H21" s="24">
        <f t="shared" si="0"/>
        <v>29.384499999999996</v>
      </c>
      <c r="I21" s="25">
        <f t="shared" si="1"/>
        <v>0.35681964078530748</v>
      </c>
    </row>
    <row r="22" spans="2:9" x14ac:dyDescent="0.25">
      <c r="G22" s="8">
        <v>9000</v>
      </c>
      <c r="H22" s="24">
        <f t="shared" si="0"/>
        <v>31.113</v>
      </c>
      <c r="I22" s="25">
        <f t="shared" si="1"/>
        <v>0.37780903141973743</v>
      </c>
    </row>
    <row r="23" spans="2:9" x14ac:dyDescent="0.25">
      <c r="G23" s="5">
        <v>9500</v>
      </c>
      <c r="H23" s="24">
        <f t="shared" si="0"/>
        <v>32.841500000000003</v>
      </c>
      <c r="I23" s="25">
        <f t="shared" si="1"/>
        <v>0.39879842205416738</v>
      </c>
    </row>
    <row r="24" spans="2:9" ht="15.75" thickBot="1" x14ac:dyDescent="0.3">
      <c r="G24" s="6">
        <v>10000</v>
      </c>
      <c r="H24" s="33">
        <f t="shared" si="0"/>
        <v>34.57</v>
      </c>
      <c r="I24" s="34">
        <f t="shared" si="1"/>
        <v>0.41978781268859716</v>
      </c>
    </row>
    <row r="100" spans="2:6" x14ac:dyDescent="0.25">
      <c r="C100" t="s">
        <v>57</v>
      </c>
      <c r="D100">
        <f>L3</f>
        <v>4250</v>
      </c>
      <c r="E100">
        <f>L4</f>
        <v>6100</v>
      </c>
      <c r="F100">
        <f>L5</f>
        <v>7200</v>
      </c>
    </row>
    <row r="101" spans="2:6" x14ac:dyDescent="0.25">
      <c r="C101" t="s">
        <v>53</v>
      </c>
      <c r="D101" t="s">
        <v>56</v>
      </c>
      <c r="E101" t="s">
        <v>56</v>
      </c>
      <c r="F101" t="s">
        <v>56</v>
      </c>
    </row>
    <row r="102" spans="2:6" x14ac:dyDescent="0.25">
      <c r="B102" t="s">
        <v>54</v>
      </c>
      <c r="C102" t="s">
        <v>55</v>
      </c>
      <c r="D102" t="str">
        <f>_xlfn.CONCAT("Mach Index (Speed @ Max Torque: ",D100," rpm)")</f>
        <v>Mach Index (Speed @ Max Torque: 4250 rpm)</v>
      </c>
      <c r="E102" t="str">
        <f t="shared" ref="E102:F102" si="2">_xlfn.CONCAT("Mach Index (Speed @ Max Torque: ",E100," rpm)")</f>
        <v>Mach Index (Speed @ Max Torque: 6100 rpm)</v>
      </c>
      <c r="F102" t="str">
        <f t="shared" si="2"/>
        <v>Mach Index (Speed @ Max Torque: 7200 rpm)</v>
      </c>
    </row>
    <row r="103" spans="2:6" x14ac:dyDescent="0.25">
      <c r="B103">
        <v>-41</v>
      </c>
      <c r="C103">
        <f>$D$8*(1+B103/COUNT($B$103:$B$185)*0.4)</f>
        <v>46.46914698795181</v>
      </c>
      <c r="D103">
        <f>($D$17/((($C103^2*PI()/4)*$D$7*$D$9)*$D$7*$D$9))*(2*CONVERT(D$100,"s","min")*CONVERT($D$4,"mm","m")/$D$18)</f>
        <v>0.30788176882713331</v>
      </c>
      <c r="E103">
        <f t="shared" ref="E103:F118" si="3">($D$17/((($C103^2*PI()/4)*$D$7*$D$9)*$D$7*$D$9))*(2*CONVERT(E$100,"s","min")*CONVERT($D$4,"mm","m")/$D$18)</f>
        <v>0.44190089172835612</v>
      </c>
      <c r="F103">
        <f t="shared" si="3"/>
        <v>0.52158793777773182</v>
      </c>
    </row>
    <row r="104" spans="2:6" x14ac:dyDescent="0.25">
      <c r="B104">
        <v>-40</v>
      </c>
      <c r="C104">
        <f t="shared" ref="C104:C167" si="4">$D$8*(1+B104/COUNT($B$103:$B$185)*0.4)</f>
        <v>46.748240963855423</v>
      </c>
      <c r="D104">
        <f t="shared" ref="D104:D167" si="5">($D$17/((($C104^2*PI()/4)*$D$7*$D$9)*$D$7*$D$9))*(2*CONVERT($D$100,"s","min")*CONVERT($D$4,"mm","m")/$D$18)</f>
        <v>0.30421654233434603</v>
      </c>
      <c r="E104">
        <f t="shared" si="3"/>
        <v>0.43664021370341444</v>
      </c>
      <c r="F104">
        <f t="shared" si="3"/>
        <v>0.51537861289583342</v>
      </c>
    </row>
    <row r="105" spans="2:6" x14ac:dyDescent="0.25">
      <c r="B105">
        <v>-39</v>
      </c>
      <c r="C105">
        <f t="shared" si="4"/>
        <v>47.027334939759037</v>
      </c>
      <c r="D105">
        <f t="shared" si="5"/>
        <v>0.30061637826759052</v>
      </c>
      <c r="E105">
        <f t="shared" si="3"/>
        <v>0.43147291939583593</v>
      </c>
      <c r="F105">
        <f t="shared" si="3"/>
        <v>0.50927951141803585</v>
      </c>
    </row>
    <row r="106" spans="2:6" x14ac:dyDescent="0.25">
      <c r="B106">
        <v>-38</v>
      </c>
      <c r="C106">
        <f t="shared" si="4"/>
        <v>47.30642891566265</v>
      </c>
      <c r="D106">
        <f t="shared" si="5"/>
        <v>0.29707974576858881</v>
      </c>
      <c r="E106">
        <f t="shared" si="3"/>
        <v>0.42639681157373932</v>
      </c>
      <c r="F106">
        <f t="shared" si="3"/>
        <v>0.50328803989031523</v>
      </c>
    </row>
    <row r="107" spans="2:6" x14ac:dyDescent="0.25">
      <c r="B107">
        <v>-37</v>
      </c>
      <c r="C107">
        <f t="shared" si="4"/>
        <v>47.585522891566264</v>
      </c>
      <c r="D107">
        <f t="shared" si="5"/>
        <v>0.29360515874022403</v>
      </c>
      <c r="E107">
        <f t="shared" si="3"/>
        <v>0.42140975725067459</v>
      </c>
      <c r="F107">
        <f t="shared" si="3"/>
        <v>0.49740168068932078</v>
      </c>
    </row>
    <row r="108" spans="2:6" x14ac:dyDescent="0.25">
      <c r="B108">
        <v>-36</v>
      </c>
      <c r="C108">
        <f t="shared" si="4"/>
        <v>47.864616867469877</v>
      </c>
      <c r="D108">
        <f t="shared" si="5"/>
        <v>0.29019117428513624</v>
      </c>
      <c r="E108">
        <f t="shared" si="3"/>
        <v>0.41650968544454858</v>
      </c>
      <c r="F108">
        <f t="shared" si="3"/>
        <v>0.49161798937717205</v>
      </c>
    </row>
    <row r="109" spans="2:6" x14ac:dyDescent="0.25">
      <c r="B109">
        <v>-35</v>
      </c>
      <c r="C109">
        <f t="shared" si="4"/>
        <v>48.143710843373491</v>
      </c>
      <c r="D109">
        <f t="shared" si="5"/>
        <v>0.28683639120749416</v>
      </c>
      <c r="E109">
        <f t="shared" si="3"/>
        <v>0.411694585027227</v>
      </c>
      <c r="F109">
        <f t="shared" si="3"/>
        <v>0.48593459216328427</v>
      </c>
    </row>
    <row r="110" spans="2:6" x14ac:dyDescent="0.25">
      <c r="B110">
        <v>-34</v>
      </c>
      <c r="C110">
        <f t="shared" si="4"/>
        <v>48.422804819277111</v>
      </c>
      <c r="D110">
        <f t="shared" si="5"/>
        <v>0.28353944857503993</v>
      </c>
      <c r="E110">
        <f t="shared" si="3"/>
        <v>0.40696250266064565</v>
      </c>
      <c r="F110">
        <f t="shared" si="3"/>
        <v>0.48034918346830302</v>
      </c>
    </row>
    <row r="111" spans="2:6" x14ac:dyDescent="0.25">
      <c r="B111">
        <v>-33</v>
      </c>
      <c r="C111">
        <f t="shared" si="4"/>
        <v>48.701898795180718</v>
      </c>
      <c r="D111">
        <f t="shared" si="5"/>
        <v>0.28029902433865073</v>
      </c>
      <c r="E111">
        <f t="shared" si="3"/>
        <v>0.40231154081547527</v>
      </c>
      <c r="F111">
        <f t="shared" si="3"/>
        <v>0.47485952358547895</v>
      </c>
    </row>
    <row r="112" spans="2:6" x14ac:dyDescent="0.25">
      <c r="B112">
        <v>-32</v>
      </c>
      <c r="C112">
        <f t="shared" si="4"/>
        <v>48.980992771084338</v>
      </c>
      <c r="D112">
        <f t="shared" si="5"/>
        <v>0.27711383400680178</v>
      </c>
      <c r="E112">
        <f t="shared" si="3"/>
        <v>0.39773985586858623</v>
      </c>
      <c r="F112">
        <f t="shared" si="3"/>
        <v>0.46946343643505256</v>
      </c>
    </row>
    <row r="113" spans="2:6" x14ac:dyDescent="0.25">
      <c r="B113">
        <v>-31</v>
      </c>
      <c r="C113">
        <f t="shared" si="4"/>
        <v>49.260086746987952</v>
      </c>
      <c r="D113">
        <f t="shared" si="5"/>
        <v>0.27398262937245293</v>
      </c>
      <c r="E113">
        <f t="shared" si="3"/>
        <v>0.39324565627575603</v>
      </c>
      <c r="F113">
        <f t="shared" si="3"/>
        <v>0.46415880740744969</v>
      </c>
    </row>
    <row r="114" spans="2:6" x14ac:dyDescent="0.25">
      <c r="B114">
        <v>-30</v>
      </c>
      <c r="C114">
        <f t="shared" si="4"/>
        <v>49.539180722891565</v>
      </c>
      <c r="D114">
        <f t="shared" si="5"/>
        <v>0.27090419728999798</v>
      </c>
      <c r="E114">
        <f t="shared" si="3"/>
        <v>0.38882720081623245</v>
      </c>
      <c r="F114">
        <f t="shared" si="3"/>
        <v>0.45894358129129076</v>
      </c>
    </row>
    <row r="115" spans="2:6" x14ac:dyDescent="0.25">
      <c r="B115">
        <v>-29</v>
      </c>
      <c r="C115">
        <f t="shared" si="4"/>
        <v>49.818274698795179</v>
      </c>
      <c r="D115">
        <f t="shared" si="5"/>
        <v>0.26787735850004313</v>
      </c>
      <c r="E115">
        <f t="shared" si="3"/>
        <v>0.38448279690594439</v>
      </c>
      <c r="F115">
        <f t="shared" si="3"/>
        <v>0.45381576028242609</v>
      </c>
    </row>
    <row r="116" spans="2:6" x14ac:dyDescent="0.25">
      <c r="B116">
        <v>-28</v>
      </c>
      <c r="C116">
        <f t="shared" si="4"/>
        <v>50.097368674698799</v>
      </c>
      <c r="D116">
        <f t="shared" si="5"/>
        <v>0.26490096649988737</v>
      </c>
      <c r="E116">
        <f t="shared" si="3"/>
        <v>0.38021079897630899</v>
      </c>
      <c r="F116">
        <f t="shared" si="3"/>
        <v>0.44877340207039745</v>
      </c>
    </row>
    <row r="117" spans="2:6" x14ac:dyDescent="0.25">
      <c r="B117">
        <v>-27</v>
      </c>
      <c r="C117">
        <f t="shared" si="4"/>
        <v>50.376462650602406</v>
      </c>
      <c r="D117">
        <f t="shared" si="5"/>
        <v>0.2619739064576852</v>
      </c>
      <c r="E117">
        <f t="shared" si="3"/>
        <v>0.37600960691573654</v>
      </c>
      <c r="F117">
        <f t="shared" si="3"/>
        <v>0.44381461799890209</v>
      </c>
    </row>
    <row r="118" spans="2:6" x14ac:dyDescent="0.25">
      <c r="B118">
        <v>-26</v>
      </c>
      <c r="C118">
        <f t="shared" si="4"/>
        <v>50.655556626506026</v>
      </c>
      <c r="D118">
        <f t="shared" si="5"/>
        <v>0.25909509416837034</v>
      </c>
      <c r="E118">
        <f t="shared" si="3"/>
        <v>0.37187766457107285</v>
      </c>
      <c r="F118">
        <f t="shared" si="3"/>
        <v>0.43893757129700395</v>
      </c>
    </row>
    <row r="119" spans="2:6" x14ac:dyDescent="0.25">
      <c r="B119">
        <v>-25</v>
      </c>
      <c r="C119">
        <f t="shared" si="4"/>
        <v>50.934650602409633</v>
      </c>
      <c r="D119">
        <f t="shared" si="5"/>
        <v>0.25626347504951769</v>
      </c>
      <c r="E119">
        <f t="shared" ref="E119:F182" si="6">($D$17/((($C119^2*PI()/4)*$D$7*$D$9)*$D$7*$D$9))*(2*CONVERT(E$100,"s","min")*CONVERT($D$4,"mm","m")/$D$18)</f>
        <v>0.36781345830636664</v>
      </c>
      <c r="F119">
        <f t="shared" si="6"/>
        <v>0.43414047537800649</v>
      </c>
    </row>
    <row r="120" spans="2:6" x14ac:dyDescent="0.25">
      <c r="B120">
        <v>-24</v>
      </c>
      <c r="C120">
        <f t="shared" si="4"/>
        <v>51.213744578313253</v>
      </c>
      <c r="D120">
        <f t="shared" si="5"/>
        <v>0.25347802317540402</v>
      </c>
      <c r="E120">
        <f t="shared" si="6"/>
        <v>0.3638155156164623</v>
      </c>
      <c r="F120">
        <f t="shared" si="6"/>
        <v>0.42942159220303744</v>
      </c>
    </row>
    <row r="121" spans="2:6" x14ac:dyDescent="0.25">
      <c r="B121">
        <v>-23</v>
      </c>
      <c r="C121">
        <f t="shared" si="4"/>
        <v>51.492838554216867</v>
      </c>
      <c r="D121">
        <f t="shared" si="5"/>
        <v>0.25073774034761787</v>
      </c>
      <c r="E121">
        <f t="shared" si="6"/>
        <v>0.35988240379305159</v>
      </c>
      <c r="F121">
        <f t="shared" si="6"/>
        <v>0.42477923070655266</v>
      </c>
    </row>
    <row r="122" spans="2:6" x14ac:dyDescent="0.25">
      <c r="B122">
        <v>-22</v>
      </c>
      <c r="C122">
        <f t="shared" si="4"/>
        <v>51.77193253012048</v>
      </c>
      <c r="D122">
        <f t="shared" si="5"/>
        <v>0.24804165520064506</v>
      </c>
      <c r="E122">
        <f t="shared" si="6"/>
        <v>0.35601272864092592</v>
      </c>
      <c r="F122">
        <f t="shared" si="6"/>
        <v>0.4202117452810929</v>
      </c>
    </row>
    <row r="123" spans="2:6" x14ac:dyDescent="0.25">
      <c r="B123">
        <v>-21</v>
      </c>
      <c r="C123">
        <f t="shared" si="4"/>
        <v>52.051026506024094</v>
      </c>
      <c r="D123">
        <f t="shared" si="5"/>
        <v>0.24538882234093529</v>
      </c>
      <c r="E123">
        <f t="shared" si="6"/>
        <v>0.3522051332422837</v>
      </c>
      <c r="F123">
        <f t="shared" si="6"/>
        <v>0.41571753431876102</v>
      </c>
    </row>
    <row r="124" spans="2:6" x14ac:dyDescent="0.25">
      <c r="B124">
        <v>-20</v>
      </c>
      <c r="C124">
        <f t="shared" si="4"/>
        <v>52.330120481927715</v>
      </c>
      <c r="D124">
        <f t="shared" si="5"/>
        <v>0.242778321518023</v>
      </c>
      <c r="E124">
        <f t="shared" si="6"/>
        <v>0.34845829676704487</v>
      </c>
      <c r="F124">
        <f t="shared" si="6"/>
        <v>0.41129503880700374</v>
      </c>
    </row>
    <row r="125" spans="2:6" x14ac:dyDescent="0.25">
      <c r="B125">
        <v>-19</v>
      </c>
      <c r="C125">
        <f t="shared" si="4"/>
        <v>52.609214457831328</v>
      </c>
      <c r="D125">
        <f t="shared" si="5"/>
        <v>0.24020925682634775</v>
      </c>
      <c r="E125">
        <f t="shared" si="6"/>
        <v>0.34477093332722863</v>
      </c>
      <c r="F125">
        <f t="shared" si="6"/>
        <v>0.40694274097640099</v>
      </c>
    </row>
    <row r="126" spans="2:6" x14ac:dyDescent="0.25">
      <c r="B126">
        <v>-18</v>
      </c>
      <c r="C126">
        <f t="shared" si="4"/>
        <v>52.888308433734942</v>
      </c>
      <c r="D126">
        <f t="shared" si="5"/>
        <v>0.23768075593648041</v>
      </c>
      <c r="E126">
        <f t="shared" si="6"/>
        <v>0.34114179087353669</v>
      </c>
      <c r="F126">
        <f t="shared" si="6"/>
        <v>0.40265916299827281</v>
      </c>
    </row>
    <row r="127" spans="2:6" x14ac:dyDescent="0.25">
      <c r="B127">
        <v>-17</v>
      </c>
      <c r="C127">
        <f t="shared" si="4"/>
        <v>53.167402409638555</v>
      </c>
      <c r="D127">
        <f t="shared" si="5"/>
        <v>0.23519196935452352</v>
      </c>
      <c r="E127">
        <f t="shared" si="6"/>
        <v>0.337569650132375</v>
      </c>
      <c r="F127">
        <f t="shared" si="6"/>
        <v>0.39844286573001636</v>
      </c>
    </row>
    <row r="128" spans="2:6" x14ac:dyDescent="0.25">
      <c r="B128">
        <v>-16</v>
      </c>
      <c r="C128">
        <f t="shared" si="4"/>
        <v>53.446496385542162</v>
      </c>
      <c r="D128">
        <f t="shared" si="5"/>
        <v>0.23274206970851258</v>
      </c>
      <c r="E128">
        <f t="shared" si="6"/>
        <v>0.33405332358162987</v>
      </c>
      <c r="F128">
        <f t="shared" si="6"/>
        <v>0.39429244750618608</v>
      </c>
    </row>
    <row r="129" spans="2:6" x14ac:dyDescent="0.25">
      <c r="B129">
        <v>-15</v>
      </c>
      <c r="C129">
        <f t="shared" si="4"/>
        <v>53.725590361445782</v>
      </c>
      <c r="D129">
        <f t="shared" si="5"/>
        <v>0.23033025106069815</v>
      </c>
      <c r="E129">
        <f t="shared" si="6"/>
        <v>0.3305916544635904</v>
      </c>
      <c r="F129">
        <f t="shared" si="6"/>
        <v>0.39020654297341811</v>
      </c>
    </row>
    <row r="130" spans="2:6" x14ac:dyDescent="0.25">
      <c r="B130">
        <v>-14</v>
      </c>
      <c r="C130">
        <f t="shared" si="4"/>
        <v>54.004684337349396</v>
      </c>
      <c r="D130">
        <f t="shared" si="5"/>
        <v>0.22795572824464336</v>
      </c>
      <c r="E130">
        <f t="shared" si="6"/>
        <v>0.3271835158334882</v>
      </c>
      <c r="F130">
        <f t="shared" si="6"/>
        <v>0.38618382196739587</v>
      </c>
    </row>
    <row r="131" spans="2:6" x14ac:dyDescent="0.25">
      <c r="B131">
        <v>-13</v>
      </c>
      <c r="C131">
        <f t="shared" si="4"/>
        <v>54.283778313253009</v>
      </c>
      <c r="D131">
        <f t="shared" si="5"/>
        <v>0.22561773622611528</v>
      </c>
      <c r="E131">
        <f t="shared" si="6"/>
        <v>0.32382780964218905</v>
      </c>
      <c r="F131">
        <f t="shared" si="6"/>
        <v>0.38222298843012475</v>
      </c>
    </row>
    <row r="132" spans="2:6" x14ac:dyDescent="0.25">
      <c r="B132">
        <v>-12</v>
      </c>
      <c r="C132">
        <f t="shared" si="4"/>
        <v>54.562872289156623</v>
      </c>
      <c r="D132">
        <f t="shared" si="5"/>
        <v>0.22331552948680344</v>
      </c>
      <c r="E132">
        <f t="shared" si="6"/>
        <v>0.32052346585164737</v>
      </c>
      <c r="F132">
        <f t="shared" si="6"/>
        <v>0.37832277936587883</v>
      </c>
    </row>
    <row r="133" spans="2:6" x14ac:dyDescent="0.25">
      <c r="B133">
        <v>-11</v>
      </c>
      <c r="C133">
        <f t="shared" si="4"/>
        <v>54.841966265060243</v>
      </c>
      <c r="D133">
        <f t="shared" si="5"/>
        <v>0.22104838142993469</v>
      </c>
      <c r="E133">
        <f t="shared" si="6"/>
        <v>0.31726944158178866</v>
      </c>
      <c r="F133">
        <f t="shared" si="6"/>
        <v>0.37448196383424232</v>
      </c>
    </row>
    <row r="134" spans="2:6" x14ac:dyDescent="0.25">
      <c r="B134">
        <v>-10</v>
      </c>
      <c r="C134">
        <f t="shared" si="4"/>
        <v>55.12106024096385</v>
      </c>
      <c r="D134">
        <f t="shared" si="5"/>
        <v>0.21881558380690275</v>
      </c>
      <c r="E134">
        <f t="shared" si="6"/>
        <v>0.31406472028755461</v>
      </c>
      <c r="F134">
        <f t="shared" si="6"/>
        <v>0.37069934197875298</v>
      </c>
    </row>
    <row r="135" spans="2:6" x14ac:dyDescent="0.25">
      <c r="B135">
        <v>-9</v>
      </c>
      <c r="C135">
        <f t="shared" si="4"/>
        <v>55.40015421686747</v>
      </c>
      <c r="D135">
        <f t="shared" si="5"/>
        <v>0.21661644616406414</v>
      </c>
      <c r="E135">
        <f t="shared" si="6"/>
        <v>0.31090831096489213</v>
      </c>
      <c r="F135">
        <f t="shared" si="6"/>
        <v>0.36697374408970873</v>
      </c>
    </row>
    <row r="136" spans="2:6" x14ac:dyDescent="0.25">
      <c r="B136">
        <v>-8</v>
      </c>
      <c r="C136">
        <f t="shared" si="4"/>
        <v>55.679248192771084</v>
      </c>
      <c r="D136">
        <f t="shared" si="5"/>
        <v>0.21445029530889875</v>
      </c>
      <c r="E136">
        <f t="shared" si="6"/>
        <v>0.30779924738453712</v>
      </c>
      <c r="F136">
        <f t="shared" si="6"/>
        <v>0.36330402969978148</v>
      </c>
    </row>
    <row r="137" spans="2:6" x14ac:dyDescent="0.25">
      <c r="B137">
        <v>-7</v>
      </c>
      <c r="C137">
        <f t="shared" si="4"/>
        <v>55.958342168674697</v>
      </c>
      <c r="D137">
        <f t="shared" si="5"/>
        <v>0.21231647479475868</v>
      </c>
      <c r="E137">
        <f t="shared" si="6"/>
        <v>0.30473658735247722</v>
      </c>
      <c r="F137">
        <f t="shared" si="6"/>
        <v>0.35968908671112065</v>
      </c>
    </row>
    <row r="138" spans="2:6" x14ac:dyDescent="0.25">
      <c r="B138">
        <v>-6</v>
      </c>
      <c r="C138">
        <f t="shared" si="4"/>
        <v>56.237436144578311</v>
      </c>
      <c r="D138">
        <f t="shared" si="5"/>
        <v>0.21021434442347406</v>
      </c>
      <c r="E138">
        <f t="shared" si="6"/>
        <v>0.30171941199604518</v>
      </c>
      <c r="F138">
        <f t="shared" si="6"/>
        <v>0.35612783055270908</v>
      </c>
    </row>
    <row r="139" spans="2:6" x14ac:dyDescent="0.25">
      <c r="B139">
        <v>-5</v>
      </c>
      <c r="C139">
        <f t="shared" si="4"/>
        <v>56.516530120481931</v>
      </c>
      <c r="D139">
        <f t="shared" si="5"/>
        <v>0.20814327976510885</v>
      </c>
      <c r="E139">
        <f t="shared" si="6"/>
        <v>0.29874682507462691</v>
      </c>
      <c r="F139">
        <f t="shared" si="6"/>
        <v>0.35261920336677272</v>
      </c>
    </row>
    <row r="140" spans="2:6" x14ac:dyDescent="0.25">
      <c r="B140">
        <v>-4</v>
      </c>
      <c r="C140">
        <f t="shared" si="4"/>
        <v>56.795624096385538</v>
      </c>
      <c r="D140">
        <f t="shared" si="5"/>
        <v>0.20610267169419674</v>
      </c>
      <c r="E140">
        <f t="shared" si="6"/>
        <v>0.29581795231402364</v>
      </c>
      <c r="F140">
        <f t="shared" si="6"/>
        <v>0.34916217322310983</v>
      </c>
    </row>
    <row r="141" spans="2:6" x14ac:dyDescent="0.25">
      <c r="B141">
        <v>-3</v>
      </c>
      <c r="C141">
        <f t="shared" si="4"/>
        <v>57.074718072289158</v>
      </c>
      <c r="D141">
        <f t="shared" si="5"/>
        <v>0.20409192594181041</v>
      </c>
      <c r="E141">
        <f t="shared" si="6"/>
        <v>0.29293194076353973</v>
      </c>
      <c r="F141">
        <f t="shared" si="6"/>
        <v>0.34575573336024357</v>
      </c>
    </row>
    <row r="142" spans="2:6" x14ac:dyDescent="0.25">
      <c r="B142">
        <v>-2</v>
      </c>
      <c r="C142">
        <f t="shared" si="4"/>
        <v>57.353812048192772</v>
      </c>
      <c r="D142">
        <f t="shared" si="5"/>
        <v>0.2021104626628541</v>
      </c>
      <c r="E142">
        <f t="shared" si="6"/>
        <v>0.29008795817492006</v>
      </c>
      <c r="F142">
        <f t="shared" si="6"/>
        <v>0.34239890145236468</v>
      </c>
    </row>
    <row r="143" spans="2:6" x14ac:dyDescent="0.25">
      <c r="B143">
        <v>-1</v>
      </c>
      <c r="C143">
        <f t="shared" si="4"/>
        <v>57.632906024096386</v>
      </c>
      <c r="D143">
        <f t="shared" si="5"/>
        <v>0.20015771601798682</v>
      </c>
      <c r="E143">
        <f t="shared" si="6"/>
        <v>0.287285192402287</v>
      </c>
      <c r="F143">
        <f t="shared" si="6"/>
        <v>0.33909071890106007</v>
      </c>
    </row>
    <row r="144" spans="2:6" x14ac:dyDescent="0.25">
      <c r="B144" s="35">
        <v>0</v>
      </c>
      <c r="C144">
        <f t="shared" si="4"/>
        <v>57.911999999999999</v>
      </c>
      <c r="D144">
        <f t="shared" si="5"/>
        <v>0.19823313376961529</v>
      </c>
      <c r="E144">
        <f t="shared" si="6"/>
        <v>0.28452285082227141</v>
      </c>
      <c r="F144">
        <f t="shared" si="6"/>
        <v>0.3358302501508777</v>
      </c>
    </row>
    <row r="145" spans="2:6" x14ac:dyDescent="0.25">
      <c r="B145">
        <v>1</v>
      </c>
      <c r="C145">
        <f t="shared" si="4"/>
        <v>58.191093975903613</v>
      </c>
      <c r="D145">
        <f t="shared" si="5"/>
        <v>0.19633617689141919</v>
      </c>
      <c r="E145">
        <f t="shared" si="6"/>
        <v>0.28180015977356643</v>
      </c>
      <c r="F145">
        <f t="shared" si="6"/>
        <v>0.33261658202781613</v>
      </c>
    </row>
    <row r="146" spans="2:6" x14ac:dyDescent="0.25">
      <c r="B146">
        <v>2</v>
      </c>
      <c r="C146">
        <f t="shared" si="4"/>
        <v>58.470187951807233</v>
      </c>
      <c r="D146">
        <f t="shared" si="5"/>
        <v>0.19446631919089083</v>
      </c>
      <c r="E146">
        <f t="shared" si="6"/>
        <v>0.27911636401516104</v>
      </c>
      <c r="F146">
        <f t="shared" si="6"/>
        <v>0.32944882309986218</v>
      </c>
    </row>
    <row r="147" spans="2:6" x14ac:dyDescent="0.25">
      <c r="B147">
        <v>3</v>
      </c>
      <c r="C147">
        <f t="shared" si="4"/>
        <v>58.74928192771084</v>
      </c>
      <c r="D147">
        <f t="shared" si="5"/>
        <v>0.19262304694439772</v>
      </c>
      <c r="E147">
        <f t="shared" si="6"/>
        <v>0.27647072620254742</v>
      </c>
      <c r="F147">
        <f t="shared" si="6"/>
        <v>0.32632610305874443</v>
      </c>
    </row>
    <row r="148" spans="2:6" x14ac:dyDescent="0.25">
      <c r="B148">
        <v>4</v>
      </c>
      <c r="C148">
        <f t="shared" si="4"/>
        <v>59.028375903614453</v>
      </c>
      <c r="D148">
        <f t="shared" si="5"/>
        <v>0.19080585854429408</v>
      </c>
      <c r="E148">
        <f t="shared" si="6"/>
        <v>0.27386252638122216</v>
      </c>
      <c r="F148">
        <f t="shared" si="6"/>
        <v>0.32324757212209826</v>
      </c>
    </row>
    <row r="149" spans="2:6" x14ac:dyDescent="0.25">
      <c r="B149">
        <v>5</v>
      </c>
      <c r="C149">
        <f t="shared" si="4"/>
        <v>59.307469879518074</v>
      </c>
      <c r="D149">
        <f t="shared" si="5"/>
        <v>0.18901426415763037</v>
      </c>
      <c r="E149">
        <f t="shared" si="6"/>
        <v>0.27129106149683424</v>
      </c>
      <c r="F149">
        <f t="shared" si="6"/>
        <v>0.32021240045527971</v>
      </c>
    </row>
    <row r="150" spans="2:6" x14ac:dyDescent="0.25">
      <c r="B150">
        <v>6</v>
      </c>
      <c r="C150">
        <f t="shared" si="4"/>
        <v>59.586563855421687</v>
      </c>
      <c r="D150">
        <f t="shared" si="5"/>
        <v>0.1872477853960258</v>
      </c>
      <c r="E150">
        <f t="shared" si="6"/>
        <v>0.26875564492135473</v>
      </c>
      <c r="F150">
        <f t="shared" si="6"/>
        <v>0.3172197776120908</v>
      </c>
    </row>
    <row r="151" spans="2:6" x14ac:dyDescent="0.25">
      <c r="B151">
        <v>7</v>
      </c>
      <c r="C151">
        <f t="shared" si="4"/>
        <v>59.865657831325294</v>
      </c>
      <c r="D151">
        <f t="shared" si="5"/>
        <v>0.18550595499628883</v>
      </c>
      <c r="E151">
        <f t="shared" si="6"/>
        <v>0.26625560599467346</v>
      </c>
      <c r="F151">
        <f t="shared" si="6"/>
        <v>0.31426891199371293</v>
      </c>
    </row>
    <row r="152" spans="2:6" x14ac:dyDescent="0.25">
      <c r="B152">
        <v>8</v>
      </c>
      <c r="C152">
        <f t="shared" si="4"/>
        <v>60.144751807228921</v>
      </c>
      <c r="D152">
        <f t="shared" si="5"/>
        <v>0.18378831651138816</v>
      </c>
      <c r="E152">
        <f t="shared" si="6"/>
        <v>0.26379028958105133</v>
      </c>
      <c r="F152">
        <f t="shared" si="6"/>
        <v>0.31135903032517531</v>
      </c>
    </row>
    <row r="153" spans="2:6" x14ac:dyDescent="0.25">
      <c r="B153">
        <v>9</v>
      </c>
      <c r="C153">
        <f t="shared" si="4"/>
        <v>60.423845783132528</v>
      </c>
      <c r="D153">
        <f t="shared" si="5"/>
        <v>0.18209442401139264</v>
      </c>
      <c r="E153">
        <f t="shared" si="6"/>
        <v>0.26135905563988127</v>
      </c>
      <c r="F153">
        <f t="shared" si="6"/>
        <v>0.30848937714871227</v>
      </c>
    </row>
    <row r="154" spans="2:6" x14ac:dyDescent="0.25">
      <c r="B154">
        <v>10</v>
      </c>
      <c r="C154">
        <f t="shared" si="4"/>
        <v>60.702939759036141</v>
      </c>
      <c r="D154">
        <f t="shared" si="5"/>
        <v>0.18042384179401236</v>
      </c>
      <c r="E154">
        <f t="shared" si="6"/>
        <v>0.25896127881022957</v>
      </c>
      <c r="F154">
        <f t="shared" si="6"/>
        <v>0.30565921433338572</v>
      </c>
    </row>
    <row r="155" spans="2:6" x14ac:dyDescent="0.25">
      <c r="B155">
        <v>11</v>
      </c>
      <c r="C155">
        <f t="shared" si="4"/>
        <v>60.982033734939762</v>
      </c>
      <c r="D155">
        <f t="shared" si="5"/>
        <v>0.17877614410439385</v>
      </c>
      <c r="E155">
        <f t="shared" si="6"/>
        <v>0.25659634800865949</v>
      </c>
      <c r="F155">
        <f t="shared" si="6"/>
        <v>0.30286782060038492</v>
      </c>
    </row>
    <row r="156" spans="2:6" x14ac:dyDescent="0.25">
      <c r="B156">
        <v>12</v>
      </c>
      <c r="C156">
        <f t="shared" si="4"/>
        <v>61.261127710843375</v>
      </c>
      <c r="D156">
        <f t="shared" si="5"/>
        <v>0.17715091486382897</v>
      </c>
      <c r="E156">
        <f t="shared" si="6"/>
        <v>0.25426366603984868</v>
      </c>
      <c r="F156">
        <f t="shared" si="6"/>
        <v>0.30011449106342791</v>
      </c>
    </row>
    <row r="157" spans="2:6" x14ac:dyDescent="0.25">
      <c r="B157">
        <v>13</v>
      </c>
      <c r="C157">
        <f t="shared" si="4"/>
        <v>61.540221686746982</v>
      </c>
      <c r="D157">
        <f t="shared" si="5"/>
        <v>0.17554774740705772</v>
      </c>
      <c r="E157">
        <f t="shared" si="6"/>
        <v>0.25196264921954176</v>
      </c>
      <c r="F157">
        <f t="shared" si="6"/>
        <v>0.29739853678372136</v>
      </c>
    </row>
    <row r="158" spans="2:6" x14ac:dyDescent="0.25">
      <c r="B158">
        <v>14</v>
      </c>
      <c r="C158">
        <f t="shared" si="4"/>
        <v>61.81931566265061</v>
      </c>
      <c r="D158">
        <f t="shared" si="5"/>
        <v>0.17396624422785328</v>
      </c>
      <c r="E158">
        <f t="shared" si="6"/>
        <v>0.24969272700938949</v>
      </c>
      <c r="F158">
        <f t="shared" si="6"/>
        <v>0.2947192843389515</v>
      </c>
    </row>
    <row r="159" spans="2:6" x14ac:dyDescent="0.25">
      <c r="B159">
        <v>15</v>
      </c>
      <c r="C159">
        <f t="shared" si="4"/>
        <v>62.098409638554216</v>
      </c>
      <c r="D159">
        <f t="shared" si="5"/>
        <v>0.17240601673259434</v>
      </c>
      <c r="E159">
        <f t="shared" si="6"/>
        <v>0.24745334166325311</v>
      </c>
      <c r="F159">
        <f t="shared" si="6"/>
        <v>0.29207607540580693</v>
      </c>
    </row>
    <row r="160" spans="2:6" x14ac:dyDescent="0.25">
      <c r="B160">
        <v>16</v>
      </c>
      <c r="C160">
        <f t="shared" si="4"/>
        <v>62.377503614457829</v>
      </c>
      <c r="D160">
        <f t="shared" si="5"/>
        <v>0.1708666850015364</v>
      </c>
      <c r="E160">
        <f t="shared" si="6"/>
        <v>0.24524394788455819</v>
      </c>
      <c r="F160">
        <f t="shared" si="6"/>
        <v>0.28946826635554407</v>
      </c>
    </row>
    <row r="161" spans="2:6" x14ac:dyDescent="0.25">
      <c r="B161">
        <v>17</v>
      </c>
      <c r="C161">
        <f t="shared" si="4"/>
        <v>62.65659759036145</v>
      </c>
      <c r="D161">
        <f t="shared" si="5"/>
        <v>0.16934787755751204</v>
      </c>
      <c r="E161">
        <f t="shared" si="6"/>
        <v>0.24306401249431148</v>
      </c>
      <c r="F161">
        <f t="shared" si="6"/>
        <v>0.28689522786213811</v>
      </c>
    </row>
    <row r="162" spans="2:6" x14ac:dyDescent="0.25">
      <c r="B162">
        <v>18</v>
      </c>
      <c r="C162">
        <f t="shared" si="4"/>
        <v>62.935691566265056</v>
      </c>
      <c r="D162">
        <f t="shared" si="5"/>
        <v>0.16784923114179376</v>
      </c>
      <c r="E162">
        <f t="shared" si="6"/>
        <v>0.24091301410939817</v>
      </c>
      <c r="F162">
        <f t="shared" si="6"/>
        <v>0.28435634452256831</v>
      </c>
    </row>
    <row r="163" spans="2:6" x14ac:dyDescent="0.25">
      <c r="B163">
        <v>19</v>
      </c>
      <c r="C163">
        <f t="shared" si="4"/>
        <v>63.21478554216867</v>
      </c>
      <c r="D163">
        <f t="shared" si="5"/>
        <v>0.166370390496869</v>
      </c>
      <c r="E163">
        <f t="shared" si="6"/>
        <v>0.23879044283080028</v>
      </c>
      <c r="F163">
        <f t="shared" si="6"/>
        <v>0.28185101448881344</v>
      </c>
    </row>
    <row r="164" spans="2:6" x14ac:dyDescent="0.25">
      <c r="B164">
        <v>20</v>
      </c>
      <c r="C164">
        <f t="shared" si="4"/>
        <v>63.493879518072291</v>
      </c>
      <c r="D164">
        <f t="shared" si="5"/>
        <v>0.1649110081558845</v>
      </c>
      <c r="E164">
        <f t="shared" si="6"/>
        <v>0.23669579994138723</v>
      </c>
      <c r="F164">
        <f t="shared" si="6"/>
        <v>0.27937864911114557</v>
      </c>
    </row>
    <row r="165" spans="2:6" x14ac:dyDescent="0.25">
      <c r="B165">
        <v>21</v>
      </c>
      <c r="C165">
        <f t="shared" si="4"/>
        <v>63.772973493975904</v>
      </c>
      <c r="D165">
        <f t="shared" si="5"/>
        <v>0.16347074423852634</v>
      </c>
      <c r="E165">
        <f t="shared" si="6"/>
        <v>0.23462859761294375</v>
      </c>
      <c r="F165">
        <f t="shared" si="6"/>
        <v>0.27693867259232702</v>
      </c>
    </row>
    <row r="166" spans="2:6" x14ac:dyDescent="0.25">
      <c r="B166">
        <v>22</v>
      </c>
      <c r="C166">
        <f t="shared" si="4"/>
        <v>64.052067469879518</v>
      </c>
      <c r="D166">
        <f t="shared" si="5"/>
        <v>0.16204926625311247</v>
      </c>
      <c r="E166">
        <f t="shared" si="6"/>
        <v>0.23258835862211444</v>
      </c>
      <c r="F166">
        <f t="shared" si="6"/>
        <v>0.27453052165233177</v>
      </c>
    </row>
    <row r="167" spans="2:6" x14ac:dyDescent="0.25">
      <c r="B167">
        <v>23</v>
      </c>
      <c r="C167">
        <f t="shared" si="4"/>
        <v>64.331161445783138</v>
      </c>
      <c r="D167">
        <f t="shared" si="5"/>
        <v>0.16064624890468227</v>
      </c>
      <c r="E167">
        <f t="shared" si="6"/>
        <v>0.2305746160749558</v>
      </c>
      <c r="F167">
        <f t="shared" si="6"/>
        <v>0.27215364520322649</v>
      </c>
    </row>
    <row r="168" spans="2:6" x14ac:dyDescent="0.25">
      <c r="B168">
        <v>24</v>
      </c>
      <c r="C168">
        <f t="shared" ref="C168:C185" si="7">$D$8*(1+B168/COUNT($B$103:$B$185)*0.4)</f>
        <v>64.610255421686745</v>
      </c>
      <c r="D168">
        <f t="shared" ref="D168:D185" si="8">($D$17/((($C168^2*PI()/4)*$D$7*$D$9)*$D$7*$D$9))*(2*CONVERT($D$100,"s","min")*CONVERT($D$4,"mm","m")/$D$18)</f>
        <v>0.15926137390887668</v>
      </c>
      <c r="E168">
        <f t="shared" si="6"/>
        <v>0.22858691313979954</v>
      </c>
      <c r="F168">
        <f t="shared" si="6"/>
        <v>0.26980750403386172</v>
      </c>
    </row>
    <row r="169" spans="2:6" x14ac:dyDescent="0.25">
      <c r="B169">
        <v>25</v>
      </c>
      <c r="C169">
        <f t="shared" si="7"/>
        <v>64.889349397590351</v>
      </c>
      <c r="D169">
        <f t="shared" si="8"/>
        <v>0.15789432981140941</v>
      </c>
      <c r="E169">
        <f t="shared" si="6"/>
        <v>0.22662480278814059</v>
      </c>
      <c r="F169">
        <f t="shared" si="6"/>
        <v>0.26749157050403477</v>
      </c>
    </row>
    <row r="170" spans="2:6" x14ac:dyDescent="0.25">
      <c r="B170">
        <v>26</v>
      </c>
      <c r="C170">
        <f t="shared" si="7"/>
        <v>65.168443373493986</v>
      </c>
      <c r="D170">
        <f t="shared" si="8"/>
        <v>0.15654481181293867</v>
      </c>
      <c r="E170">
        <f t="shared" si="6"/>
        <v>0.22468784754327673</v>
      </c>
      <c r="F170">
        <f t="shared" si="6"/>
        <v>0.26520532824780202</v>
      </c>
    </row>
    <row r="171" spans="2:6" x14ac:dyDescent="0.25">
      <c r="B171">
        <v>27</v>
      </c>
      <c r="C171">
        <f t="shared" si="7"/>
        <v>65.447537349397592</v>
      </c>
      <c r="D171">
        <f t="shared" si="8"/>
        <v>0.15521252159915616</v>
      </c>
      <c r="E171">
        <f t="shared" si="6"/>
        <v>0.22277561923643596</v>
      </c>
      <c r="F171">
        <f t="shared" si="6"/>
        <v>0.2629482718856293</v>
      </c>
    </row>
    <row r="172" spans="2:6" x14ac:dyDescent="0.25">
      <c r="B172">
        <v>28</v>
      </c>
      <c r="C172">
        <f t="shared" si="7"/>
        <v>65.726631325301199</v>
      </c>
      <c r="D172">
        <f t="shared" si="8"/>
        <v>0.15389716717591423</v>
      </c>
      <c r="E172">
        <f t="shared" si="6"/>
        <v>0.22088769877013578</v>
      </c>
      <c r="F172">
        <f t="shared" si="6"/>
        <v>0.26071990674507828</v>
      </c>
    </row>
    <row r="173" spans="2:6" x14ac:dyDescent="0.25">
      <c r="B173">
        <v>29</v>
      </c>
      <c r="C173">
        <f t="shared" si="7"/>
        <v>66.005725301204819</v>
      </c>
      <c r="D173">
        <f t="shared" si="8"/>
        <v>0.15259846270922406</v>
      </c>
      <c r="E173">
        <f t="shared" si="6"/>
        <v>0.21902367588853341</v>
      </c>
      <c r="F173">
        <f t="shared" si="6"/>
        <v>0.25851974858974436</v>
      </c>
    </row>
    <row r="174" spans="2:6" x14ac:dyDescent="0.25">
      <c r="B174">
        <v>30</v>
      </c>
      <c r="C174">
        <f t="shared" si="7"/>
        <v>66.28481927710844</v>
      </c>
      <c r="D174">
        <f t="shared" si="8"/>
        <v>0.15131612836995895</v>
      </c>
      <c r="E174">
        <f t="shared" si="6"/>
        <v>0.21718314895452936</v>
      </c>
      <c r="F174">
        <f t="shared" si="6"/>
        <v>0.25634732335616578</v>
      </c>
    </row>
    <row r="175" spans="2:6" x14ac:dyDescent="0.25">
      <c r="B175">
        <v>31</v>
      </c>
      <c r="C175">
        <f t="shared" si="7"/>
        <v>66.563913253012046</v>
      </c>
      <c r="D175">
        <f t="shared" si="8"/>
        <v>0.15004989018310627</v>
      </c>
      <c r="E175">
        <f t="shared" si="6"/>
        <v>0.21536572473339965</v>
      </c>
      <c r="F175">
        <f t="shared" si="6"/>
        <v>0.25420216689843894</v>
      </c>
    </row>
    <row r="176" spans="2:6" x14ac:dyDescent="0.25">
      <c r="B176">
        <v>32</v>
      </c>
      <c r="C176">
        <f t="shared" si="7"/>
        <v>66.843007228915667</v>
      </c>
      <c r="D176">
        <f t="shared" si="8"/>
        <v>0.14879947988141606</v>
      </c>
      <c r="E176">
        <f t="shared" si="6"/>
        <v>0.21357101818273838</v>
      </c>
      <c r="F176">
        <f t="shared" si="6"/>
        <v>0.25208382474028135</v>
      </c>
    </row>
    <row r="177" spans="2:6" x14ac:dyDescent="0.25">
      <c r="B177">
        <v>33</v>
      </c>
      <c r="C177">
        <f t="shared" si="7"/>
        <v>67.122101204819273</v>
      </c>
      <c r="D177">
        <f t="shared" si="8"/>
        <v>0.14756463476330059</v>
      </c>
      <c r="E177">
        <f t="shared" si="6"/>
        <v>0.21179865224850208</v>
      </c>
      <c r="F177">
        <f t="shared" si="6"/>
        <v>0.24999185183429753</v>
      </c>
    </row>
    <row r="178" spans="2:6" x14ac:dyDescent="0.25">
      <c r="B178">
        <v>34</v>
      </c>
      <c r="C178">
        <f t="shared" si="7"/>
        <v>67.401195180722894</v>
      </c>
      <c r="D178">
        <f t="shared" si="8"/>
        <v>0.14634509755484393</v>
      </c>
      <c r="E178">
        <f t="shared" si="6"/>
        <v>0.21004825766695254</v>
      </c>
      <c r="F178">
        <f t="shared" si="6"/>
        <v>0.24792581232820624</v>
      </c>
    </row>
    <row r="179" spans="2:6" x14ac:dyDescent="0.25">
      <c r="B179">
        <v>35</v>
      </c>
      <c r="C179">
        <f t="shared" si="7"/>
        <v>67.680289156626515</v>
      </c>
      <c r="D179">
        <f t="shared" si="8"/>
        <v>0.14514061627578692</v>
      </c>
      <c r="E179">
        <f t="shared" si="6"/>
        <v>0.20831947277230597</v>
      </c>
      <c r="F179">
        <f t="shared" si="6"/>
        <v>0.24588527933780374</v>
      </c>
    </row>
    <row r="180" spans="2:6" x14ac:dyDescent="0.25">
      <c r="B180">
        <v>36</v>
      </c>
      <c r="C180">
        <f t="shared" si="7"/>
        <v>67.959383132530121</v>
      </c>
      <c r="D180">
        <f t="shared" si="8"/>
        <v>0.14395094410935658</v>
      </c>
      <c r="E180">
        <f t="shared" si="6"/>
        <v>0.20661194330990007</v>
      </c>
      <c r="F180">
        <f t="shared" si="6"/>
        <v>0.24386983472643942</v>
      </c>
    </row>
    <row r="181" spans="2:6" x14ac:dyDescent="0.25">
      <c r="B181">
        <v>37</v>
      </c>
      <c r="C181">
        <f t="shared" si="7"/>
        <v>68.238477108433727</v>
      </c>
      <c r="D181">
        <f t="shared" si="8"/>
        <v>0.14277583927581433</v>
      </c>
      <c r="E181">
        <f t="shared" si="6"/>
        <v>0.20492532225469828</v>
      </c>
      <c r="F181">
        <f t="shared" si="6"/>
        <v>0.24187906889079139</v>
      </c>
    </row>
    <row r="182" spans="2:6" x14ac:dyDescent="0.25">
      <c r="B182">
        <v>38</v>
      </c>
      <c r="C182">
        <f t="shared" si="7"/>
        <v>68.517571084337348</v>
      </c>
      <c r="D182">
        <f t="shared" si="8"/>
        <v>0.14161506490960293</v>
      </c>
      <c r="E182">
        <f t="shared" si="6"/>
        <v>0.20325926963495958</v>
      </c>
      <c r="F182">
        <f t="shared" si="6"/>
        <v>0.23991258055273915</v>
      </c>
    </row>
    <row r="183" spans="2:6" x14ac:dyDescent="0.25">
      <c r="B183">
        <v>39</v>
      </c>
      <c r="C183">
        <f t="shared" si="7"/>
        <v>68.796665060240969</v>
      </c>
      <c r="D183">
        <f t="shared" si="8"/>
        <v>0.14046838893997501</v>
      </c>
      <c r="E183">
        <f t="shared" ref="E183:F185" si="9">($D$17/((($C183^2*PI()/4)*$D$7*$D$9)*$D$7*$D$9))*(2*CONVERT(E$100,"s","min")*CONVERT($D$4,"mm","m")/$D$18)</f>
        <v>0.20161345236090539</v>
      </c>
      <c r="F183">
        <f t="shared" si="9"/>
        <v>0.2379699765571342</v>
      </c>
    </row>
    <row r="184" spans="2:6" x14ac:dyDescent="0.25">
      <c r="B184">
        <v>40</v>
      </c>
      <c r="C184">
        <f t="shared" si="7"/>
        <v>69.075759036144575</v>
      </c>
      <c r="D184">
        <f t="shared" si="8"/>
        <v>0.13933558397499027</v>
      </c>
      <c r="E184">
        <f t="shared" si="9"/>
        <v>0.19998754405822139</v>
      </c>
      <c r="F184">
        <f t="shared" si="9"/>
        <v>0.23605087167527769</v>
      </c>
    </row>
    <row r="185" spans="2:6" x14ac:dyDescent="0.25">
      <c r="B185">
        <v>41</v>
      </c>
      <c r="C185">
        <f t="shared" si="7"/>
        <v>69.354853012048181</v>
      </c>
      <c r="D185">
        <f t="shared" si="8"/>
        <v>0.1382164271887745</v>
      </c>
      <c r="E185">
        <f t="shared" si="9"/>
        <v>0.19838122490624108</v>
      </c>
      <c r="F185">
        <f t="shared" si="9"/>
        <v>0.23415488841392387</v>
      </c>
    </row>
  </sheetData>
  <mergeCells count="1">
    <mergeCell ref="K2:M2"/>
  </mergeCells>
  <conditionalFormatting sqref="I4:I24">
    <cfRule type="cellIs" dxfId="0" priority="1" operator="greaterThan">
      <formula>0.6</formula>
    </cfRule>
  </conditionalFormatting>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056B9-A7EC-4122-9408-360B5FFCBA06}">
  <dimension ref="A1:M646"/>
  <sheetViews>
    <sheetView tabSelected="1" zoomScale="85" zoomScaleNormal="85" workbookViewId="0">
      <selection activeCell="I15" sqref="I15"/>
    </sheetView>
  </sheetViews>
  <sheetFormatPr defaultRowHeight="15" x14ac:dyDescent="0.25"/>
  <cols>
    <col min="2" max="2" width="58.85546875" bestFit="1" customWidth="1"/>
    <col min="3" max="3" width="17.7109375" bestFit="1" customWidth="1"/>
    <col min="4" max="4" width="11.5703125" bestFit="1" customWidth="1"/>
    <col min="5" max="5" width="10" bestFit="1" customWidth="1"/>
    <col min="6" max="6" width="12.5703125" bestFit="1" customWidth="1"/>
    <col min="7" max="7" width="9.42578125" bestFit="1" customWidth="1"/>
    <col min="9" max="9" width="67.140625" bestFit="1" customWidth="1"/>
    <col min="27" max="27" width="12.85546875" bestFit="1" customWidth="1"/>
  </cols>
  <sheetData>
    <row r="1" spans="1:13" x14ac:dyDescent="0.25">
      <c r="A1" s="103" t="s">
        <v>116</v>
      </c>
      <c r="B1" s="103"/>
      <c r="C1" s="103"/>
      <c r="D1" s="103"/>
      <c r="E1" s="103"/>
      <c r="F1" s="103"/>
      <c r="G1" s="103"/>
    </row>
    <row r="2" spans="1:13" x14ac:dyDescent="0.25">
      <c r="A2" s="103"/>
      <c r="B2" s="103"/>
      <c r="C2" s="103"/>
      <c r="D2" s="103"/>
      <c r="E2" s="103"/>
      <c r="F2" s="103"/>
      <c r="G2" s="103"/>
    </row>
    <row r="3" spans="1:13" x14ac:dyDescent="0.25">
      <c r="A3" s="103"/>
      <c r="B3" s="103"/>
      <c r="C3" s="103"/>
      <c r="D3" s="103"/>
      <c r="E3" s="103"/>
      <c r="F3" s="103"/>
      <c r="G3" s="103"/>
    </row>
    <row r="4" spans="1:13" ht="15.75" thickBot="1" x14ac:dyDescent="0.3"/>
    <row r="5" spans="1:13" ht="15.75" thickBot="1" x14ac:dyDescent="0.3">
      <c r="B5" s="59" t="s">
        <v>84</v>
      </c>
      <c r="C5" s="60"/>
      <c r="D5" s="60"/>
      <c r="E5" s="60"/>
      <c r="F5" s="60"/>
      <c r="G5" s="61"/>
    </row>
    <row r="6" spans="1:13" ht="15.75" thickBot="1" x14ac:dyDescent="0.3">
      <c r="A6" s="74" t="s">
        <v>100</v>
      </c>
      <c r="B6" s="46" t="s">
        <v>10</v>
      </c>
      <c r="C6" s="48" t="s">
        <v>59</v>
      </c>
      <c r="D6" s="28" t="s">
        <v>12</v>
      </c>
      <c r="E6" s="30" t="s">
        <v>60</v>
      </c>
      <c r="F6" s="52" t="s">
        <v>61</v>
      </c>
      <c r="G6" s="47" t="s">
        <v>62</v>
      </c>
      <c r="I6" s="111" t="s">
        <v>119</v>
      </c>
      <c r="J6" s="111">
        <v>0.15</v>
      </c>
      <c r="K6" s="111" t="s">
        <v>120</v>
      </c>
    </row>
    <row r="7" spans="1:13" x14ac:dyDescent="0.25">
      <c r="A7" s="73" t="s">
        <v>97</v>
      </c>
      <c r="B7" s="8" t="s">
        <v>46</v>
      </c>
      <c r="C7" s="49" t="s">
        <v>69</v>
      </c>
      <c r="D7" s="65">
        <v>4400</v>
      </c>
      <c r="E7" s="66" t="s">
        <v>49</v>
      </c>
      <c r="F7" s="78">
        <f>CONVERT(D7,"s","min")</f>
        <v>73.333333333333329</v>
      </c>
      <c r="G7" s="45" t="s">
        <v>63</v>
      </c>
      <c r="I7" s="104" t="s">
        <v>117</v>
      </c>
      <c r="J7" s="105">
        <f>178+(10000-NE)/1000*43</f>
        <v>418.79999999999995</v>
      </c>
      <c r="K7" s="106" t="s">
        <v>35</v>
      </c>
      <c r="L7" s="107">
        <f>CONVERT(J7,"mm","in")</f>
        <v>16.488188976377952</v>
      </c>
      <c r="M7" s="106" t="s">
        <v>64</v>
      </c>
    </row>
    <row r="8" spans="1:13" ht="18.75" thickBot="1" x14ac:dyDescent="0.4">
      <c r="A8" s="71" t="s">
        <v>98</v>
      </c>
      <c r="B8" s="8" t="s">
        <v>86</v>
      </c>
      <c r="C8" s="49" t="s">
        <v>88</v>
      </c>
      <c r="D8" s="81">
        <v>40</v>
      </c>
      <c r="E8" s="62" t="s">
        <v>36</v>
      </c>
      <c r="F8" s="80">
        <f>CONVERT(D8,"C","F")</f>
        <v>104</v>
      </c>
      <c r="G8" s="62" t="s">
        <v>87</v>
      </c>
      <c r="I8" s="108" t="s">
        <v>118</v>
      </c>
      <c r="J8" s="109">
        <f>CONVERT(SQRT(NE*J6*0.95/3330),"in","mm")</f>
        <v>11.021618396228027</v>
      </c>
      <c r="K8" s="110" t="s">
        <v>35</v>
      </c>
      <c r="L8" s="77">
        <f>CONVERT(J8,"mm","in")</f>
        <v>0.43392198410346561</v>
      </c>
      <c r="M8" s="110" t="s">
        <v>64</v>
      </c>
    </row>
    <row r="9" spans="1:13" ht="18.75" thickBot="1" x14ac:dyDescent="0.4">
      <c r="A9" s="72" t="s">
        <v>99</v>
      </c>
      <c r="B9" s="5" t="s">
        <v>72</v>
      </c>
      <c r="C9" s="50" t="s">
        <v>92</v>
      </c>
      <c r="D9" s="69">
        <v>80</v>
      </c>
      <c r="E9" s="43" t="s">
        <v>35</v>
      </c>
      <c r="F9" s="76">
        <f>CONVERT(D9,"mm","in")</f>
        <v>3.1496062992125986</v>
      </c>
      <c r="G9" s="43" t="s">
        <v>64</v>
      </c>
    </row>
    <row r="10" spans="1:13" ht="18" x14ac:dyDescent="0.35">
      <c r="B10" s="5" t="s">
        <v>78</v>
      </c>
      <c r="C10" s="50" t="s">
        <v>93</v>
      </c>
      <c r="D10" s="83">
        <v>13</v>
      </c>
      <c r="E10" s="43" t="s">
        <v>67</v>
      </c>
      <c r="F10" s="82">
        <f>-D10</f>
        <v>-13</v>
      </c>
      <c r="G10" s="43" t="s">
        <v>85</v>
      </c>
    </row>
    <row r="11" spans="1:13" ht="18" x14ac:dyDescent="0.35">
      <c r="B11" s="5" t="s">
        <v>79</v>
      </c>
      <c r="C11" s="50" t="s">
        <v>94</v>
      </c>
      <c r="D11" s="83">
        <v>65</v>
      </c>
      <c r="E11" s="43" t="s">
        <v>68</v>
      </c>
      <c r="F11" s="82">
        <f>180+D11</f>
        <v>245</v>
      </c>
      <c r="G11" s="43" t="s">
        <v>85</v>
      </c>
      <c r="I11" s="70"/>
    </row>
    <row r="12" spans="1:13" ht="18" x14ac:dyDescent="0.35">
      <c r="B12" s="8" t="s">
        <v>18</v>
      </c>
      <c r="C12" s="49" t="s">
        <v>89</v>
      </c>
      <c r="D12" s="63">
        <f>IF(T_Port&lt;=-40,1.402,IF(T_Port&lt;=25,1.401,IF(T_Port&lt;=50,1.4,1.40482786707211-0.0000863531711555169*T_Port)))</f>
        <v>1.4</v>
      </c>
      <c r="E12" s="45" t="s">
        <v>38</v>
      </c>
      <c r="F12" s="53">
        <f>1.402697-0.0000823268475054534*T_Port</f>
        <v>1.3994039260997819</v>
      </c>
      <c r="G12" s="45"/>
    </row>
    <row r="13" spans="1:13" ht="18" x14ac:dyDescent="0.35">
      <c r="B13" s="5" t="s">
        <v>19</v>
      </c>
      <c r="C13" s="64" t="s">
        <v>102</v>
      </c>
      <c r="D13" s="5">
        <v>8.3144629999999999</v>
      </c>
      <c r="E13" s="42" t="s">
        <v>40</v>
      </c>
      <c r="F13" s="53"/>
      <c r="G13" s="45"/>
    </row>
    <row r="14" spans="1:13" ht="18" x14ac:dyDescent="0.35">
      <c r="B14" s="5" t="s">
        <v>20</v>
      </c>
      <c r="C14" s="64" t="s">
        <v>90</v>
      </c>
      <c r="D14" s="5">
        <v>28.964700000000001</v>
      </c>
      <c r="E14" s="42" t="s">
        <v>41</v>
      </c>
      <c r="F14" s="53"/>
      <c r="G14" s="45"/>
    </row>
    <row r="15" spans="1:13" ht="18" x14ac:dyDescent="0.35">
      <c r="B15" s="5" t="s">
        <v>21</v>
      </c>
      <c r="C15" s="64" t="s">
        <v>30</v>
      </c>
      <c r="D15" s="67">
        <f>R_bar/CONVERT(MW_air,"g","kg")</f>
        <v>287.05503595756215</v>
      </c>
      <c r="E15" s="42" t="s">
        <v>42</v>
      </c>
      <c r="F15" s="53"/>
      <c r="G15" s="45"/>
    </row>
    <row r="16" spans="1:13" ht="18" x14ac:dyDescent="0.35">
      <c r="B16" s="8" t="s">
        <v>22</v>
      </c>
      <c r="C16" s="49" t="s">
        <v>91</v>
      </c>
      <c r="D16" s="68">
        <f>SQRT(k_air*(R_air*CONVERT(T_Port,"C","K")))</f>
        <v>354.75033236651774</v>
      </c>
      <c r="E16" s="45" t="s">
        <v>43</v>
      </c>
      <c r="F16" s="78">
        <f>CONVERT(D16,"m","ft")</f>
        <v>1163.8790431972366</v>
      </c>
      <c r="G16" s="45" t="s">
        <v>71</v>
      </c>
    </row>
    <row r="17" spans="1:7" ht="18" x14ac:dyDescent="0.35">
      <c r="B17" s="5" t="s">
        <v>80</v>
      </c>
      <c r="C17" s="50" t="s">
        <v>103</v>
      </c>
      <c r="D17" s="85">
        <f>CA_IVO+180+CA_IVC</f>
        <v>258</v>
      </c>
      <c r="E17" s="43" t="s">
        <v>65</v>
      </c>
      <c r="F17" s="54"/>
      <c r="G17" s="43"/>
    </row>
    <row r="18" spans="1:7" ht="18" x14ac:dyDescent="0.35">
      <c r="B18" s="5" t="s">
        <v>81</v>
      </c>
      <c r="C18" s="50" t="s">
        <v>104</v>
      </c>
      <c r="D18" s="85">
        <f>720-Duration_IV_Open</f>
        <v>462</v>
      </c>
      <c r="E18" s="43" t="s">
        <v>65</v>
      </c>
      <c r="F18" s="54"/>
      <c r="G18" s="43"/>
    </row>
    <row r="19" spans="1:7" ht="18" x14ac:dyDescent="0.35">
      <c r="B19" s="5" t="s">
        <v>82</v>
      </c>
      <c r="C19" s="50" t="s">
        <v>105</v>
      </c>
      <c r="D19" s="55">
        <f>(1/NE_Hz)*(Duration_IV_Closed/360)</f>
        <v>1.7500000000000002E-2</v>
      </c>
      <c r="E19" s="43" t="s">
        <v>66</v>
      </c>
      <c r="F19" s="75">
        <f>CONVERT(D19,"s","ms")</f>
        <v>17.5</v>
      </c>
      <c r="G19" s="43" t="s">
        <v>83</v>
      </c>
    </row>
    <row r="20" spans="1:7" ht="18" x14ac:dyDescent="0.35">
      <c r="B20" s="5" t="s">
        <v>70</v>
      </c>
      <c r="C20" s="50" t="s">
        <v>95</v>
      </c>
      <c r="D20" s="86">
        <f>c_Port*t_dur_IV_closed</f>
        <v>6.2081308164140614</v>
      </c>
      <c r="E20" s="43" t="s">
        <v>74</v>
      </c>
      <c r="F20" s="79">
        <f>CONVERT(D20,"m","ft")</f>
        <v>20.367883255951647</v>
      </c>
      <c r="G20" s="43" t="s">
        <v>75</v>
      </c>
    </row>
    <row r="21" spans="1:7" ht="18" x14ac:dyDescent="0.35">
      <c r="B21" s="5" t="s">
        <v>73</v>
      </c>
      <c r="C21" s="50" t="s">
        <v>96</v>
      </c>
      <c r="D21" s="84">
        <f>Dist_Pulse/CONVERT(L_Port_des,"mm","m")</f>
        <v>77.601635205175768</v>
      </c>
      <c r="E21" s="43" t="s">
        <v>38</v>
      </c>
      <c r="F21" s="54"/>
      <c r="G21" s="43"/>
    </row>
    <row r="22" spans="1:7" ht="18" x14ac:dyDescent="0.35">
      <c r="B22" s="5" t="s">
        <v>76</v>
      </c>
      <c r="C22" s="50" t="s">
        <v>106</v>
      </c>
      <c r="D22" s="87">
        <f>IF(MOD(N_Bounce,2)=0,N_Bounce,IF(MOD(N_Bounce,2)=1,N_Bounce-1,IF(ISEVEN(_xlfn.FLOOR.MATH(N_Bounce)),_xlfn.FLOOR.MATH(N_Bounce),_xlfn.CEILING.MATH(N_Bounce))))</f>
        <v>78</v>
      </c>
      <c r="E22" s="43" t="s">
        <v>38</v>
      </c>
      <c r="F22" s="54"/>
      <c r="G22" s="43"/>
    </row>
    <row r="23" spans="1:7" x14ac:dyDescent="0.25">
      <c r="B23" s="89" t="s">
        <v>107</v>
      </c>
      <c r="C23" s="90"/>
      <c r="D23" s="91">
        <f>N_Bounce_even/2</f>
        <v>39</v>
      </c>
      <c r="E23" s="92" t="s">
        <v>38</v>
      </c>
      <c r="F23" s="93"/>
      <c r="G23" s="92"/>
    </row>
    <row r="24" spans="1:7" ht="18.75" thickBot="1" x14ac:dyDescent="0.4">
      <c r="B24" s="6" t="s">
        <v>77</v>
      </c>
      <c r="C24" s="51" t="s">
        <v>101</v>
      </c>
      <c r="D24" s="88">
        <f>CONVERT(Dist_Pulse,"m","mm")/N_Bounce_even</f>
        <v>79.591420723257187</v>
      </c>
      <c r="E24" s="44" t="s">
        <v>35</v>
      </c>
      <c r="F24" s="77">
        <f>CONVERT(D24,"mm","in")</f>
        <v>3.1335205009156377</v>
      </c>
      <c r="G24" s="44" t="s">
        <v>64</v>
      </c>
    </row>
    <row r="31" spans="1:7" x14ac:dyDescent="0.25">
      <c r="A31" t="s">
        <v>115</v>
      </c>
    </row>
    <row r="32" spans="1:7" x14ac:dyDescent="0.25">
      <c r="A32">
        <f>MAX(MROUND(C501,2),_xlfn.CEILING.MATH(C501))</f>
        <v>83</v>
      </c>
    </row>
    <row r="34" spans="1:1" x14ac:dyDescent="0.25">
      <c r="A34" t="s">
        <v>114</v>
      </c>
    </row>
    <row r="35" spans="1:1" x14ac:dyDescent="0.25">
      <c r="A35">
        <f>MIN(MROUND(C500,2),_xlfn.FLOOR.MATH(C500))</f>
        <v>78</v>
      </c>
    </row>
    <row r="497" spans="2:3" x14ac:dyDescent="0.25">
      <c r="C497" s="100"/>
    </row>
    <row r="499" spans="2:3" x14ac:dyDescent="0.25">
      <c r="B499" t="s">
        <v>113</v>
      </c>
      <c r="C499">
        <f>(MAX(C506:C576)-MIN(C506:C576))*0.25</f>
        <v>0.4039600058003856</v>
      </c>
    </row>
    <row r="500" spans="2:3" x14ac:dyDescent="0.25">
      <c r="B500" t="s">
        <v>111</v>
      </c>
      <c r="C500">
        <f>MIN(C506:C646)-C499</f>
        <v>78.089648017825681</v>
      </c>
    </row>
    <row r="501" spans="2:3" ht="15.75" thickBot="1" x14ac:dyDescent="0.3">
      <c r="B501" t="s">
        <v>112</v>
      </c>
      <c r="C501">
        <f>MAX(C506:C646)+C499</f>
        <v>82.212212752796091</v>
      </c>
    </row>
    <row r="502" spans="2:3" ht="15.75" thickBot="1" x14ac:dyDescent="0.3">
      <c r="B502" s="98" t="s">
        <v>110</v>
      </c>
      <c r="C502" s="99" t="str">
        <f>_xlfn.CONCAT("Intake Runner Length Target","-Using desired port length as starting point: ",L_Port_des," mm. ", "Temperature of port also affects")</f>
        <v>Intake Runner Length Target-Using desired port length as starting point: 80 mm. Temperature of port also affects</v>
      </c>
    </row>
    <row r="503" spans="2:3" x14ac:dyDescent="0.25">
      <c r="B503" s="96" t="s">
        <v>108</v>
      </c>
      <c r="C503" s="97"/>
    </row>
    <row r="504" spans="2:3" ht="45" x14ac:dyDescent="0.25">
      <c r="B504" s="94" t="s">
        <v>46</v>
      </c>
      <c r="C504" s="95" t="s">
        <v>109</v>
      </c>
    </row>
    <row r="505" spans="2:3" ht="15.75" thickBot="1" x14ac:dyDescent="0.3">
      <c r="B505" s="101" t="s">
        <v>49</v>
      </c>
      <c r="C505" s="102">
        <f>CONVERT(Dist_Pulse,"m","mm")/N_Bounce_even</f>
        <v>79.591420723257187</v>
      </c>
    </row>
    <row r="506" spans="2:3" x14ac:dyDescent="0.25">
      <c r="B506" s="27">
        <v>1000</v>
      </c>
      <c r="C506" s="66">
        <f t="dataTable" ref="C506:C646" dt2D="0" dtr="0" r1="D7"/>
        <v>79.870688866145798</v>
      </c>
    </row>
    <row r="507" spans="2:3" x14ac:dyDescent="0.25">
      <c r="B507" s="5">
        <v>1050</v>
      </c>
      <c r="C507" s="43">
        <v>79.800688262406851</v>
      </c>
    </row>
    <row r="508" spans="2:3" x14ac:dyDescent="0.25">
      <c r="B508" s="5">
        <v>1100</v>
      </c>
      <c r="C508" s="43">
        <v>80.104913760181432</v>
      </c>
    </row>
    <row r="509" spans="2:3" x14ac:dyDescent="0.25">
      <c r="B509" s="5">
        <v>1150</v>
      </c>
      <c r="C509" s="43">
        <v>80.246109260346259</v>
      </c>
    </row>
    <row r="510" spans="2:3" x14ac:dyDescent="0.25">
      <c r="B510" s="5">
        <v>1200</v>
      </c>
      <c r="C510" s="43">
        <v>80.151923686097035</v>
      </c>
    </row>
    <row r="511" spans="2:3" x14ac:dyDescent="0.25">
      <c r="B511" s="5">
        <v>1250</v>
      </c>
      <c r="C511" s="43">
        <v>79.754089320355831</v>
      </c>
    </row>
    <row r="512" spans="2:3" x14ac:dyDescent="0.25">
      <c r="B512" s="5">
        <v>1300</v>
      </c>
      <c r="C512" s="43">
        <v>80.198988820381288</v>
      </c>
    </row>
    <row r="513" spans="2:3" x14ac:dyDescent="0.25">
      <c r="B513" s="5">
        <v>1350</v>
      </c>
      <c r="C513" s="43">
        <v>80.293285103532838</v>
      </c>
    </row>
    <row r="514" spans="2:3" x14ac:dyDescent="0.25">
      <c r="B514" s="5">
        <v>1400</v>
      </c>
      <c r="C514" s="43">
        <v>79.96421426294458</v>
      </c>
    </row>
    <row r="515" spans="2:3" x14ac:dyDescent="0.25">
      <c r="B515" s="5">
        <v>1450</v>
      </c>
      <c r="C515" s="43">
        <v>79.824008159619723</v>
      </c>
    </row>
    <row r="516" spans="2:3" x14ac:dyDescent="0.25">
      <c r="B516" s="5">
        <v>1500</v>
      </c>
      <c r="C516" s="43">
        <v>79.870688866145827</v>
      </c>
    </row>
    <row r="517" spans="2:3" x14ac:dyDescent="0.25">
      <c r="B517" s="5">
        <v>1550</v>
      </c>
      <c r="C517" s="43">
        <v>80.104913760181446</v>
      </c>
    </row>
    <row r="518" spans="2:3" x14ac:dyDescent="0.25">
      <c r="B518" s="5">
        <v>1600</v>
      </c>
      <c r="C518" s="43">
        <v>79.77738198662928</v>
      </c>
    </row>
    <row r="519" spans="2:3" x14ac:dyDescent="0.25">
      <c r="B519" s="5">
        <v>1650</v>
      </c>
      <c r="C519" s="43">
        <v>80.364152963288817</v>
      </c>
    </row>
    <row r="520" spans="2:3" x14ac:dyDescent="0.25">
      <c r="B520" s="5">
        <v>1700</v>
      </c>
      <c r="C520" s="43">
        <v>80.34051644771138</v>
      </c>
    </row>
    <row r="521" spans="2:3" x14ac:dyDescent="0.25">
      <c r="B521" s="5">
        <v>1750</v>
      </c>
      <c r="C521" s="43">
        <v>79.637829714932565</v>
      </c>
    </row>
    <row r="522" spans="2:3" x14ac:dyDescent="0.25">
      <c r="B522" s="5">
        <v>1800</v>
      </c>
      <c r="C522" s="43">
        <v>79.870688866145827</v>
      </c>
    </row>
    <row r="523" spans="2:3" x14ac:dyDescent="0.25">
      <c r="B523" s="5">
        <v>1850</v>
      </c>
      <c r="C523" s="43">
        <v>80.246109260346273</v>
      </c>
    </row>
    <row r="524" spans="2:3" x14ac:dyDescent="0.25">
      <c r="B524" s="5">
        <v>1900</v>
      </c>
      <c r="C524" s="43">
        <v>79.870688866145812</v>
      </c>
    </row>
    <row r="525" spans="2:3" x14ac:dyDescent="0.25">
      <c r="B525" s="5">
        <v>1950</v>
      </c>
      <c r="C525" s="43">
        <v>79.591420723257201</v>
      </c>
    </row>
    <row r="526" spans="2:3" x14ac:dyDescent="0.25">
      <c r="B526" s="5">
        <v>2000</v>
      </c>
      <c r="C526" s="43">
        <v>80.340516447711366</v>
      </c>
    </row>
    <row r="527" spans="2:3" x14ac:dyDescent="0.25">
      <c r="B527" s="5">
        <v>2050</v>
      </c>
      <c r="C527" s="43">
        <v>80.26969025043158</v>
      </c>
    </row>
    <row r="528" spans="2:3" x14ac:dyDescent="0.25">
      <c r="B528" s="5">
        <v>2100</v>
      </c>
      <c r="C528" s="43">
        <v>80.293285103532824</v>
      </c>
    </row>
    <row r="529" spans="2:3" x14ac:dyDescent="0.25">
      <c r="B529" s="5">
        <v>2150</v>
      </c>
      <c r="C529" s="43">
        <v>80.411467742778527</v>
      </c>
    </row>
    <row r="530" spans="2:3" x14ac:dyDescent="0.25">
      <c r="B530" s="5">
        <v>2200</v>
      </c>
      <c r="C530" s="43">
        <v>79.591420723257187</v>
      </c>
    </row>
    <row r="531" spans="2:3" x14ac:dyDescent="0.25">
      <c r="B531" s="5">
        <v>2250</v>
      </c>
      <c r="C531" s="43">
        <v>79.870688866145827</v>
      </c>
    </row>
    <row r="532" spans="2:3" x14ac:dyDescent="0.25">
      <c r="B532" s="5">
        <v>2300</v>
      </c>
      <c r="C532" s="43">
        <v>80.246109260346259</v>
      </c>
    </row>
    <row r="533" spans="2:3" x14ac:dyDescent="0.25">
      <c r="B533" s="5">
        <v>2350</v>
      </c>
      <c r="C533" s="43">
        <v>79.614618455907532</v>
      </c>
    </row>
    <row r="534" spans="2:3" x14ac:dyDescent="0.25">
      <c r="B534" s="5">
        <v>2400</v>
      </c>
      <c r="C534" s="43">
        <v>80.151923686097035</v>
      </c>
    </row>
    <row r="535" spans="2:3" x14ac:dyDescent="0.25">
      <c r="B535" s="5">
        <v>2450</v>
      </c>
      <c r="C535" s="43">
        <v>79.637829714932565</v>
      </c>
    </row>
    <row r="536" spans="2:3" x14ac:dyDescent="0.25">
      <c r="B536" s="5">
        <v>2500</v>
      </c>
      <c r="C536" s="43">
        <v>80.34051644771138</v>
      </c>
    </row>
    <row r="537" spans="2:3" x14ac:dyDescent="0.25">
      <c r="B537" s="5">
        <v>2550</v>
      </c>
      <c r="C537" s="43">
        <v>79.940812385782465</v>
      </c>
    </row>
    <row r="538" spans="2:3" x14ac:dyDescent="0.25">
      <c r="B538" s="5">
        <v>2600</v>
      </c>
      <c r="C538" s="43">
        <v>79.591420723257187</v>
      </c>
    </row>
    <row r="539" spans="2:3" x14ac:dyDescent="0.25">
      <c r="B539" s="5">
        <v>2650</v>
      </c>
      <c r="C539" s="43">
        <v>80.529998797823907</v>
      </c>
    </row>
    <row r="540" spans="2:3" x14ac:dyDescent="0.25">
      <c r="B540" s="5">
        <v>2700</v>
      </c>
      <c r="C540" s="43">
        <v>80.293285103532838</v>
      </c>
    </row>
    <row r="541" spans="2:3" x14ac:dyDescent="0.25">
      <c r="B541" s="5">
        <v>2750</v>
      </c>
      <c r="C541" s="43">
        <v>80.104913760181418</v>
      </c>
    </row>
    <row r="542" spans="2:3" x14ac:dyDescent="0.25">
      <c r="B542" s="5">
        <v>2800</v>
      </c>
      <c r="C542" s="43">
        <v>79.96421426294458</v>
      </c>
    </row>
    <row r="543" spans="2:3" x14ac:dyDescent="0.25">
      <c r="B543" s="5">
        <v>2850</v>
      </c>
      <c r="C543" s="43">
        <v>79.870688866145812</v>
      </c>
    </row>
    <row r="544" spans="2:3" x14ac:dyDescent="0.25">
      <c r="B544" s="5">
        <v>2900</v>
      </c>
      <c r="C544" s="43">
        <v>79.824008159619723</v>
      </c>
    </row>
    <row r="545" spans="2:3" x14ac:dyDescent="0.25">
      <c r="B545" s="5">
        <v>2950</v>
      </c>
      <c r="C545" s="43">
        <v>79.824008159619723</v>
      </c>
    </row>
    <row r="546" spans="2:3" x14ac:dyDescent="0.25">
      <c r="B546" s="5">
        <v>3000</v>
      </c>
      <c r="C546" s="43">
        <v>79.870688866145827</v>
      </c>
    </row>
    <row r="547" spans="2:3" x14ac:dyDescent="0.25">
      <c r="B547" s="5">
        <v>3050</v>
      </c>
      <c r="C547" s="43">
        <v>79.96421426294458</v>
      </c>
    </row>
    <row r="548" spans="2:3" x14ac:dyDescent="0.25">
      <c r="B548" s="5">
        <v>3100</v>
      </c>
      <c r="C548" s="43">
        <v>80.104913760181446</v>
      </c>
    </row>
    <row r="549" spans="2:3" x14ac:dyDescent="0.25">
      <c r="B549" s="5">
        <v>3150</v>
      </c>
      <c r="C549" s="43">
        <v>80.293285103532824</v>
      </c>
    </row>
    <row r="550" spans="2:3" x14ac:dyDescent="0.25">
      <c r="B550" s="5">
        <v>3200</v>
      </c>
      <c r="C550" s="43">
        <v>80.529998797823893</v>
      </c>
    </row>
    <row r="551" spans="2:3" x14ac:dyDescent="0.25">
      <c r="B551" s="5">
        <v>3250</v>
      </c>
      <c r="C551" s="43">
        <v>79.291075739395836</v>
      </c>
    </row>
    <row r="552" spans="2:3" x14ac:dyDescent="0.25">
      <c r="B552" s="5">
        <v>3300</v>
      </c>
      <c r="C552" s="43">
        <v>79.591420723257201</v>
      </c>
    </row>
    <row r="553" spans="2:3" x14ac:dyDescent="0.25">
      <c r="B553" s="5">
        <v>3350</v>
      </c>
      <c r="C553" s="43">
        <v>79.940812385782465</v>
      </c>
    </row>
    <row r="554" spans="2:3" x14ac:dyDescent="0.25">
      <c r="B554" s="5">
        <v>3400</v>
      </c>
      <c r="C554" s="43">
        <v>80.34051644771138</v>
      </c>
    </row>
    <row r="555" spans="2:3" x14ac:dyDescent="0.25">
      <c r="B555" s="5">
        <v>3450</v>
      </c>
      <c r="C555" s="43">
        <v>80.792001160076509</v>
      </c>
    </row>
    <row r="556" spans="2:3" x14ac:dyDescent="0.25">
      <c r="B556" s="5">
        <v>3500</v>
      </c>
      <c r="C556" s="43">
        <v>79.637829714932565</v>
      </c>
    </row>
    <row r="557" spans="2:3" x14ac:dyDescent="0.25">
      <c r="B557" s="5">
        <v>3550</v>
      </c>
      <c r="C557" s="43">
        <v>80.151923686097049</v>
      </c>
    </row>
    <row r="558" spans="2:3" x14ac:dyDescent="0.25">
      <c r="B558" s="5">
        <v>3600</v>
      </c>
      <c r="C558" s="43">
        <v>80.720377045572903</v>
      </c>
    </row>
    <row r="559" spans="2:3" x14ac:dyDescent="0.25">
      <c r="B559" s="5">
        <v>3650</v>
      </c>
      <c r="C559" s="43">
        <v>79.614618455907504</v>
      </c>
    </row>
    <row r="560" spans="2:3" x14ac:dyDescent="0.25">
      <c r="B560" s="5">
        <v>3700</v>
      </c>
      <c r="C560" s="43">
        <v>80.246109260346273</v>
      </c>
    </row>
    <row r="561" spans="2:3" x14ac:dyDescent="0.25">
      <c r="B561" s="5">
        <v>3750</v>
      </c>
      <c r="C561" s="43">
        <v>79.176161136874967</v>
      </c>
    </row>
    <row r="562" spans="2:3" x14ac:dyDescent="0.25">
      <c r="B562" s="5">
        <v>3800</v>
      </c>
      <c r="C562" s="43">
        <v>79.870688866145812</v>
      </c>
    </row>
    <row r="563" spans="2:3" x14ac:dyDescent="0.25">
      <c r="B563" s="5">
        <v>3850</v>
      </c>
      <c r="C563" s="43">
        <v>80.62507553784495</v>
      </c>
    </row>
    <row r="564" spans="2:3" x14ac:dyDescent="0.25">
      <c r="B564" s="5">
        <v>3900</v>
      </c>
      <c r="C564" s="43">
        <v>79.591420723257201</v>
      </c>
    </row>
    <row r="565" spans="2:3" x14ac:dyDescent="0.25">
      <c r="B565" s="5">
        <v>3950</v>
      </c>
      <c r="C565" s="43">
        <v>80.411467742778541</v>
      </c>
    </row>
    <row r="566" spans="2:3" x14ac:dyDescent="0.25">
      <c r="B566" s="5">
        <v>4000</v>
      </c>
      <c r="C566" s="43">
        <v>79.406324395993792</v>
      </c>
    </row>
    <row r="567" spans="2:3" x14ac:dyDescent="0.25">
      <c r="B567" s="5">
        <v>4050</v>
      </c>
      <c r="C567" s="43">
        <v>80.293285103532824</v>
      </c>
    </row>
    <row r="568" spans="2:3" x14ac:dyDescent="0.25">
      <c r="B568" s="5">
        <v>4100</v>
      </c>
      <c r="C568" s="43">
        <v>79.314098699831206</v>
      </c>
    </row>
    <row r="569" spans="2:3" x14ac:dyDescent="0.25">
      <c r="B569" s="5">
        <v>4150</v>
      </c>
      <c r="C569" s="43">
        <v>80.26969025043158</v>
      </c>
    </row>
    <row r="570" spans="2:3" x14ac:dyDescent="0.25">
      <c r="B570" s="5">
        <v>4200</v>
      </c>
      <c r="C570" s="43">
        <v>79.314098699831206</v>
      </c>
    </row>
    <row r="571" spans="2:3" x14ac:dyDescent="0.25">
      <c r="B571" s="5">
        <v>4250</v>
      </c>
      <c r="C571" s="43">
        <v>80.34051644771138</v>
      </c>
    </row>
    <row r="572" spans="2:3" x14ac:dyDescent="0.25">
      <c r="B572" s="5">
        <v>4300</v>
      </c>
      <c r="C572" s="43">
        <v>79.406324395993792</v>
      </c>
    </row>
    <row r="573" spans="2:3" x14ac:dyDescent="0.25">
      <c r="B573" s="5">
        <v>4350</v>
      </c>
      <c r="C573" s="43">
        <v>80.506264639616461</v>
      </c>
    </row>
    <row r="574" spans="2:3" x14ac:dyDescent="0.25">
      <c r="B574" s="5">
        <v>4400</v>
      </c>
      <c r="C574" s="43">
        <v>79.591420723257187</v>
      </c>
    </row>
    <row r="575" spans="2:3" x14ac:dyDescent="0.25">
      <c r="B575" s="5">
        <v>4450</v>
      </c>
      <c r="C575" s="43">
        <v>80.768112336551937</v>
      </c>
    </row>
    <row r="576" spans="2:3" x14ac:dyDescent="0.25">
      <c r="B576" s="5">
        <v>4500</v>
      </c>
      <c r="C576" s="43">
        <v>79.870688866145827</v>
      </c>
    </row>
    <row r="577" spans="2:3" x14ac:dyDescent="0.25">
      <c r="B577" s="5">
        <v>4550</v>
      </c>
      <c r="C577" s="43">
        <v>78.992988988495867</v>
      </c>
    </row>
    <row r="578" spans="2:3" x14ac:dyDescent="0.25">
      <c r="B578" s="5">
        <v>4600</v>
      </c>
      <c r="C578" s="43">
        <v>80.246109260346259</v>
      </c>
    </row>
    <row r="579" spans="2:3" x14ac:dyDescent="0.25">
      <c r="B579" s="5">
        <v>4650</v>
      </c>
      <c r="C579" s="43">
        <v>79.383247870450077</v>
      </c>
    </row>
    <row r="580" spans="2:3" x14ac:dyDescent="0.25">
      <c r="B580" s="5">
        <v>4700</v>
      </c>
      <c r="C580" s="43">
        <v>80.720377045572903</v>
      </c>
    </row>
    <row r="581" spans="2:3" x14ac:dyDescent="0.25">
      <c r="B581" s="5">
        <v>4750</v>
      </c>
      <c r="C581" s="43">
        <v>79.870688866145812</v>
      </c>
    </row>
    <row r="582" spans="2:3" x14ac:dyDescent="0.25">
      <c r="B582" s="5">
        <v>4800</v>
      </c>
      <c r="C582" s="43">
        <v>79.038702523790136</v>
      </c>
    </row>
    <row r="583" spans="2:3" x14ac:dyDescent="0.25">
      <c r="B583" s="5">
        <v>4850</v>
      </c>
      <c r="C583" s="43">
        <v>80.458838268694748</v>
      </c>
    </row>
    <row r="584" spans="2:3" x14ac:dyDescent="0.25">
      <c r="B584" s="5">
        <v>4900</v>
      </c>
      <c r="C584" s="43">
        <v>79.637829714932565</v>
      </c>
    </row>
    <row r="585" spans="2:3" x14ac:dyDescent="0.25">
      <c r="B585" s="5">
        <v>4950</v>
      </c>
      <c r="C585" s="43">
        <v>81.152036815870076</v>
      </c>
    </row>
    <row r="586" spans="2:3" x14ac:dyDescent="0.25">
      <c r="B586" s="5">
        <v>5000</v>
      </c>
      <c r="C586" s="43">
        <v>80.34051644771138</v>
      </c>
    </row>
    <row r="587" spans="2:3" x14ac:dyDescent="0.25">
      <c r="B587" s="5">
        <v>5050</v>
      </c>
      <c r="C587" s="43">
        <v>79.54506578981325</v>
      </c>
    </row>
    <row r="588" spans="2:3" x14ac:dyDescent="0.25">
      <c r="B588" s="5">
        <v>5100</v>
      </c>
      <c r="C588" s="43">
        <v>81.152036815870076</v>
      </c>
    </row>
    <row r="589" spans="2:3" x14ac:dyDescent="0.25">
      <c r="B589" s="5">
        <v>5150</v>
      </c>
      <c r="C589" s="43">
        <v>80.364152963288831</v>
      </c>
    </row>
    <row r="590" spans="2:3" x14ac:dyDescent="0.25">
      <c r="B590" s="5">
        <v>5200</v>
      </c>
      <c r="C590" s="43">
        <v>79.591420723257187</v>
      </c>
    </row>
    <row r="591" spans="2:3" x14ac:dyDescent="0.25">
      <c r="B591" s="5">
        <v>5250</v>
      </c>
      <c r="C591" s="43">
        <v>78.833407192559505</v>
      </c>
    </row>
    <row r="592" spans="2:3" x14ac:dyDescent="0.25">
      <c r="B592" s="5">
        <v>5300</v>
      </c>
      <c r="C592" s="43">
        <v>80.529998797823907</v>
      </c>
    </row>
    <row r="593" spans="2:3" x14ac:dyDescent="0.25">
      <c r="B593" s="5">
        <v>5350</v>
      </c>
      <c r="C593" s="43">
        <v>79.77738198662928</v>
      </c>
    </row>
    <row r="594" spans="2:3" x14ac:dyDescent="0.25">
      <c r="B594" s="5">
        <v>5400</v>
      </c>
      <c r="C594" s="43">
        <v>79.038702523790136</v>
      </c>
    </row>
    <row r="595" spans="2:3" x14ac:dyDescent="0.25">
      <c r="B595" s="5">
        <v>5450</v>
      </c>
      <c r="C595" s="43">
        <v>80.839821225871177</v>
      </c>
    </row>
    <row r="596" spans="2:3" x14ac:dyDescent="0.25">
      <c r="B596" s="5">
        <v>5500</v>
      </c>
      <c r="C596" s="43">
        <v>80.104913760181418</v>
      </c>
    </row>
    <row r="597" spans="2:3" x14ac:dyDescent="0.25">
      <c r="B597" s="5">
        <v>5550</v>
      </c>
      <c r="C597" s="43">
        <v>79.383247870450063</v>
      </c>
    </row>
    <row r="598" spans="2:3" x14ac:dyDescent="0.25">
      <c r="B598" s="5">
        <v>5600</v>
      </c>
      <c r="C598" s="43">
        <v>81.296951167326995</v>
      </c>
    </row>
    <row r="599" spans="2:3" x14ac:dyDescent="0.25">
      <c r="B599" s="5">
        <v>5650</v>
      </c>
      <c r="C599" s="43">
        <v>80.577509121598425</v>
      </c>
    </row>
    <row r="600" spans="2:3" x14ac:dyDescent="0.25">
      <c r="B600" s="5">
        <v>5700</v>
      </c>
      <c r="C600" s="43">
        <v>79.870688866145812</v>
      </c>
    </row>
    <row r="601" spans="2:3" x14ac:dyDescent="0.25">
      <c r="B601" s="5">
        <v>5750</v>
      </c>
      <c r="C601" s="43">
        <v>79.176161136874981</v>
      </c>
    </row>
    <row r="602" spans="2:3" x14ac:dyDescent="0.25">
      <c r="B602" s="5">
        <v>5800</v>
      </c>
      <c r="C602" s="43">
        <v>81.200284162371787</v>
      </c>
    </row>
    <row r="603" spans="2:3" x14ac:dyDescent="0.25">
      <c r="B603" s="5">
        <v>5850</v>
      </c>
      <c r="C603" s="43">
        <v>80.506264639616461</v>
      </c>
    </row>
    <row r="604" spans="2:3" x14ac:dyDescent="0.25">
      <c r="B604" s="5">
        <v>5900</v>
      </c>
      <c r="C604" s="43">
        <v>79.824008159619723</v>
      </c>
    </row>
    <row r="605" spans="2:3" x14ac:dyDescent="0.25">
      <c r="B605" s="5">
        <v>5950</v>
      </c>
      <c r="C605" s="43">
        <v>79.153218175085101</v>
      </c>
    </row>
    <row r="606" spans="2:3" x14ac:dyDescent="0.25">
      <c r="B606" s="5">
        <v>6000</v>
      </c>
      <c r="C606" s="43">
        <v>81.296951167327009</v>
      </c>
    </row>
    <row r="607" spans="2:3" x14ac:dyDescent="0.25">
      <c r="B607" s="5">
        <v>6050</v>
      </c>
      <c r="C607" s="43">
        <v>80.625075537844964</v>
      </c>
    </row>
    <row r="608" spans="2:3" x14ac:dyDescent="0.25">
      <c r="B608" s="5">
        <v>6100</v>
      </c>
      <c r="C608" s="43">
        <v>79.96421426294458</v>
      </c>
    </row>
    <row r="609" spans="2:3" x14ac:dyDescent="0.25">
      <c r="B609" s="5">
        <v>6150</v>
      </c>
      <c r="C609" s="43">
        <v>79.314098699831206</v>
      </c>
    </row>
    <row r="610" spans="2:3" x14ac:dyDescent="0.25">
      <c r="B610" s="5">
        <v>6200</v>
      </c>
      <c r="C610" s="43">
        <v>78.674468871606777</v>
      </c>
    </row>
    <row r="611" spans="2:3" x14ac:dyDescent="0.25">
      <c r="B611" s="5">
        <v>6250</v>
      </c>
      <c r="C611" s="43">
        <v>80.935631384361088</v>
      </c>
    </row>
    <row r="612" spans="2:3" x14ac:dyDescent="0.25">
      <c r="B612" s="5">
        <v>6300</v>
      </c>
      <c r="C612" s="43">
        <v>80.293285103532824</v>
      </c>
    </row>
    <row r="613" spans="2:3" x14ac:dyDescent="0.25">
      <c r="B613" s="5">
        <v>6350</v>
      </c>
      <c r="C613" s="43">
        <v>79.66105451216643</v>
      </c>
    </row>
    <row r="614" spans="2:3" x14ac:dyDescent="0.25">
      <c r="B614" s="5">
        <v>6400</v>
      </c>
      <c r="C614" s="43">
        <v>79.038702523790121</v>
      </c>
    </row>
    <row r="615" spans="2:3" x14ac:dyDescent="0.25">
      <c r="B615" s="5">
        <v>6450</v>
      </c>
      <c r="C615" s="43">
        <v>81.442383995891078</v>
      </c>
    </row>
    <row r="616" spans="2:3" x14ac:dyDescent="0.25">
      <c r="B616" s="5">
        <v>6500</v>
      </c>
      <c r="C616" s="43">
        <v>80.815904118999612</v>
      </c>
    </row>
    <row r="617" spans="2:3" x14ac:dyDescent="0.25">
      <c r="B617" s="5">
        <v>6550</v>
      </c>
      <c r="C617" s="43">
        <v>80.198988820381288</v>
      </c>
    </row>
    <row r="618" spans="2:3" x14ac:dyDescent="0.25">
      <c r="B618" s="5">
        <v>6600</v>
      </c>
      <c r="C618" s="43">
        <v>79.591420723257201</v>
      </c>
    </row>
    <row r="619" spans="2:3" x14ac:dyDescent="0.25">
      <c r="B619" s="5">
        <v>6650</v>
      </c>
      <c r="C619" s="43">
        <v>78.992988988495867</v>
      </c>
    </row>
    <row r="620" spans="2:3" x14ac:dyDescent="0.25">
      <c r="B620" s="5">
        <v>6700</v>
      </c>
      <c r="C620" s="43">
        <v>81.539628633498111</v>
      </c>
    </row>
    <row r="621" spans="2:3" x14ac:dyDescent="0.25">
      <c r="B621" s="5">
        <v>6750</v>
      </c>
      <c r="C621" s="43">
        <v>80.935631384361088</v>
      </c>
    </row>
    <row r="622" spans="2:3" x14ac:dyDescent="0.25">
      <c r="B622" s="5">
        <v>6800</v>
      </c>
      <c r="C622" s="43">
        <v>80.34051644771138</v>
      </c>
    </row>
    <row r="623" spans="2:3" x14ac:dyDescent="0.25">
      <c r="B623" s="5">
        <v>6850</v>
      </c>
      <c r="C623" s="43">
        <v>79.754089320355803</v>
      </c>
    </row>
    <row r="624" spans="2:3" x14ac:dyDescent="0.25">
      <c r="B624" s="5">
        <v>6900</v>
      </c>
      <c r="C624" s="43">
        <v>79.176161136874981</v>
      </c>
    </row>
    <row r="625" spans="2:3" x14ac:dyDescent="0.25">
      <c r="B625" s="5">
        <v>6950</v>
      </c>
      <c r="C625" s="43">
        <v>78.606548466825515</v>
      </c>
    </row>
    <row r="626" spans="2:3" x14ac:dyDescent="0.25">
      <c r="B626" s="5">
        <v>7000</v>
      </c>
      <c r="C626" s="43">
        <v>81.296951167326995</v>
      </c>
    </row>
    <row r="627" spans="2:3" x14ac:dyDescent="0.25">
      <c r="B627" s="5">
        <v>7050</v>
      </c>
      <c r="C627" s="43">
        <v>80.720377045572903</v>
      </c>
    </row>
    <row r="628" spans="2:3" x14ac:dyDescent="0.25">
      <c r="B628" s="5">
        <v>7100</v>
      </c>
      <c r="C628" s="43">
        <v>80.151923686097049</v>
      </c>
    </row>
    <row r="629" spans="2:3" x14ac:dyDescent="0.25">
      <c r="B629" s="5">
        <v>7150</v>
      </c>
      <c r="C629" s="43">
        <v>79.591420723257187</v>
      </c>
    </row>
    <row r="630" spans="2:3" x14ac:dyDescent="0.25">
      <c r="B630" s="5">
        <v>7200</v>
      </c>
      <c r="C630" s="43">
        <v>79.038702523790136</v>
      </c>
    </row>
    <row r="631" spans="2:3" x14ac:dyDescent="0.25">
      <c r="B631" s="5">
        <v>7250</v>
      </c>
      <c r="C631" s="43">
        <v>78.493608023626066</v>
      </c>
    </row>
    <row r="632" spans="2:3" x14ac:dyDescent="0.25">
      <c r="B632" s="5">
        <v>7300</v>
      </c>
      <c r="C632" s="43">
        <v>81.345371031035924</v>
      </c>
    </row>
    <row r="633" spans="2:3" x14ac:dyDescent="0.25">
      <c r="B633" s="5">
        <v>7350</v>
      </c>
      <c r="C633" s="43">
        <v>80.792001160076509</v>
      </c>
    </row>
    <row r="634" spans="2:3" x14ac:dyDescent="0.25">
      <c r="B634" s="5">
        <v>7400</v>
      </c>
      <c r="C634" s="43">
        <v>80.246109260346273</v>
      </c>
    </row>
    <row r="635" spans="2:3" x14ac:dyDescent="0.25">
      <c r="B635" s="5">
        <v>7450</v>
      </c>
      <c r="C635" s="43">
        <v>79.707544768666068</v>
      </c>
    </row>
    <row r="636" spans="2:3" x14ac:dyDescent="0.25">
      <c r="B636" s="5">
        <v>7500</v>
      </c>
      <c r="C636" s="43">
        <v>79.176161136874967</v>
      </c>
    </row>
    <row r="637" spans="2:3" x14ac:dyDescent="0.25">
      <c r="B637" s="5">
        <v>7550</v>
      </c>
      <c r="C637" s="43">
        <v>78.651815698882444</v>
      </c>
    </row>
    <row r="638" spans="2:3" x14ac:dyDescent="0.25">
      <c r="B638" s="5">
        <v>7600</v>
      </c>
      <c r="C638" s="43">
        <v>81.685931794921856</v>
      </c>
    </row>
    <row r="639" spans="2:3" x14ac:dyDescent="0.25">
      <c r="B639" s="5">
        <v>7650</v>
      </c>
      <c r="C639" s="43">
        <v>81.152036815870076</v>
      </c>
    </row>
    <row r="640" spans="2:3" x14ac:dyDescent="0.25">
      <c r="B640" s="5">
        <v>7700</v>
      </c>
      <c r="C640" s="43">
        <v>80.62507553784495</v>
      </c>
    </row>
    <row r="641" spans="2:3" x14ac:dyDescent="0.25">
      <c r="B641" s="5">
        <v>7750</v>
      </c>
      <c r="C641" s="43">
        <v>80.104913760181446</v>
      </c>
    </row>
    <row r="642" spans="2:3" x14ac:dyDescent="0.25">
      <c r="B642" s="5">
        <v>7800</v>
      </c>
      <c r="C642" s="43">
        <v>79.591420723257201</v>
      </c>
    </row>
    <row r="643" spans="2:3" x14ac:dyDescent="0.25">
      <c r="B643" s="5">
        <v>7850</v>
      </c>
      <c r="C643" s="43">
        <v>79.084468998905223</v>
      </c>
    </row>
    <row r="644" spans="2:3" x14ac:dyDescent="0.25">
      <c r="B644" s="5">
        <v>7900</v>
      </c>
      <c r="C644" s="43">
        <v>78.583934384988126</v>
      </c>
    </row>
    <row r="645" spans="2:3" x14ac:dyDescent="0.25">
      <c r="B645" s="5">
        <v>7950</v>
      </c>
      <c r="C645" s="43">
        <v>81.808252746995706</v>
      </c>
    </row>
    <row r="646" spans="2:3" ht="15.75" thickBot="1" x14ac:dyDescent="0.3">
      <c r="B646" s="6">
        <v>8000</v>
      </c>
      <c r="C646" s="44">
        <v>81.296951167326981</v>
      </c>
    </row>
  </sheetData>
  <mergeCells count="3">
    <mergeCell ref="B5:G5"/>
    <mergeCell ref="B503:C503"/>
    <mergeCell ref="A1:G3"/>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Valve Sizing (Mach Index)</vt:lpstr>
      <vt:lpstr>Pulse Wave Tuning</vt:lpstr>
      <vt:lpstr>c_Port</vt:lpstr>
      <vt:lpstr>CA_IVC</vt:lpstr>
      <vt:lpstr>CA_IVO</vt:lpstr>
      <vt:lpstr>Dist_Pulse</vt:lpstr>
      <vt:lpstr>Duration_IV_Closed</vt:lpstr>
      <vt:lpstr>Duration_IV_Open</vt:lpstr>
      <vt:lpstr>k_air</vt:lpstr>
      <vt:lpstr>L_Port_des</vt:lpstr>
      <vt:lpstr>L_port_new</vt:lpstr>
      <vt:lpstr>MW_air</vt:lpstr>
      <vt:lpstr>N_Bounce</vt:lpstr>
      <vt:lpstr>N_Bounce_even</vt:lpstr>
      <vt:lpstr>NE</vt:lpstr>
      <vt:lpstr>NE_Hz</vt:lpstr>
      <vt:lpstr>R_air</vt:lpstr>
      <vt:lpstr>R_bar</vt:lpstr>
      <vt:lpstr>t_dur_IV_closed</vt:lpstr>
      <vt:lpstr>T_Port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Justin</dc:creator>
  <cp:lastModifiedBy>Williams, Justin</cp:lastModifiedBy>
  <dcterms:created xsi:type="dcterms:W3CDTF">2022-03-21T18:04:53Z</dcterms:created>
  <dcterms:modified xsi:type="dcterms:W3CDTF">2022-05-10T21:24:30Z</dcterms:modified>
</cp:coreProperties>
</file>