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D:\Downloads\"/>
    </mc:Choice>
  </mc:AlternateContent>
  <xr:revisionPtr revIDLastSave="0" documentId="13_ncr:1_{25762DC5-A9D0-4DB6-8E2B-55FB4FF09912}" xr6:coauthVersionLast="47" xr6:coauthVersionMax="47" xr10:uidLastSave="{00000000-0000-0000-0000-000000000000}"/>
  <bookViews>
    <workbookView xWindow="-28860" yWindow="450" windowWidth="38700" windowHeight="15435" activeTab="1" xr2:uid="{2736F22D-9F94-41E1-B3E6-707B4BF3E38F}"/>
  </bookViews>
  <sheets>
    <sheet name="Ref" sheetId="1" r:id="rId1"/>
    <sheet name="Calc Fatigue" sheetId="3" r:id="rId2"/>
    <sheet name="Combined Loading Example Draft" sheetId="4" r:id="rId3"/>
    <sheet name="Shaft Fatigue Draft" sheetId="5" r:id="rId4"/>
  </sheets>
  <definedNames>
    <definedName name="StressType" localSheetId="1">'Calc Fatigue'!$AB$2:$AB$4</definedName>
    <definedName name="StressType">#REF!</definedName>
    <definedName name="SurfaceFinish" localSheetId="1">'Calc Fatigue'!$AA$2:$AA$5</definedName>
    <definedName name="SurfaceFinish">#REF!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2" i="3" l="1"/>
  <c r="C29" i="5"/>
  <c r="C2" i="5"/>
  <c r="C1" i="5"/>
  <c r="C4" i="5" s="1"/>
  <c r="C11" i="5" l="1"/>
  <c r="C12" i="5"/>
  <c r="C90" i="4"/>
  <c r="C89" i="4"/>
  <c r="C88" i="4"/>
  <c r="C86" i="4"/>
  <c r="C84" i="4"/>
  <c r="C79" i="4"/>
  <c r="C78" i="4"/>
  <c r="C76" i="4"/>
  <c r="C75" i="4"/>
  <c r="C74" i="4"/>
  <c r="C73" i="4"/>
  <c r="C71" i="4"/>
  <c r="C70" i="4"/>
  <c r="C65" i="4"/>
  <c r="C64" i="4"/>
  <c r="C62" i="4"/>
  <c r="C63" i="4" s="1"/>
  <c r="C61" i="4"/>
  <c r="C60" i="4"/>
  <c r="C47" i="4"/>
  <c r="C46" i="4"/>
  <c r="C58" i="4" s="1"/>
  <c r="C44" i="4"/>
  <c r="C41" i="4"/>
  <c r="C38" i="4"/>
  <c r="C69" i="4" l="1"/>
  <c r="C68" i="4"/>
  <c r="C56" i="4"/>
  <c r="C59" i="3"/>
  <c r="D51" i="3"/>
  <c r="D46" i="3"/>
  <c r="C30" i="3"/>
  <c r="D26" i="3"/>
  <c r="AI18" i="3" a="1"/>
  <c r="AI18" i="3" s="1"/>
  <c r="AI17" i="3"/>
  <c r="AI16" i="3" a="1"/>
  <c r="AI16" i="3" s="1"/>
  <c r="AI15" i="3"/>
  <c r="C167" i="3"/>
  <c r="D167" i="3" s="1"/>
  <c r="C46" i="3"/>
  <c r="C11" i="3"/>
  <c r="D56" i="3"/>
  <c r="E167" i="3"/>
  <c r="E168" i="3"/>
  <c r="B169" i="3"/>
  <c r="B170" i="3" s="1"/>
  <c r="B168" i="3"/>
  <c r="D217" i="3"/>
  <c r="D224" i="3"/>
  <c r="C7" i="3"/>
  <c r="F180" i="3" s="1"/>
  <c r="D216" i="3" l="1"/>
  <c r="D248" i="3"/>
  <c r="D241" i="3"/>
  <c r="D208" i="3"/>
  <c r="D246" i="3"/>
  <c r="D209" i="3"/>
  <c r="D237" i="3"/>
  <c r="C192" i="3"/>
  <c r="D233" i="3"/>
  <c r="D240" i="3"/>
  <c r="D203" i="3"/>
  <c r="D232" i="3"/>
  <c r="D249" i="3"/>
  <c r="D225" i="3"/>
  <c r="C25" i="3"/>
  <c r="C26" i="3" s="1"/>
  <c r="C27" i="3" s="1"/>
  <c r="H180" i="3"/>
  <c r="D247" i="3"/>
  <c r="D239" i="3"/>
  <c r="D231" i="3"/>
  <c r="D223" i="3"/>
  <c r="D215" i="3"/>
  <c r="D207" i="3"/>
  <c r="D238" i="3"/>
  <c r="D230" i="3"/>
  <c r="D214" i="3"/>
  <c r="D206" i="3"/>
  <c r="D229" i="3"/>
  <c r="D221" i="3"/>
  <c r="D213" i="3"/>
  <c r="D205" i="3"/>
  <c r="D253" i="3"/>
  <c r="D245" i="3"/>
  <c r="D191" i="3"/>
  <c r="D252" i="3"/>
  <c r="D244" i="3"/>
  <c r="D236" i="3"/>
  <c r="D228" i="3"/>
  <c r="D220" i="3"/>
  <c r="D212" i="3"/>
  <c r="D204" i="3"/>
  <c r="D251" i="3"/>
  <c r="D243" i="3"/>
  <c r="D235" i="3"/>
  <c r="D227" i="3"/>
  <c r="D219" i="3"/>
  <c r="D211" i="3"/>
  <c r="D222" i="3"/>
  <c r="D192" i="3"/>
  <c r="G179" i="3"/>
  <c r="D250" i="3"/>
  <c r="D242" i="3"/>
  <c r="D234" i="3"/>
  <c r="D226" i="3"/>
  <c r="D218" i="3"/>
  <c r="D210" i="3"/>
  <c r="C5" i="3"/>
  <c r="D198" i="3"/>
  <c r="D197" i="3"/>
  <c r="D180" i="3" l="1"/>
  <c r="B208" i="3"/>
  <c r="B209" i="3"/>
  <c r="B217" i="3"/>
  <c r="B225" i="3"/>
  <c r="B233" i="3"/>
  <c r="B241" i="3"/>
  <c r="B249" i="3"/>
  <c r="D188" i="3"/>
  <c r="B246" i="3"/>
  <c r="B210" i="3"/>
  <c r="B218" i="3"/>
  <c r="B226" i="3"/>
  <c r="B234" i="3"/>
  <c r="B242" i="3"/>
  <c r="B250" i="3"/>
  <c r="B244" i="3"/>
  <c r="B203" i="3"/>
  <c r="B211" i="3"/>
  <c r="B219" i="3"/>
  <c r="B227" i="3"/>
  <c r="B235" i="3"/>
  <c r="B243" i="3"/>
  <c r="B251" i="3"/>
  <c r="C188" i="3"/>
  <c r="B253" i="3"/>
  <c r="D196" i="3"/>
  <c r="B204" i="3"/>
  <c r="B212" i="3"/>
  <c r="B220" i="3"/>
  <c r="B228" i="3"/>
  <c r="B236" i="3"/>
  <c r="B252" i="3"/>
  <c r="B240" i="3"/>
  <c r="B205" i="3"/>
  <c r="B213" i="3"/>
  <c r="B221" i="3"/>
  <c r="B229" i="3"/>
  <c r="B237" i="3"/>
  <c r="B245" i="3"/>
  <c r="B224" i="3"/>
  <c r="B206" i="3"/>
  <c r="B214" i="3"/>
  <c r="B222" i="3"/>
  <c r="B230" i="3"/>
  <c r="B238" i="3"/>
  <c r="B232" i="3"/>
  <c r="B207" i="3"/>
  <c r="B215" i="3"/>
  <c r="B223" i="3"/>
  <c r="B231" i="3"/>
  <c r="B239" i="3"/>
  <c r="B247" i="3"/>
  <c r="C196" i="3"/>
  <c r="B216" i="3"/>
  <c r="B248" i="3"/>
  <c r="C190" i="3"/>
  <c r="C39" i="3" l="1"/>
  <c r="C66" i="3"/>
  <c r="C65" i="3"/>
  <c r="D53" i="3"/>
  <c r="C50" i="3"/>
  <c r="D48" i="3"/>
  <c r="D60" i="3" s="1"/>
  <c r="C45" i="3"/>
  <c r="D34" i="3"/>
  <c r="C31" i="3"/>
  <c r="C29" i="3"/>
  <c r="C28" i="3"/>
  <c r="C34" i="3" l="1"/>
  <c r="C72" i="3"/>
  <c r="C40" i="3"/>
  <c r="C42" i="3" s="1"/>
  <c r="C41" i="3" s="1"/>
  <c r="B180" i="3"/>
  <c r="C198" i="3"/>
  <c r="C197" i="3"/>
  <c r="C180" i="3"/>
  <c r="C33" i="3"/>
  <c r="C13" i="3"/>
  <c r="C15" i="3" s="1"/>
  <c r="C14" i="3" l="1"/>
  <c r="C16" i="3"/>
  <c r="C169" i="3" s="1"/>
  <c r="C235" i="3"/>
  <c r="E208" i="3"/>
  <c r="E248" i="3"/>
  <c r="C234" i="3"/>
  <c r="C219" i="3"/>
  <c r="E216" i="3"/>
  <c r="C242" i="3"/>
  <c r="C243" i="3"/>
  <c r="E232" i="3"/>
  <c r="C218" i="3"/>
  <c r="C227" i="3"/>
  <c r="C251" i="3"/>
  <c r="E246" i="3"/>
  <c r="C210" i="3"/>
  <c r="C226" i="3"/>
  <c r="C250" i="3"/>
  <c r="C211" i="3"/>
  <c r="E224" i="3"/>
  <c r="C237" i="3"/>
  <c r="C225" i="3"/>
  <c r="C249" i="3"/>
  <c r="C223" i="3"/>
  <c r="C212" i="3"/>
  <c r="C230" i="3"/>
  <c r="E233" i="3"/>
  <c r="C216" i="3"/>
  <c r="C228" i="3"/>
  <c r="C244" i="3"/>
  <c r="C238" i="3"/>
  <c r="C229" i="3"/>
  <c r="C217" i="3"/>
  <c r="C240" i="3"/>
  <c r="C215" i="3"/>
  <c r="E225" i="3"/>
  <c r="C222" i="3"/>
  <c r="E217" i="3"/>
  <c r="C203" i="3"/>
  <c r="C239" i="3"/>
  <c r="C205" i="3"/>
  <c r="C204" i="3"/>
  <c r="C220" i="3"/>
  <c r="E237" i="3"/>
  <c r="C209" i="3"/>
  <c r="C224" i="3"/>
  <c r="C207" i="3"/>
  <c r="C248" i="3"/>
  <c r="C214" i="3"/>
  <c r="C253" i="3"/>
  <c r="C213" i="3"/>
  <c r="C236" i="3"/>
  <c r="C245" i="3"/>
  <c r="C208" i="3"/>
  <c r="E241" i="3"/>
  <c r="C232" i="3"/>
  <c r="C206" i="3"/>
  <c r="C221" i="3"/>
  <c r="E240" i="3"/>
  <c r="E209" i="3"/>
  <c r="C241" i="3"/>
  <c r="C246" i="3"/>
  <c r="C233" i="3"/>
  <c r="C231" i="3"/>
  <c r="E249" i="3"/>
  <c r="C252" i="3"/>
  <c r="C247" i="3"/>
  <c r="E230" i="3"/>
  <c r="E218" i="3"/>
  <c r="E213" i="3"/>
  <c r="E212" i="3"/>
  <c r="E243" i="3"/>
  <c r="E239" i="3"/>
  <c r="E222" i="3"/>
  <c r="E210" i="3"/>
  <c r="E253" i="3"/>
  <c r="E236" i="3"/>
  <c r="E221" i="3"/>
  <c r="E211" i="3"/>
  <c r="E251" i="3"/>
  <c r="E207" i="3"/>
  <c r="E219" i="3"/>
  <c r="E252" i="3"/>
  <c r="E247" i="3"/>
  <c r="E231" i="3"/>
  <c r="E228" i="3"/>
  <c r="E204" i="3"/>
  <c r="E223" i="3"/>
  <c r="E242" i="3"/>
  <c r="E220" i="3"/>
  <c r="E235" i="3"/>
  <c r="E205" i="3"/>
  <c r="E244" i="3"/>
  <c r="E250" i="3"/>
  <c r="E214" i="3"/>
  <c r="E229" i="3"/>
  <c r="E226" i="3"/>
  <c r="E215" i="3"/>
  <c r="E206" i="3"/>
  <c r="E227" i="3"/>
  <c r="E234" i="3"/>
  <c r="E245" i="3"/>
  <c r="E238" i="3"/>
  <c r="C74" i="3"/>
  <c r="E203" i="3"/>
  <c r="C73" i="3"/>
  <c r="C191" i="3"/>
  <c r="C193" i="3" s="1"/>
  <c r="I179" i="3"/>
  <c r="C71" i="3"/>
  <c r="E179" i="3"/>
  <c r="D189" i="3"/>
  <c r="D194" i="3"/>
  <c r="D187" i="3"/>
  <c r="D190" i="3" s="1"/>
  <c r="C69" i="3"/>
  <c r="C70" i="3"/>
  <c r="C17" i="3" l="1"/>
  <c r="C170" i="3"/>
  <c r="D169" i="3"/>
  <c r="D170" i="3" s="1"/>
  <c r="C168" i="3"/>
  <c r="D168" i="3" s="1"/>
  <c r="D193" i="3"/>
  <c r="C47" i="3" l="1"/>
  <c r="C51" i="3"/>
  <c r="C52" i="3"/>
  <c r="C48" i="3"/>
  <c r="C53" i="3" l="1"/>
  <c r="C55" i="3" s="1"/>
  <c r="C56" i="3" s="1"/>
  <c r="C60" i="3" l="1"/>
  <c r="F168"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Williams, Justin</author>
    <author>Justin</author>
  </authors>
  <commentList>
    <comment ref="A3" authorId="0" shapeId="0" xr:uid="{473261E7-0A5B-408C-ADBF-A960C13FC1A0}">
      <text>
        <r>
          <rPr>
            <b/>
            <sz val="9"/>
            <color indexed="81"/>
            <rFont val="Tahoma"/>
            <family val="2"/>
          </rPr>
          <t>Williams, Justin:</t>
        </r>
        <r>
          <rPr>
            <sz val="9"/>
            <color indexed="81"/>
            <rFont val="Tahoma"/>
            <family val="2"/>
          </rPr>
          <t xml:space="preserve">
Used for Fatigue Strength Coefficient</t>
        </r>
      </text>
    </comment>
    <comment ref="C3" authorId="1" shapeId="0" xr:uid="{ACBE3D1A-C521-44F7-9214-3D2CB7D8622F}">
      <text>
        <r>
          <rPr>
            <b/>
            <sz val="9"/>
            <color indexed="81"/>
            <rFont val="Tahoma"/>
            <family val="2"/>
          </rPr>
          <t>Justin:</t>
        </r>
        <r>
          <rPr>
            <sz val="9"/>
            <color indexed="81"/>
            <rFont val="Tahoma"/>
            <family val="2"/>
          </rPr>
          <t xml:space="preserve">
This value used to evaluate Fatigue Strength Coefficient. These calcs only valid for Hb&lt;500.</t>
        </r>
      </text>
    </comment>
    <comment ref="A5" authorId="0" shapeId="0" xr:uid="{C2027F88-DA01-4B6F-8A07-8BD2E4C7DE86}">
      <text>
        <r>
          <rPr>
            <b/>
            <sz val="9"/>
            <color indexed="81"/>
            <rFont val="Tahoma"/>
            <family val="2"/>
          </rPr>
          <t>Williams, Justin:</t>
        </r>
        <r>
          <rPr>
            <sz val="9"/>
            <color indexed="81"/>
            <rFont val="Tahoma"/>
            <family val="2"/>
          </rPr>
          <t xml:space="preserve">
Eq 6-54</t>
        </r>
      </text>
    </comment>
    <comment ref="A7" authorId="0" shapeId="0" xr:uid="{71EA7941-9AFF-414B-9906-CE9984E82D65}">
      <text>
        <r>
          <rPr>
            <b/>
            <sz val="9"/>
            <color indexed="81"/>
            <rFont val="Tahoma"/>
            <family val="2"/>
          </rPr>
          <t>Williams, Justin:</t>
        </r>
        <r>
          <rPr>
            <sz val="9"/>
            <color indexed="81"/>
            <rFont val="Tahoma"/>
            <family val="2"/>
          </rPr>
          <t xml:space="preserve">
Eq 5-20</t>
        </r>
      </text>
    </comment>
    <comment ref="C10" authorId="0" shapeId="0" xr:uid="{1D984CB9-EDEA-4A6B-A7B5-9D02DC1832F8}">
      <text>
        <r>
          <rPr>
            <b/>
            <sz val="9"/>
            <color indexed="81"/>
            <rFont val="Tahoma"/>
            <family val="2"/>
          </rPr>
          <t>Williams, Justin:</t>
        </r>
        <r>
          <rPr>
            <sz val="9"/>
            <color indexed="81"/>
            <rFont val="Tahoma"/>
            <family val="2"/>
          </rPr>
          <t xml:space="preserve">
Typically 10^6 or 10^7
</t>
        </r>
      </text>
    </comment>
    <comment ref="A11" authorId="0" shapeId="0" xr:uid="{57A98021-4A9D-4EF7-913C-796F0C0C66AC}">
      <text>
        <r>
          <rPr>
            <b/>
            <sz val="9"/>
            <color indexed="81"/>
            <rFont val="Tahoma"/>
            <family val="2"/>
          </rPr>
          <t>Williams, Justin:</t>
        </r>
        <r>
          <rPr>
            <sz val="9"/>
            <color indexed="81"/>
            <rFont val="Tahoma"/>
            <family val="2"/>
          </rPr>
          <t xml:space="preserve">
Eq 6-8
Note this is for highly polished, room temp, etc.</t>
        </r>
      </text>
    </comment>
    <comment ref="A12" authorId="0" shapeId="0" xr:uid="{975CA588-F333-45FF-B6D7-8DFB6B119200}">
      <text>
        <r>
          <rPr>
            <b/>
            <sz val="9"/>
            <color indexed="81"/>
            <rFont val="Tahoma"/>
            <family val="2"/>
          </rPr>
          <t>Williams, Justin:</t>
        </r>
        <r>
          <rPr>
            <sz val="9"/>
            <color indexed="81"/>
            <rFont val="Tahoma"/>
            <family val="2"/>
          </rPr>
          <t xml:space="preserve">
SAE Approximation for steels with H_B &lt;=500 : S_ut + 50 kpsi</t>
        </r>
      </text>
    </comment>
    <comment ref="A15" authorId="0" shapeId="0" xr:uid="{7149E903-7241-480B-856A-F0CCB7A01DCA}">
      <text>
        <r>
          <rPr>
            <b/>
            <sz val="9"/>
            <color indexed="81"/>
            <rFont val="Tahoma"/>
            <family val="2"/>
          </rPr>
          <t>Williams, Justin:</t>
        </r>
        <r>
          <rPr>
            <sz val="9"/>
            <color indexed="81"/>
            <rFont val="Tahoma"/>
            <family val="2"/>
          </rPr>
          <t xml:space="preserve">
Found other info out there other than Shigley's that stated that 0.9*S_ut was a good approximation. Am using a combination of both, whichever is lower. Doing this because the SAE approximation of S_ut+50ksi for the Fatigue Strength Coefficient can result in this value being even higher than S_ut for low S_ut values, which does not make sense. </t>
        </r>
      </text>
    </comment>
    <comment ref="A21" authorId="0" shapeId="0" xr:uid="{9C1C5F5E-462E-4DD2-815C-F1646106002A}">
      <text>
        <r>
          <rPr>
            <b/>
            <sz val="9"/>
            <color indexed="81"/>
            <rFont val="Tahoma"/>
            <family val="2"/>
          </rPr>
          <t>Williams, Justin:</t>
        </r>
        <r>
          <rPr>
            <sz val="9"/>
            <color indexed="81"/>
            <rFont val="Tahoma"/>
            <family val="2"/>
          </rPr>
          <t xml:space="preserve">
If diameter of rotating part is not applicable, use an equivalent diameter. The diameter that would be needed for a rotating bending speciment so its amount of area at the critical cross-section that experieinces 95% of the max stress or higher is equal to the amount of area for the actual part's critical cross sectino that experieinces 95% of the max stress or higher.
See Table 6-3, Eq 6-24, Eq 6-25 for more info.</t>
        </r>
      </text>
    </comment>
    <comment ref="A22" authorId="0" shapeId="0" xr:uid="{021D1880-98C2-41DC-B8D5-0BE7EBC74C4E}">
      <text>
        <r>
          <rPr>
            <b/>
            <sz val="9"/>
            <color indexed="81"/>
            <rFont val="Tahoma"/>
            <family val="2"/>
          </rPr>
          <t>Williams, Justin:</t>
        </r>
        <r>
          <rPr>
            <sz val="9"/>
            <color indexed="81"/>
            <rFont val="Tahoma"/>
            <family val="2"/>
          </rPr>
          <t xml:space="preserve">
If combined load for shaft, use "Bending" to ste k_c = 1 as this will be handled with Distortion-Energy method instead.</t>
        </r>
      </text>
    </comment>
    <comment ref="A23" authorId="1" shapeId="0" xr:uid="{1502D0C6-3C2D-4FCB-96F3-BC480B773B15}">
      <text>
        <r>
          <rPr>
            <b/>
            <sz val="9"/>
            <color indexed="81"/>
            <rFont val="Tahoma"/>
            <family val="2"/>
          </rPr>
          <t>Justin:</t>
        </r>
        <r>
          <rPr>
            <sz val="9"/>
            <color indexed="81"/>
            <rFont val="Tahoma"/>
            <family val="2"/>
          </rPr>
          <t xml:space="preserve">
Values higher than 70 deg F change the temperature factor.</t>
        </r>
      </text>
    </comment>
    <comment ref="A24" authorId="0" shapeId="0" xr:uid="{ED17340B-D770-40C8-AC39-B284EFF3E5A7}">
      <text>
        <r>
          <rPr>
            <b/>
            <sz val="9"/>
            <color indexed="81"/>
            <rFont val="Tahoma"/>
            <family val="2"/>
          </rPr>
          <t>Williams, Justin:</t>
        </r>
        <r>
          <rPr>
            <sz val="9"/>
            <color indexed="81"/>
            <rFont val="Tahoma"/>
            <family val="2"/>
          </rPr>
          <t xml:space="preserve">
Atte</t>
        </r>
      </text>
    </comment>
    <comment ref="A26" authorId="0" shapeId="0" xr:uid="{F0C7E71C-40D4-42F9-8666-0E12E0A74286}">
      <text>
        <r>
          <rPr>
            <b/>
            <sz val="9"/>
            <color indexed="81"/>
            <rFont val="Tahoma"/>
            <family val="2"/>
          </rPr>
          <t>Williams, Justin:</t>
        </r>
        <r>
          <rPr>
            <sz val="9"/>
            <color indexed="81"/>
            <rFont val="Tahoma"/>
            <family val="2"/>
          </rPr>
          <t xml:space="preserve">
Marin Factor will take this into account as well. This is not used for any calculations, but just for reference.</t>
        </r>
      </text>
    </comment>
    <comment ref="A27" authorId="0" shapeId="0" xr:uid="{10CE43CE-D10C-4C7F-9C33-176947597B5C}">
      <text>
        <r>
          <rPr>
            <b/>
            <sz val="9"/>
            <color indexed="81"/>
            <rFont val="Tahoma"/>
            <family val="2"/>
          </rPr>
          <t>Williams, Justin:</t>
        </r>
        <r>
          <rPr>
            <sz val="9"/>
            <color indexed="81"/>
            <rFont val="Tahoma"/>
            <family val="2"/>
          </rPr>
          <t xml:space="preserve">
Used to account for the roughness of a part that are microscopic 'stress concentrations' that may develop micro-cracks then propogate.</t>
        </r>
      </text>
    </comment>
    <comment ref="A28" authorId="0" shapeId="0" xr:uid="{C617DEEA-7BEB-4125-BAEC-D43A3D1DDCD7}">
      <text>
        <r>
          <rPr>
            <b/>
            <sz val="9"/>
            <color indexed="81"/>
            <rFont val="Tahoma"/>
            <family val="2"/>
          </rPr>
          <t>Williams, Justin:</t>
        </r>
        <r>
          <rPr>
            <sz val="9"/>
            <color indexed="81"/>
            <rFont val="Tahoma"/>
            <family val="2"/>
          </rPr>
          <t xml:space="preserve">
Changes based on how much material is being utilized to carry the stress IE what the stress shape looks like</t>
        </r>
      </text>
    </comment>
    <comment ref="A31" authorId="0" shapeId="0" xr:uid="{8829C926-5024-4B1A-86B7-9076349CCC99}">
      <text>
        <r>
          <rPr>
            <b/>
            <sz val="9"/>
            <color indexed="81"/>
            <rFont val="Tahoma"/>
            <family val="2"/>
          </rPr>
          <t>Williams, Justin:</t>
        </r>
        <r>
          <rPr>
            <sz val="9"/>
            <color indexed="81"/>
            <rFont val="Tahoma"/>
            <family val="2"/>
          </rPr>
          <t xml:space="preserve">
Will change the slope of the line in the endurance strength vs tensile strength chart to try to skew away from 'average' at 0.5, to capture more of possible data if using 0.9999, etc.</t>
        </r>
      </text>
    </comment>
    <comment ref="A32" authorId="0" shapeId="0" xr:uid="{A203F273-09BA-4737-8248-20D56C09BE5D}">
      <text>
        <r>
          <rPr>
            <b/>
            <sz val="9"/>
            <color indexed="81"/>
            <rFont val="Tahoma"/>
            <family val="2"/>
          </rPr>
          <t>Williams, Justin:</t>
        </r>
        <r>
          <rPr>
            <sz val="9"/>
            <color indexed="81"/>
            <rFont val="Tahoma"/>
            <family val="2"/>
          </rPr>
          <t xml:space="preserve">
Usually leave at '1'. Probably only use this if historical data dictates so.</t>
        </r>
      </text>
    </comment>
    <comment ref="B34" authorId="0" shapeId="0" xr:uid="{AA302804-5D77-42FB-B623-979626E9E966}">
      <text>
        <r>
          <rPr>
            <b/>
            <sz val="9"/>
            <color indexed="81"/>
            <rFont val="Tahoma"/>
            <family val="2"/>
          </rPr>
          <t>Williams, Justin:</t>
        </r>
        <r>
          <rPr>
            <sz val="9"/>
            <color indexed="81"/>
            <rFont val="Tahoma"/>
            <family val="2"/>
          </rPr>
          <t xml:space="preserve">
S_se for shearing endurance if Torsional Stress Type</t>
        </r>
      </text>
    </comment>
    <comment ref="A38" authorId="0" shapeId="0" xr:uid="{D3512844-C2DD-4A20-9F6C-DBE87861D505}">
      <text>
        <r>
          <rPr>
            <b/>
            <sz val="9"/>
            <color indexed="81"/>
            <rFont val="Tahoma"/>
            <family val="2"/>
          </rPr>
          <t>Williams, Justin:</t>
        </r>
        <r>
          <rPr>
            <sz val="9"/>
            <color indexed="81"/>
            <rFont val="Tahoma"/>
            <family val="2"/>
          </rPr>
          <t xml:space="preserve">
Fig A-15 etc</t>
        </r>
      </text>
    </comment>
    <comment ref="A41" authorId="0" shapeId="0" xr:uid="{31291D47-7A03-45E6-BB78-B1B1B7FE54FD}">
      <text>
        <r>
          <rPr>
            <b/>
            <sz val="9"/>
            <color indexed="81"/>
            <rFont val="Tahoma"/>
            <family val="2"/>
          </rPr>
          <t>Williams, Justin:</t>
        </r>
        <r>
          <rPr>
            <sz val="9"/>
            <color indexed="81"/>
            <rFont val="Tahoma"/>
            <family val="2"/>
          </rPr>
          <t xml:space="preserve">
Figure 6-20</t>
        </r>
      </text>
    </comment>
    <comment ref="A42" authorId="0" shapeId="0" xr:uid="{15C5F8A9-949F-4B24-AA26-3D8B1316DAF9}">
      <text>
        <r>
          <rPr>
            <b/>
            <sz val="9"/>
            <color indexed="81"/>
            <rFont val="Tahoma"/>
            <family val="2"/>
          </rPr>
          <t>Williams, Justin:</t>
        </r>
        <r>
          <rPr>
            <sz val="9"/>
            <color indexed="81"/>
            <rFont val="Tahoma"/>
            <family val="2"/>
          </rPr>
          <t xml:space="preserve">
Fig A-15-12 can be used as well, if wanting to estimate without formulas
</t>
        </r>
      </text>
    </comment>
    <comment ref="B63" authorId="0" shapeId="0" xr:uid="{B88321A6-3E79-4D66-B3B4-970DC8B3FC77}">
      <text>
        <r>
          <rPr>
            <b/>
            <sz val="9"/>
            <color indexed="81"/>
            <rFont val="Tahoma"/>
            <family val="2"/>
          </rPr>
          <t>Williams, Justin:</t>
        </r>
        <r>
          <rPr>
            <sz val="9"/>
            <color indexed="81"/>
            <rFont val="Tahoma"/>
            <family val="2"/>
          </rPr>
          <t xml:space="preserve">
Can also be shearing stress</t>
        </r>
      </text>
    </comment>
    <comment ref="A72" authorId="0" shapeId="0" xr:uid="{9851232B-7DE7-42E4-94DD-2A228CA84F43}">
      <text>
        <r>
          <rPr>
            <b/>
            <sz val="9"/>
            <color indexed="81"/>
            <rFont val="Tahoma"/>
            <family val="2"/>
          </rPr>
          <t>Williams, Justin:</t>
        </r>
        <r>
          <rPr>
            <sz val="9"/>
            <color indexed="81"/>
            <rFont val="Tahoma"/>
            <family val="2"/>
          </rPr>
          <t xml:space="preserve">
Eq 6-49</t>
        </r>
      </text>
    </comment>
    <comment ref="A73" authorId="0" shapeId="0" xr:uid="{09BFD670-B2F9-43F8-BFEB-4737475510CA}">
      <text>
        <r>
          <rPr>
            <b/>
            <sz val="9"/>
            <color indexed="81"/>
            <rFont val="Tahoma"/>
            <family val="2"/>
          </rPr>
          <t>Williams, Justin:</t>
        </r>
        <r>
          <rPr>
            <sz val="9"/>
            <color indexed="81"/>
            <rFont val="Tahoma"/>
            <family val="2"/>
          </rPr>
          <t xml:space="preserve">
Table 6-7</t>
        </r>
      </text>
    </comment>
    <comment ref="A74" authorId="0" shapeId="0" xr:uid="{78F4A72D-291E-46BA-BE0B-272859F9924C}">
      <text>
        <r>
          <rPr>
            <b/>
            <sz val="9"/>
            <color indexed="81"/>
            <rFont val="Tahoma"/>
            <family val="2"/>
          </rPr>
          <t>Williams, Justin:</t>
        </r>
        <r>
          <rPr>
            <sz val="9"/>
            <color indexed="81"/>
            <rFont val="Tahoma"/>
            <family val="2"/>
          </rPr>
          <t xml:space="preserve">
Table 6-7</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Williams, Justin</author>
  </authors>
  <commentList>
    <comment ref="C37" authorId="0" shapeId="0" xr:uid="{1BADDDDD-08C2-4BE8-B9FC-C6BDCCAC6763}">
      <text>
        <r>
          <rPr>
            <b/>
            <sz val="9"/>
            <color indexed="81"/>
            <rFont val="Tahoma"/>
            <family val="2"/>
          </rPr>
          <t>Williams, Justin:</t>
        </r>
        <r>
          <rPr>
            <sz val="9"/>
            <color indexed="81"/>
            <rFont val="Tahoma"/>
            <family val="2"/>
          </rPr>
          <t xml:space="preserve">
Fig A-15-9 
Just using the largest one since really this is infinite.
</t>
        </r>
      </text>
    </comment>
    <comment ref="C39" authorId="0" shapeId="0" xr:uid="{3D7463EE-B684-4F78-8C84-82586652993B}">
      <text>
        <r>
          <rPr>
            <b/>
            <sz val="9"/>
            <color indexed="81"/>
            <rFont val="Tahoma"/>
            <family val="2"/>
          </rPr>
          <t>Williams, Justin:</t>
        </r>
        <r>
          <rPr>
            <sz val="9"/>
            <color indexed="81"/>
            <rFont val="Tahoma"/>
            <family val="2"/>
          </rPr>
          <t xml:space="preserve">
Fig A-15-9</t>
        </r>
      </text>
    </comment>
    <comment ref="B40" authorId="0" shapeId="0" xr:uid="{3837667A-A151-4AB8-9F06-07C5DC424A30}">
      <text>
        <r>
          <rPr>
            <b/>
            <sz val="9"/>
            <color indexed="81"/>
            <rFont val="Tahoma"/>
            <family val="2"/>
          </rPr>
          <t>Williams, Justin:</t>
        </r>
        <r>
          <rPr>
            <sz val="9"/>
            <color indexed="81"/>
            <rFont val="Tahoma"/>
            <family val="2"/>
          </rPr>
          <t xml:space="preserve">
Best to get Neuber constant first then get q, but using chart here in this case 
Fig 6-20</t>
        </r>
      </text>
    </comment>
    <comment ref="C42" authorId="0" shapeId="0" xr:uid="{6950AB19-5E20-46DB-8A9A-C552FAB32BB8}">
      <text>
        <r>
          <rPr>
            <b/>
            <sz val="9"/>
            <color indexed="81"/>
            <rFont val="Tahoma"/>
            <family val="2"/>
          </rPr>
          <t>Williams, Justin:</t>
        </r>
        <r>
          <rPr>
            <sz val="9"/>
            <color indexed="81"/>
            <rFont val="Tahoma"/>
            <family val="2"/>
          </rPr>
          <t xml:space="preserve">
Fig A-15-9</t>
        </r>
      </text>
    </comment>
    <comment ref="B43" authorId="0" shapeId="0" xr:uid="{2DAB85F2-3151-4153-A1C2-2001DA317F40}">
      <text>
        <r>
          <rPr>
            <b/>
            <sz val="9"/>
            <color indexed="81"/>
            <rFont val="Tahoma"/>
            <family val="2"/>
          </rPr>
          <t>Williams, Justin:</t>
        </r>
        <r>
          <rPr>
            <sz val="9"/>
            <color indexed="81"/>
            <rFont val="Tahoma"/>
            <family val="2"/>
          </rPr>
          <t xml:space="preserve">
Best to get Neuber constant first then get q, but using chart here in this case 
Fig 6-20</t>
        </r>
      </text>
    </comment>
    <comment ref="C81" authorId="0" shapeId="0" xr:uid="{5EFAFE34-058B-4E9E-BF99-39E6DF31A5EF}">
      <text>
        <r>
          <rPr>
            <b/>
            <sz val="9"/>
            <color indexed="81"/>
            <rFont val="Tahoma"/>
            <family val="2"/>
          </rPr>
          <t>Williams, Justin:</t>
        </r>
        <r>
          <rPr>
            <sz val="9"/>
            <color indexed="81"/>
            <rFont val="Tahoma"/>
            <family val="2"/>
          </rPr>
          <t xml:space="preserve">
.5*S_ut*K_a*K_b</t>
        </r>
      </text>
    </comment>
    <comment ref="B87" authorId="0" shapeId="0" xr:uid="{473F916C-1C96-4649-AEB3-C38636A51D03}">
      <text>
        <r>
          <rPr>
            <b/>
            <sz val="9"/>
            <color indexed="81"/>
            <rFont val="Tahoma"/>
            <family val="2"/>
          </rPr>
          <t>Williams, Justin:</t>
        </r>
        <r>
          <rPr>
            <sz val="9"/>
            <color indexed="81"/>
            <rFont val="Tahoma"/>
            <family val="2"/>
          </rPr>
          <t xml:space="preserve">
Using Fig 6-18
Alternatively, can calculate See section 6-8</t>
        </r>
      </text>
    </comment>
    <comment ref="B88" authorId="0" shapeId="0" xr:uid="{272BEA09-5F6C-4783-B42A-4A34B41479F8}">
      <text>
        <r>
          <rPr>
            <b/>
            <sz val="9"/>
            <color indexed="81"/>
            <rFont val="Tahoma"/>
            <family val="2"/>
          </rPr>
          <t>Williams, Justin:</t>
        </r>
        <r>
          <rPr>
            <sz val="9"/>
            <color indexed="81"/>
            <rFont val="Tahoma"/>
            <family val="2"/>
          </rPr>
          <t xml:space="preserve">
Eq 6-14</t>
        </r>
      </text>
    </comment>
    <comment ref="B90" authorId="0" shapeId="0" xr:uid="{2FFDDF54-C0AB-420C-8691-41B059219F95}">
      <text>
        <r>
          <rPr>
            <b/>
            <sz val="9"/>
            <color indexed="81"/>
            <rFont val="Tahoma"/>
            <family val="2"/>
          </rPr>
          <t>Williams, Justin:</t>
        </r>
        <r>
          <rPr>
            <sz val="9"/>
            <color indexed="81"/>
            <rFont val="Tahoma"/>
            <family val="2"/>
          </rPr>
          <t xml:space="preserve">
Eq 6-16</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<sst xmlns="http://schemas.openxmlformats.org/spreadsheetml/2006/main" count="428" uniqueCount="275">
  <si>
    <t>When fatigue failures occur, they often have the appearance of brittle failures</t>
  </si>
  <si>
    <t>When parts are subjected to fluctuating stresses, the parts are likely tofail at stress levels that are much less than yielding or ultimate strengths if subjected to large numbers of stress cycles.</t>
  </si>
  <si>
    <t>Symbol</t>
  </si>
  <si>
    <t>Value</t>
  </si>
  <si>
    <t>Unit</t>
  </si>
  <si>
    <t>Description</t>
  </si>
  <si>
    <t>Ultimate Tensile Strength</t>
  </si>
  <si>
    <r>
      <t>S</t>
    </r>
    <r>
      <rPr>
        <vertAlign val="subscript"/>
        <sz val="11"/>
        <color theme="1"/>
        <rFont val="Calibri"/>
        <family val="2"/>
        <scheme val="minor"/>
      </rPr>
      <t>ut</t>
    </r>
  </si>
  <si>
    <t>kpsi</t>
  </si>
  <si>
    <r>
      <t>S</t>
    </r>
    <r>
      <rPr>
        <vertAlign val="subscript"/>
        <sz val="11"/>
        <color theme="1"/>
        <rFont val="Calibri"/>
        <family val="2"/>
        <scheme val="minor"/>
      </rPr>
      <t>e</t>
    </r>
    <r>
      <rPr>
        <sz val="11"/>
        <color theme="1"/>
        <rFont val="Calibri"/>
        <family val="2"/>
        <scheme val="minor"/>
      </rPr>
      <t>'</t>
    </r>
  </si>
  <si>
    <t>Ideal Endurance Limit Estimate</t>
  </si>
  <si>
    <r>
      <t>S</t>
    </r>
    <r>
      <rPr>
        <vertAlign val="subscript"/>
        <sz val="11"/>
        <color theme="1"/>
        <rFont val="Calibri"/>
        <family val="2"/>
        <scheme val="minor"/>
      </rPr>
      <t>f</t>
    </r>
    <r>
      <rPr>
        <sz val="11"/>
        <color theme="1"/>
        <rFont val="Calibri"/>
        <family val="2"/>
        <scheme val="minor"/>
      </rPr>
      <t>'</t>
    </r>
  </si>
  <si>
    <t>Fatigue Strength</t>
  </si>
  <si>
    <t>Ideal Fatigue Strength</t>
  </si>
  <si>
    <r>
      <rPr>
        <sz val="11"/>
        <color theme="1"/>
        <rFont val="Calibri"/>
        <family val="2"/>
      </rPr>
      <t>σ</t>
    </r>
    <r>
      <rPr>
        <vertAlign val="subscript"/>
        <sz val="11"/>
        <color theme="1"/>
        <rFont val="Calibri"/>
        <family val="2"/>
      </rPr>
      <t>f</t>
    </r>
    <r>
      <rPr>
        <sz val="11"/>
        <color theme="1"/>
        <rFont val="Calibri"/>
        <family val="2"/>
      </rPr>
      <t>'</t>
    </r>
  </si>
  <si>
    <t>Fatigue Strength Coefficient</t>
  </si>
  <si>
    <t>N</t>
  </si>
  <si>
    <t>Number of Cycles</t>
  </si>
  <si>
    <t>b</t>
  </si>
  <si>
    <t>Coefficient b</t>
  </si>
  <si>
    <r>
      <t>S</t>
    </r>
    <r>
      <rPr>
        <vertAlign val="subscript"/>
        <sz val="11"/>
        <color theme="1"/>
        <rFont val="Calibri"/>
        <family val="2"/>
        <scheme val="minor"/>
      </rPr>
      <t>f</t>
    </r>
    <r>
      <rPr>
        <sz val="11"/>
        <color theme="1"/>
        <rFont val="Calibri"/>
        <family val="2"/>
        <scheme val="minor"/>
      </rPr>
      <t>'</t>
    </r>
    <r>
      <rPr>
        <vertAlign val="subscript"/>
        <sz val="11"/>
        <color theme="1"/>
        <rFont val="Calibri"/>
        <family val="2"/>
        <scheme val="minor"/>
      </rPr>
      <t>(1000)</t>
    </r>
  </si>
  <si>
    <t>Ideal Fatigue Strength @ 1000 Cycles</t>
  </si>
  <si>
    <t>f</t>
  </si>
  <si>
    <t>Fatigue Strength Fraction</t>
  </si>
  <si>
    <r>
      <t>H</t>
    </r>
    <r>
      <rPr>
        <vertAlign val="subscript"/>
        <sz val="11"/>
        <color theme="1"/>
        <rFont val="Calibri"/>
        <family val="2"/>
        <scheme val="minor"/>
      </rPr>
      <t>B</t>
    </r>
  </si>
  <si>
    <t>-</t>
  </si>
  <si>
    <t>Number of Cycles (1000)</t>
  </si>
  <si>
    <r>
      <t>N</t>
    </r>
    <r>
      <rPr>
        <vertAlign val="subscript"/>
        <sz val="11"/>
        <color theme="1"/>
        <rFont val="Calibri"/>
        <family val="2"/>
      </rPr>
      <t>1000</t>
    </r>
  </si>
  <si>
    <r>
      <t>N</t>
    </r>
    <r>
      <rPr>
        <vertAlign val="subscript"/>
        <sz val="11"/>
        <color theme="1"/>
        <rFont val="Calibri"/>
        <family val="2"/>
      </rPr>
      <t>e</t>
    </r>
  </si>
  <si>
    <t>Number of Cycles to Endurance Limit</t>
  </si>
  <si>
    <r>
      <t>S</t>
    </r>
    <r>
      <rPr>
        <vertAlign val="subscript"/>
        <sz val="11"/>
        <color theme="1"/>
        <rFont val="Calibri"/>
        <family val="2"/>
        <scheme val="minor"/>
      </rPr>
      <t>f</t>
    </r>
    <r>
      <rPr>
        <sz val="11"/>
        <color theme="1"/>
        <rFont val="Calibri"/>
        <family val="2"/>
        <scheme val="minor"/>
      </rPr>
      <t>'</t>
    </r>
    <r>
      <rPr>
        <vertAlign val="subscript"/>
        <sz val="11"/>
        <color theme="1"/>
        <rFont val="Calibri"/>
        <family val="2"/>
        <scheme val="minor"/>
      </rPr>
      <t>(Ne)</t>
    </r>
  </si>
  <si>
    <t>Ideal Fatigue Strength @ Endurance Limit</t>
  </si>
  <si>
    <t>Low Cycle Region</t>
  </si>
  <si>
    <r>
      <t>S</t>
    </r>
    <r>
      <rPr>
        <vertAlign val="subscript"/>
        <sz val="11"/>
        <color theme="1"/>
        <rFont val="Calibri"/>
        <family val="2"/>
        <scheme val="minor"/>
      </rPr>
      <t>f,low</t>
    </r>
  </si>
  <si>
    <t>High Cycle Region</t>
  </si>
  <si>
    <t>a</t>
  </si>
  <si>
    <r>
      <t>S</t>
    </r>
    <r>
      <rPr>
        <vertAlign val="subscript"/>
        <sz val="11"/>
        <color theme="1"/>
        <rFont val="Calibri"/>
        <family val="2"/>
        <scheme val="minor"/>
      </rPr>
      <t>e</t>
    </r>
  </si>
  <si>
    <t>Endurance Limit (corrected)</t>
  </si>
  <si>
    <t>Can use goal seek here to change N to reach known stress value to find estimated cycles to failure</t>
  </si>
  <si>
    <r>
      <t>S</t>
    </r>
    <r>
      <rPr>
        <vertAlign val="subscript"/>
        <sz val="11"/>
        <color theme="1"/>
        <rFont val="Calibri"/>
        <family val="2"/>
        <scheme val="minor"/>
      </rPr>
      <t>f,high</t>
    </r>
  </si>
  <si>
    <t>This sheet only to be used for steels</t>
  </si>
  <si>
    <t>Marin Correction Factors</t>
  </si>
  <si>
    <r>
      <t>k</t>
    </r>
    <r>
      <rPr>
        <vertAlign val="subscript"/>
        <sz val="11"/>
        <color theme="1"/>
        <rFont val="Calibri"/>
        <family val="2"/>
        <scheme val="minor"/>
      </rPr>
      <t>a</t>
    </r>
  </si>
  <si>
    <r>
      <t>k</t>
    </r>
    <r>
      <rPr>
        <vertAlign val="subscript"/>
        <sz val="11"/>
        <color theme="1"/>
        <rFont val="Calibri"/>
        <family val="2"/>
        <scheme val="minor"/>
      </rPr>
      <t>b</t>
    </r>
  </si>
  <si>
    <r>
      <t>k</t>
    </r>
    <r>
      <rPr>
        <vertAlign val="subscript"/>
        <sz val="11"/>
        <color theme="1"/>
        <rFont val="Calibri"/>
        <family val="2"/>
        <scheme val="minor"/>
      </rPr>
      <t>c</t>
    </r>
  </si>
  <si>
    <r>
      <t>k</t>
    </r>
    <r>
      <rPr>
        <vertAlign val="subscript"/>
        <sz val="11"/>
        <color theme="1"/>
        <rFont val="Calibri"/>
        <family val="2"/>
        <scheme val="minor"/>
      </rPr>
      <t>d</t>
    </r>
  </si>
  <si>
    <r>
      <t>k</t>
    </r>
    <r>
      <rPr>
        <vertAlign val="subscript"/>
        <sz val="11"/>
        <color theme="1"/>
        <rFont val="Calibri"/>
        <family val="2"/>
        <scheme val="minor"/>
      </rPr>
      <t>e</t>
    </r>
  </si>
  <si>
    <r>
      <t>k</t>
    </r>
    <r>
      <rPr>
        <vertAlign val="subscript"/>
        <sz val="11"/>
        <color theme="1"/>
        <rFont val="Calibri"/>
        <family val="2"/>
        <scheme val="minor"/>
      </rPr>
      <t>f</t>
    </r>
  </si>
  <si>
    <t>Surface Condition Factor</t>
  </si>
  <si>
    <t>Size Factor</t>
  </si>
  <si>
    <t>Load Factor</t>
  </si>
  <si>
    <t>Temperature Factor</t>
  </si>
  <si>
    <t>Reliability Factor</t>
  </si>
  <si>
    <t>Miscellaneous Factor</t>
  </si>
  <si>
    <t>Ground</t>
  </si>
  <si>
    <t>Machined/Cold-Drawn</t>
  </si>
  <si>
    <t>Hot-Rolled</t>
  </si>
  <si>
    <t>As-Forged</t>
  </si>
  <si>
    <t>SurfaceFinish</t>
  </si>
  <si>
    <t>Surface Finish</t>
  </si>
  <si>
    <r>
      <t>Finish</t>
    </r>
    <r>
      <rPr>
        <vertAlign val="subscript"/>
        <sz val="11"/>
        <color theme="1"/>
        <rFont val="Calibri"/>
        <family val="2"/>
        <scheme val="minor"/>
      </rPr>
      <t>Surface</t>
    </r>
  </si>
  <si>
    <t>in</t>
  </si>
  <si>
    <t>Stress Type</t>
  </si>
  <si>
    <t>Bending</t>
  </si>
  <si>
    <t>Torsion</t>
  </si>
  <si>
    <t>Pure Axial</t>
  </si>
  <si>
    <t>StressType</t>
  </si>
  <si>
    <t>Temperature</t>
  </si>
  <si>
    <r>
      <t>T</t>
    </r>
    <r>
      <rPr>
        <vertAlign val="subscript"/>
        <sz val="11"/>
        <color theme="1"/>
        <rFont val="Calibri"/>
        <family val="2"/>
        <scheme val="minor"/>
      </rPr>
      <t>F</t>
    </r>
  </si>
  <si>
    <t>°F</t>
  </si>
  <si>
    <t>Reliability</t>
  </si>
  <si>
    <t>R</t>
  </si>
  <si>
    <t>K_e</t>
  </si>
  <si>
    <t>Overall Correction Factor</t>
  </si>
  <si>
    <r>
      <t>σ</t>
    </r>
    <r>
      <rPr>
        <vertAlign val="subscript"/>
        <sz val="11"/>
        <color theme="1"/>
        <rFont val="Calibri"/>
        <family val="2"/>
      </rPr>
      <t>m</t>
    </r>
  </si>
  <si>
    <t>Midrange Stress</t>
  </si>
  <si>
    <r>
      <t>σ</t>
    </r>
    <r>
      <rPr>
        <vertAlign val="subscript"/>
        <sz val="11"/>
        <color theme="1"/>
        <rFont val="Calibri"/>
        <family val="2"/>
      </rPr>
      <t>min</t>
    </r>
  </si>
  <si>
    <r>
      <t>σ</t>
    </r>
    <r>
      <rPr>
        <vertAlign val="subscript"/>
        <sz val="11"/>
        <color theme="1"/>
        <rFont val="Calibri"/>
        <family val="2"/>
      </rPr>
      <t>max</t>
    </r>
  </si>
  <si>
    <t>Maximum Stress</t>
  </si>
  <si>
    <t>Minimum Stress</t>
  </si>
  <si>
    <r>
      <t>σ</t>
    </r>
    <r>
      <rPr>
        <vertAlign val="subscript"/>
        <sz val="11"/>
        <color theme="1"/>
        <rFont val="Calibri"/>
        <family val="2"/>
      </rPr>
      <t>a</t>
    </r>
  </si>
  <si>
    <t>When midrange stress is compressive, does not have as much of an impact on the failure. See figure 6-25, where it shows that most of the failures where midrange was compressive failed when alternative stress is at endurance limit.</t>
  </si>
  <si>
    <r>
      <t>S</t>
    </r>
    <r>
      <rPr>
        <vertAlign val="subscript"/>
        <sz val="11"/>
        <color theme="1"/>
        <rFont val="Calibri"/>
        <family val="2"/>
        <scheme val="minor"/>
      </rPr>
      <t>y</t>
    </r>
  </si>
  <si>
    <t>Notch Sensitivity</t>
  </si>
  <si>
    <t>q</t>
  </si>
  <si>
    <t>Theoretical Stress Concentration Factor</t>
  </si>
  <si>
    <t>Fatigue Stress Concentration Factor</t>
  </si>
  <si>
    <r>
      <t>K</t>
    </r>
    <r>
      <rPr>
        <vertAlign val="subscript"/>
        <sz val="11"/>
        <color theme="1"/>
        <rFont val="Calibri"/>
        <family val="2"/>
        <scheme val="minor"/>
      </rPr>
      <t>f</t>
    </r>
  </si>
  <si>
    <r>
      <t>K</t>
    </r>
    <r>
      <rPr>
        <vertAlign val="subscript"/>
        <sz val="11"/>
        <color theme="1"/>
        <rFont val="Calibri"/>
        <family val="2"/>
        <scheme val="minor"/>
      </rPr>
      <t>t</t>
    </r>
  </si>
  <si>
    <t>Stress concentration Factor</t>
  </si>
  <si>
    <t>Neuber Constant</t>
  </si>
  <si>
    <t>sqrt(a)</t>
  </si>
  <si>
    <t>sqrt(in)</t>
  </si>
  <si>
    <t>Radius of Stress Concentration Feature</t>
  </si>
  <si>
    <r>
      <t>r</t>
    </r>
    <r>
      <rPr>
        <vertAlign val="subscript"/>
        <sz val="11"/>
        <color theme="1"/>
        <rFont val="Calibri"/>
        <family val="2"/>
        <scheme val="minor"/>
      </rPr>
      <t>scf</t>
    </r>
  </si>
  <si>
    <t>Notch Sensitivity Check</t>
  </si>
  <si>
    <t>Use this to multiply the nominal stress by to evaluate in the stress concentrated area.</t>
  </si>
  <si>
    <r>
      <t>n</t>
    </r>
    <r>
      <rPr>
        <vertAlign val="subscript"/>
        <sz val="11"/>
        <color theme="1"/>
        <rFont val="Calibri"/>
        <family val="2"/>
        <scheme val="minor"/>
      </rPr>
      <t>f</t>
    </r>
  </si>
  <si>
    <t>Factor of Safety against Fatigue (Nominal)</t>
  </si>
  <si>
    <r>
      <t>n</t>
    </r>
    <r>
      <rPr>
        <vertAlign val="subscript"/>
        <sz val="11"/>
        <color theme="1"/>
        <rFont val="Calibri"/>
        <family val="2"/>
        <scheme val="minor"/>
      </rPr>
      <t>f_nominal</t>
    </r>
  </si>
  <si>
    <t>Factor of Safety against Fatigue (Stress Concentrations)</t>
  </si>
  <si>
    <t>Diameter (Equivalent)</t>
  </si>
  <si>
    <r>
      <t>d</t>
    </r>
    <r>
      <rPr>
        <vertAlign val="subscript"/>
        <sz val="11"/>
        <color theme="1"/>
        <rFont val="Calibri"/>
        <family val="2"/>
        <scheme val="minor"/>
      </rPr>
      <t>eq</t>
    </r>
  </si>
  <si>
    <t>The below are nominal and do not take stress concentrations into account. If have values of stress that include these, make sure to overwrite K_f.</t>
  </si>
  <si>
    <t>Goodman Factor of Safety</t>
  </si>
  <si>
    <t>First Cycle Yield Factor of Safety</t>
  </si>
  <si>
    <t>Fatigue Diagram (Alternating Stress vs Midrange Stress)</t>
  </si>
  <si>
    <t>Alternating Stress</t>
  </si>
  <si>
    <t>point</t>
  </si>
  <si>
    <t>Langer (Yield)</t>
  </si>
  <si>
    <t>Type</t>
  </si>
  <si>
    <t>Goodman</t>
  </si>
  <si>
    <t>Load Line</t>
  </si>
  <si>
    <t>x</t>
  </si>
  <si>
    <t>y</t>
  </si>
  <si>
    <t>pos modified goodman</t>
  </si>
  <si>
    <t>pos midrange</t>
  </si>
  <si>
    <t>stress state</t>
  </si>
  <si>
    <t>series</t>
  </si>
  <si>
    <t>Limit</t>
  </si>
  <si>
    <r>
      <t>n</t>
    </r>
    <r>
      <rPr>
        <vertAlign val="subscript"/>
        <sz val="11"/>
        <color theme="1"/>
        <rFont val="Calibri"/>
        <family val="2"/>
        <scheme val="minor"/>
      </rPr>
      <t>f,Goodman</t>
    </r>
  </si>
  <si>
    <r>
      <t>n</t>
    </r>
    <r>
      <rPr>
        <vertAlign val="subscript"/>
        <sz val="11"/>
        <color theme="1"/>
        <rFont val="Calibri"/>
        <family val="2"/>
        <scheme val="minor"/>
      </rPr>
      <t>y</t>
    </r>
  </si>
  <si>
    <r>
      <t>n</t>
    </r>
    <r>
      <rPr>
        <vertAlign val="subscript"/>
        <sz val="11"/>
        <color theme="1"/>
        <rFont val="Calibri"/>
        <family val="2"/>
        <scheme val="minor"/>
      </rPr>
      <t>f,Gerber</t>
    </r>
  </si>
  <si>
    <t>Gerber Factor of Safety</t>
  </si>
  <si>
    <r>
      <t>S</t>
    </r>
    <r>
      <rPr>
        <vertAlign val="subscript"/>
        <sz val="11"/>
        <color theme="1"/>
        <rFont val="Calibri"/>
        <family val="2"/>
        <scheme val="minor"/>
      </rPr>
      <t>su</t>
    </r>
  </si>
  <si>
    <t>Ultimate Shearing Strength</t>
  </si>
  <si>
    <t>ASME Elliptic Factor of Safety</t>
  </si>
  <si>
    <r>
      <t>n</t>
    </r>
    <r>
      <rPr>
        <vertAlign val="subscript"/>
        <sz val="11"/>
        <color theme="1"/>
        <rFont val="Calibri"/>
        <family val="2"/>
        <scheme val="minor"/>
      </rPr>
      <t>f,ASME-Elliptic</t>
    </r>
  </si>
  <si>
    <t>Yield Strength (Tensile)</t>
  </si>
  <si>
    <t>Yield Strength (Shear)</t>
  </si>
  <si>
    <r>
      <t>S</t>
    </r>
    <r>
      <rPr>
        <vertAlign val="subscript"/>
        <sz val="11"/>
        <color theme="1"/>
        <rFont val="Calibri"/>
        <family val="2"/>
        <scheme val="minor"/>
      </rPr>
      <t>sy</t>
    </r>
  </si>
  <si>
    <t>Factors of Safety</t>
  </si>
  <si>
    <t>gerber</t>
  </si>
  <si>
    <t>asme</t>
  </si>
  <si>
    <t>Soderberg</t>
  </si>
  <si>
    <t>Recall S-N Curve only valid for fully reversed stresses.</t>
  </si>
  <si>
    <t>For other stress conditions, use ASME, Langer, etc criteria.</t>
  </si>
  <si>
    <t>Sf</t>
  </si>
  <si>
    <t>Sf corrected</t>
  </si>
  <si>
    <t>S-N Curve Chart Data</t>
  </si>
  <si>
    <t>Load State</t>
  </si>
  <si>
    <r>
      <t>S</t>
    </r>
    <r>
      <rPr>
        <vertAlign val="subscript"/>
        <sz val="11"/>
        <color theme="1"/>
        <rFont val="Calibri"/>
        <family val="2"/>
        <scheme val="minor"/>
      </rPr>
      <t>f,inf</t>
    </r>
  </si>
  <si>
    <t>Infinite Cycle Region</t>
  </si>
  <si>
    <t>Number of Cycles (Target)</t>
  </si>
  <si>
    <t>Table 6-4</t>
  </si>
  <si>
    <r>
      <t>S</t>
    </r>
    <r>
      <rPr>
        <vertAlign val="subscript"/>
        <sz val="11"/>
        <color theme="1"/>
        <rFont val="Calibri"/>
        <family val="2"/>
        <scheme val="minor"/>
      </rPr>
      <t>T</t>
    </r>
    <r>
      <rPr>
        <sz val="11"/>
        <color theme="1"/>
        <rFont val="Calibri"/>
        <family val="2"/>
        <scheme val="minor"/>
      </rPr>
      <t>/S</t>
    </r>
    <r>
      <rPr>
        <vertAlign val="subscript"/>
        <sz val="11"/>
        <color theme="1"/>
        <rFont val="Calibri"/>
        <family val="2"/>
        <scheme val="minor"/>
      </rPr>
      <t>RT</t>
    </r>
  </si>
  <si>
    <t>x1</t>
  </si>
  <si>
    <t>x2</t>
  </si>
  <si>
    <t>y1</t>
  </si>
  <si>
    <t>y2</t>
  </si>
  <si>
    <t>Strength Ratio for Elevated Temp vs Room Temp</t>
  </si>
  <si>
    <t>Ultimate Tensile Strength at Temp</t>
  </si>
  <si>
    <r>
      <t>S</t>
    </r>
    <r>
      <rPr>
        <vertAlign val="subscript"/>
        <sz val="11"/>
        <color theme="1"/>
        <rFont val="Calibri"/>
        <family val="2"/>
        <scheme val="minor"/>
      </rPr>
      <t>ut @Temp</t>
    </r>
  </si>
  <si>
    <r>
      <t>S</t>
    </r>
    <r>
      <rPr>
        <vertAlign val="subscript"/>
        <sz val="11"/>
        <color theme="1"/>
        <rFont val="Calibri"/>
        <family val="2"/>
        <scheme val="minor"/>
      </rPr>
      <t>f</t>
    </r>
  </si>
  <si>
    <t>Fatigue Strength @ Cycle</t>
  </si>
  <si>
    <t>Brinell's Hardness</t>
  </si>
  <si>
    <t>There will be a flexure and a moment.</t>
  </si>
  <si>
    <t>Assume worst case near point A, since stress concentration</t>
  </si>
  <si>
    <t>D</t>
  </si>
  <si>
    <t>d</t>
  </si>
  <si>
    <t>D/d</t>
  </si>
  <si>
    <t>r</t>
  </si>
  <si>
    <t>K_t</t>
  </si>
  <si>
    <t>infinite</t>
  </si>
  <si>
    <t>r/d</t>
  </si>
  <si>
    <t>Theoretical Stress Concentration Factor for Bending Moment</t>
  </si>
  <si>
    <t>K_f</t>
  </si>
  <si>
    <t>S_ut</t>
  </si>
  <si>
    <t>ksi</t>
  </si>
  <si>
    <t>S_y</t>
  </si>
  <si>
    <t>E</t>
  </si>
  <si>
    <t>G</t>
  </si>
  <si>
    <t>Bending Stress concnetration factor</t>
  </si>
  <si>
    <t>Theoretical Stress Concentration Factor for Torsion</t>
  </si>
  <si>
    <t>K_ts</t>
  </si>
  <si>
    <t>Shear Stress concnetration factor</t>
  </si>
  <si>
    <t>K_fs</t>
  </si>
  <si>
    <t>qs</t>
  </si>
  <si>
    <t>Notch Sensitivity Normal</t>
  </si>
  <si>
    <t>Notch Sensitivity Shear</t>
  </si>
  <si>
    <t>Moment of Inertia of 0.4" dia rod</t>
  </si>
  <si>
    <t>I_rod</t>
  </si>
  <si>
    <t>in^4</t>
  </si>
  <si>
    <t>J_rod</t>
  </si>
  <si>
    <t>Polar Second Moment of Area</t>
  </si>
  <si>
    <t>using deflection to force relationship to find stresses</t>
  </si>
  <si>
    <t>delta_1</t>
  </si>
  <si>
    <t>delta_2</t>
  </si>
  <si>
    <t>Deflection in dir1</t>
  </si>
  <si>
    <t>Deflection in dir2</t>
  </si>
  <si>
    <t>L_BC</t>
  </si>
  <si>
    <t>L_AB</t>
  </si>
  <si>
    <t>lbf</t>
  </si>
  <si>
    <t>use goal seek to get correct delta</t>
  </si>
  <si>
    <t>F_delta1</t>
  </si>
  <si>
    <t>F_delta2</t>
  </si>
  <si>
    <t xml:space="preserve">delta_2 </t>
  </si>
  <si>
    <t>lbf*in</t>
  </si>
  <si>
    <t>sigma_bend_1</t>
  </si>
  <si>
    <t>sigma_bend_2</t>
  </si>
  <si>
    <t>M_A_1</t>
  </si>
  <si>
    <t>Bending moment at Point A, from F_delta_1</t>
  </si>
  <si>
    <t>sigma_max</t>
  </si>
  <si>
    <t>sigma_min</t>
  </si>
  <si>
    <t>Nominal Bending Stresses</t>
  </si>
  <si>
    <t>tau_1</t>
  </si>
  <si>
    <t>tau_2</t>
  </si>
  <si>
    <t>tau_max</t>
  </si>
  <si>
    <t>tau_min</t>
  </si>
  <si>
    <t>sigma_midrange</t>
  </si>
  <si>
    <t>sigma_alternating</t>
  </si>
  <si>
    <t>tau_midrange</t>
  </si>
  <si>
    <t>tau_alternating</t>
  </si>
  <si>
    <t>Midrange and alternating stresses</t>
  </si>
  <si>
    <t>sigma_midrange_vonmises</t>
  </si>
  <si>
    <t>sigma_alternating_vonmises</t>
  </si>
  <si>
    <t>Factor of Safety for ASME Elliptic</t>
  </si>
  <si>
    <t>n_f_ASME</t>
  </si>
  <si>
    <t>s_e</t>
  </si>
  <si>
    <t>Corrected Endurance Limit</t>
  </si>
  <si>
    <t>Note k_c should be 1 for the von mises equations! It is already incorporated</t>
  </si>
  <si>
    <t>calculating expected # cycles</t>
  </si>
  <si>
    <t>Equivalent Fully Reversed Stress to achieve the alternating and midrange stresses, according to ASME Elliptic criteria</t>
  </si>
  <si>
    <t>S_f_mod</t>
  </si>
  <si>
    <t>N_cycles_expected</t>
  </si>
  <si>
    <t>TheBom_PE (Michael Swambom)'s lecture was used for making this.</t>
  </si>
  <si>
    <t>Radius of pulley C</t>
  </si>
  <si>
    <t>R_C</t>
  </si>
  <si>
    <t>Radius of pulley D</t>
  </si>
  <si>
    <t>R_D</t>
  </si>
  <si>
    <t>Force on pulley at C</t>
  </si>
  <si>
    <t>F_C</t>
  </si>
  <si>
    <t>Yield Strength</t>
  </si>
  <si>
    <t>Force on pulley at D</t>
  </si>
  <si>
    <t>F_D</t>
  </si>
  <si>
    <t>Ultimate Strength</t>
  </si>
  <si>
    <t>Distance from A to C</t>
  </si>
  <si>
    <t>L_AC</t>
  </si>
  <si>
    <t>Distance from C to D</t>
  </si>
  <si>
    <t>L_CD</t>
  </si>
  <si>
    <t>Distance from D to B</t>
  </si>
  <si>
    <t>L_DB</t>
  </si>
  <si>
    <t>Dia from A to C</t>
  </si>
  <si>
    <t>Dia_L_AC</t>
  </si>
  <si>
    <t>Dia from C to D</t>
  </si>
  <si>
    <t>Dia_L_CD</t>
  </si>
  <si>
    <t>Dia from D to B</t>
  </si>
  <si>
    <t>Dia_L_DB</t>
  </si>
  <si>
    <t>Reaction at B</t>
  </si>
  <si>
    <t>F_R_B</t>
  </si>
  <si>
    <t>Reaction at A</t>
  </si>
  <si>
    <t>F_R_A</t>
  </si>
  <si>
    <t>now draw shear and bending moment diagram</t>
  </si>
  <si>
    <t>note that max stress is not necessarily where max bending moment is. Shaft dia and stress concentration come into play</t>
  </si>
  <si>
    <t>evaluate on right side of D since shaft dia is smaller</t>
  </si>
  <si>
    <t>Use other sheet to get K_f and K_fs</t>
  </si>
  <si>
    <t>plug into formula</t>
  </si>
  <si>
    <t>Factor of Safety</t>
  </si>
  <si>
    <t>Diameter of Shaft</t>
  </si>
  <si>
    <t>get from calc fatigue sheet</t>
  </si>
  <si>
    <r>
      <t>K</t>
    </r>
    <r>
      <rPr>
        <vertAlign val="subscript"/>
        <sz val="11"/>
        <color theme="1"/>
        <rFont val="Calibri"/>
        <family val="2"/>
        <scheme val="minor"/>
      </rPr>
      <t>fs</t>
    </r>
  </si>
  <si>
    <t>Fatigue Stress Concentration Factor (Torsion)</t>
  </si>
  <si>
    <t>Fatigue Stress Concentration Factor (Bending)</t>
  </si>
  <si>
    <t>M_a</t>
  </si>
  <si>
    <t>T_a</t>
  </si>
  <si>
    <t>Alternating Moment</t>
  </si>
  <si>
    <t>Alternating Torsion</t>
  </si>
  <si>
    <t>Midrange Moment</t>
  </si>
  <si>
    <t>Midrange Torsion</t>
  </si>
  <si>
    <t>M_m</t>
  </si>
  <si>
    <t>T_m</t>
  </si>
  <si>
    <t>in*lbf</t>
  </si>
  <si>
    <t>n_shaft</t>
  </si>
  <si>
    <t>From TheBOM_PE on yt</t>
  </si>
  <si>
    <t>Please contact me at Jwills@protonmail.com if you find any issues with this 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</si>
</sst>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8" x14ac:knownFonts="1">
    <font>
      <sz val="11"/>
      <color theme="1"/>
      <name val="Calibri"/>
      <family val="2"/>
      <scheme val="minor"/>
    </font>
    <font>
      <b/>
      <sz val="11"/>
      <color theme="1"/>
      <name val="Calibri"/>
      <family val="2"/>
      <scheme val="minor"/>
    </font>
    <font>
      <vertAlign val="subscript"/>
      <sz val="11"/>
      <color theme="1"/>
      <name val="Calibri"/>
      <family val="2"/>
      <scheme val="minor"/>
    </font>
    <font>
      <sz val="9"/>
      <color indexed="81"/>
      <name val="Tahoma"/>
      <family val="2"/>
    </font>
    <font>
      <b/>
      <sz val="9"/>
      <color indexed="81"/>
      <name val="Tahoma"/>
      <family val="2"/>
    </font>
    <font>
      <sz val="11"/>
      <color theme="1"/>
      <name val="Calibri"/>
      <family val="2"/>
    </font>
    <font>
      <vertAlign val="subscript"/>
      <sz val="11"/>
      <color theme="1"/>
      <name val="Calibri"/>
      <family val="2"/>
    </font>
    <font>
      <sz val="11"/>
      <color theme="1"/>
      <name val="Calibri"/>
      <family val="2"/>
      <scheme val="minor"/>
    </font>
  </fonts>
  <fills count="5">
    <fill>
      <patternFill patternType="none"/>
    </fill>
    <fill>
      <patternFill patternType="gray125"/>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s>
  <borders count="3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style="thin">
        <color indexed="64"/>
      </right>
      <top/>
      <bottom/>
      <diagonal/>
    </border>
  </borders>
  <cellStyleXfs count="2">
    <xf numFmtId="0" fontId="0" fillId="0" borderId="0"/>
    <xf numFmtId="9" fontId="7" fillId="0" borderId="0" applyFont="0" applyFill="0" applyBorder="0" applyAlignment="0" applyProtection="0"/>
  </cellStyleXfs>
  <cellXfs count="97">
    <xf numFmtId="0" fontId="0" fillId="0" borderId="0" xfId="0"/>
    <xf numFmtId="0" fontId="0" fillId="0" borderId="1" xfId="0" applyBorder="1"/>
    <xf numFmtId="0" fontId="0" fillId="0" borderId="0" xfId="0" applyBorder="1"/>
    <xf numFmtId="0" fontId="0" fillId="3" borderId="0" xfId="0" applyFill="1"/>
    <xf numFmtId="0" fontId="0" fillId="2" borderId="0" xfId="0" applyFill="1"/>
    <xf numFmtId="0" fontId="0" fillId="0" borderId="0" xfId="0" applyProtection="1">
      <protection hidden="1"/>
    </xf>
    <xf numFmtId="0" fontId="0" fillId="0" borderId="1" xfId="0" applyBorder="1" applyProtection="1">
      <protection hidden="1"/>
    </xf>
    <xf numFmtId="0" fontId="1" fillId="0" borderId="2" xfId="0" applyFont="1" applyBorder="1" applyProtection="1">
      <protection hidden="1"/>
    </xf>
    <xf numFmtId="0" fontId="0" fillId="0" borderId="0" xfId="0" applyFont="1" applyFill="1" applyBorder="1" applyProtection="1">
      <protection hidden="1"/>
    </xf>
    <xf numFmtId="0" fontId="0" fillId="0" borderId="3" xfId="0" applyBorder="1" applyProtection="1">
      <protection hidden="1"/>
    </xf>
    <xf numFmtId="0" fontId="0" fillId="0" borderId="4" xfId="0" applyBorder="1" applyProtection="1">
      <protection hidden="1"/>
    </xf>
    <xf numFmtId="0" fontId="0" fillId="0" borderId="5" xfId="0" applyBorder="1" applyAlignment="1" applyProtection="1">
      <alignment horizontal="center"/>
      <protection hidden="1"/>
    </xf>
    <xf numFmtId="0" fontId="0" fillId="0" borderId="0" xfId="0" applyFont="1" applyBorder="1" applyProtection="1">
      <protection hidden="1"/>
    </xf>
    <xf numFmtId="0" fontId="0" fillId="0" borderId="6" xfId="0" applyBorder="1" applyProtection="1">
      <protection hidden="1"/>
    </xf>
    <xf numFmtId="0" fontId="0" fillId="0" borderId="7" xfId="0" applyBorder="1" applyAlignment="1" applyProtection="1">
      <alignment horizontal="center"/>
      <protection hidden="1"/>
    </xf>
    <xf numFmtId="0" fontId="0" fillId="0" borderId="1" xfId="0" applyFill="1" applyBorder="1" applyProtection="1">
      <protection hidden="1"/>
    </xf>
    <xf numFmtId="0" fontId="0" fillId="0" borderId="6" xfId="0" applyBorder="1" applyAlignment="1" applyProtection="1">
      <protection hidden="1"/>
    </xf>
    <xf numFmtId="0" fontId="5" fillId="0" borderId="1" xfId="0" applyFont="1" applyBorder="1" applyProtection="1">
      <protection hidden="1"/>
    </xf>
    <xf numFmtId="0" fontId="0" fillId="0" borderId="8" xfId="0" applyBorder="1" applyProtection="1">
      <protection hidden="1"/>
    </xf>
    <xf numFmtId="0" fontId="0" fillId="0" borderId="9" xfId="0" applyBorder="1" applyProtection="1">
      <protection hidden="1"/>
    </xf>
    <xf numFmtId="0" fontId="0" fillId="0" borderId="10" xfId="0" applyBorder="1" applyAlignment="1" applyProtection="1">
      <alignment horizontal="center"/>
      <protection hidden="1"/>
    </xf>
    <xf numFmtId="0" fontId="0" fillId="0" borderId="0" xfId="0" applyBorder="1" applyProtection="1">
      <protection hidden="1"/>
    </xf>
    <xf numFmtId="0" fontId="0" fillId="0" borderId="11" xfId="0" applyFill="1" applyBorder="1" applyAlignment="1" applyProtection="1">
      <alignment horizontal="left"/>
      <protection hidden="1"/>
    </xf>
    <xf numFmtId="0" fontId="0" fillId="0" borderId="0" xfId="0" applyFill="1" applyBorder="1" applyProtection="1">
      <protection hidden="1"/>
    </xf>
    <xf numFmtId="0" fontId="0" fillId="0" borderId="13" xfId="0" applyFill="1" applyBorder="1" applyAlignment="1" applyProtection="1">
      <alignment horizontal="center"/>
      <protection hidden="1"/>
    </xf>
    <xf numFmtId="0" fontId="0" fillId="0" borderId="6" xfId="0" applyBorder="1" applyAlignment="1" applyProtection="1">
      <alignment horizontal="left"/>
      <protection hidden="1"/>
    </xf>
    <xf numFmtId="0" fontId="0" fillId="0" borderId="1" xfId="0" applyBorder="1" applyAlignment="1" applyProtection="1">
      <alignment horizontal="center"/>
      <protection hidden="1"/>
    </xf>
    <xf numFmtId="0" fontId="5" fillId="0" borderId="7" xfId="0" applyFont="1" applyBorder="1" applyAlignment="1" applyProtection="1">
      <alignment horizontal="center"/>
      <protection hidden="1"/>
    </xf>
    <xf numFmtId="0" fontId="0" fillId="0" borderId="17" xfId="0" applyBorder="1" applyAlignment="1" applyProtection="1">
      <alignment horizontal="left"/>
      <protection hidden="1"/>
    </xf>
    <xf numFmtId="0" fontId="0" fillId="0" borderId="2" xfId="0" applyBorder="1" applyAlignment="1" applyProtection="1">
      <alignment horizontal="center"/>
      <protection hidden="1"/>
    </xf>
    <xf numFmtId="0" fontId="5" fillId="0" borderId="18" xfId="0" applyFont="1" applyBorder="1" applyAlignment="1" applyProtection="1">
      <alignment horizontal="center"/>
      <protection hidden="1"/>
    </xf>
    <xf numFmtId="0" fontId="0" fillId="0" borderId="3" xfId="0" applyBorder="1" applyAlignment="1" applyProtection="1">
      <alignment horizontal="left"/>
      <protection hidden="1"/>
    </xf>
    <xf numFmtId="0" fontId="0" fillId="0" borderId="4" xfId="1" applyNumberFormat="1" applyFont="1" applyFill="1" applyBorder="1" applyProtection="1">
      <protection hidden="1"/>
    </xf>
    <xf numFmtId="0" fontId="5" fillId="0" borderId="5" xfId="0" applyFont="1" applyBorder="1" applyAlignment="1" applyProtection="1">
      <alignment horizontal="center"/>
      <protection hidden="1"/>
    </xf>
    <xf numFmtId="0" fontId="0" fillId="0" borderId="8" xfId="0" applyBorder="1" applyAlignment="1" applyProtection="1">
      <alignment horizontal="left"/>
      <protection hidden="1"/>
    </xf>
    <xf numFmtId="0" fontId="0" fillId="0" borderId="9" xfId="1" applyNumberFormat="1" applyFont="1" applyFill="1" applyBorder="1" applyProtection="1">
      <protection hidden="1"/>
    </xf>
    <xf numFmtId="0" fontId="5" fillId="0" borderId="10" xfId="0" applyFont="1" applyBorder="1" applyAlignment="1" applyProtection="1">
      <alignment horizontal="center"/>
      <protection hidden="1"/>
    </xf>
    <xf numFmtId="0" fontId="0" fillId="0" borderId="11" xfId="0" applyFill="1" applyBorder="1" applyProtection="1">
      <protection hidden="1"/>
    </xf>
    <xf numFmtId="0" fontId="0" fillId="0" borderId="12" xfId="0" applyBorder="1" applyProtection="1">
      <protection hidden="1"/>
    </xf>
    <xf numFmtId="0" fontId="0" fillId="0" borderId="13" xfId="0" applyBorder="1" applyAlignment="1" applyProtection="1">
      <alignment horizontal="center"/>
      <protection hidden="1"/>
    </xf>
    <xf numFmtId="0" fontId="0" fillId="0" borderId="6" xfId="0" applyFill="1" applyBorder="1" applyProtection="1">
      <protection hidden="1"/>
    </xf>
    <xf numFmtId="0" fontId="0" fillId="0" borderId="14" xfId="0" applyBorder="1" applyProtection="1">
      <protection hidden="1"/>
    </xf>
    <xf numFmtId="0" fontId="0" fillId="0" borderId="15" xfId="0" applyBorder="1" applyProtection="1">
      <protection hidden="1"/>
    </xf>
    <xf numFmtId="164" fontId="0" fillId="3" borderId="15" xfId="0" applyNumberFormat="1" applyFill="1" applyBorder="1" applyProtection="1">
      <protection hidden="1"/>
    </xf>
    <xf numFmtId="0" fontId="0" fillId="0" borderId="16" xfId="0" applyBorder="1" applyAlignment="1" applyProtection="1">
      <alignment horizontal="center"/>
      <protection hidden="1"/>
    </xf>
    <xf numFmtId="0" fontId="0" fillId="0" borderId="0" xfId="0" applyBorder="1" applyAlignment="1" applyProtection="1">
      <alignment horizontal="center"/>
      <protection hidden="1"/>
    </xf>
    <xf numFmtId="0" fontId="0" fillId="0" borderId="8" xfId="0" applyFill="1" applyBorder="1" applyProtection="1">
      <protection hidden="1"/>
    </xf>
    <xf numFmtId="0" fontId="0" fillId="3" borderId="9" xfId="0" applyFill="1" applyBorder="1" applyProtection="1">
      <protection hidden="1"/>
    </xf>
    <xf numFmtId="0" fontId="0" fillId="0" borderId="7" xfId="0" applyBorder="1" applyProtection="1">
      <protection hidden="1"/>
    </xf>
    <xf numFmtId="0" fontId="0" fillId="0" borderId="10" xfId="0" applyBorder="1" applyProtection="1">
      <protection hidden="1"/>
    </xf>
    <xf numFmtId="0" fontId="0" fillId="0" borderId="25" xfId="0" applyBorder="1" applyProtection="1">
      <protection hidden="1"/>
    </xf>
    <xf numFmtId="164" fontId="0" fillId="0" borderId="9" xfId="0" applyNumberFormat="1" applyBorder="1" applyProtection="1">
      <protection hidden="1"/>
    </xf>
    <xf numFmtId="164" fontId="0" fillId="0" borderId="0" xfId="0" applyNumberFormat="1" applyBorder="1" applyProtection="1">
      <protection hidden="1"/>
    </xf>
    <xf numFmtId="164" fontId="0" fillId="0" borderId="1" xfId="0" applyNumberFormat="1" applyFill="1" applyBorder="1" applyProtection="1">
      <protection hidden="1"/>
    </xf>
    <xf numFmtId="164" fontId="0" fillId="3" borderId="9" xfId="0" applyNumberFormat="1" applyFill="1" applyBorder="1" applyProtection="1">
      <protection hidden="1"/>
    </xf>
    <xf numFmtId="0" fontId="0" fillId="0" borderId="5" xfId="0" applyBorder="1" applyProtection="1">
      <protection hidden="1"/>
    </xf>
    <xf numFmtId="0" fontId="0" fillId="3" borderId="1" xfId="0" applyFill="1" applyBorder="1" applyProtection="1">
      <protection hidden="1"/>
    </xf>
    <xf numFmtId="164" fontId="0" fillId="0" borderId="1" xfId="0" applyNumberFormat="1" applyBorder="1" applyProtection="1">
      <protection hidden="1"/>
    </xf>
    <xf numFmtId="164" fontId="0" fillId="0" borderId="7" xfId="0" applyNumberFormat="1" applyBorder="1" applyProtection="1">
      <protection hidden="1"/>
    </xf>
    <xf numFmtId="0" fontId="0" fillId="0" borderId="19" xfId="0" applyBorder="1" applyProtection="1">
      <protection hidden="1"/>
    </xf>
    <xf numFmtId="0" fontId="0" fillId="0" borderId="26" xfId="0" applyBorder="1" applyProtection="1">
      <protection hidden="1"/>
    </xf>
    <xf numFmtId="0" fontId="0" fillId="0" borderId="29" xfId="0" applyBorder="1" applyProtection="1">
      <protection hidden="1"/>
    </xf>
    <xf numFmtId="0" fontId="0" fillId="0" borderId="27" xfId="0" applyBorder="1" applyProtection="1">
      <protection hidden="1"/>
    </xf>
    <xf numFmtId="0" fontId="0" fillId="0" borderId="30" xfId="0" applyBorder="1" applyProtection="1">
      <protection hidden="1"/>
    </xf>
    <xf numFmtId="0" fontId="0" fillId="2" borderId="1" xfId="0" applyFill="1" applyBorder="1" applyProtection="1">
      <protection locked="0"/>
    </xf>
    <xf numFmtId="0" fontId="0" fillId="2" borderId="12" xfId="0" applyFill="1" applyBorder="1" applyAlignment="1" applyProtection="1">
      <protection locked="0"/>
    </xf>
    <xf numFmtId="0" fontId="0" fillId="2" borderId="1" xfId="0" applyFill="1" applyBorder="1" applyAlignment="1" applyProtection="1">
      <alignment horizontal="center"/>
      <protection locked="0"/>
    </xf>
    <xf numFmtId="9" fontId="0" fillId="2" borderId="2" xfId="1" applyFont="1" applyFill="1" applyBorder="1" applyProtection="1">
      <protection locked="0"/>
    </xf>
    <xf numFmtId="0" fontId="0" fillId="2" borderId="4" xfId="0" applyFill="1" applyBorder="1" applyProtection="1">
      <protection locked="0"/>
    </xf>
    <xf numFmtId="0" fontId="0" fillId="0" borderId="3" xfId="0" applyBorder="1" applyAlignment="1" applyProtection="1">
      <alignment horizontal="center"/>
      <protection hidden="1"/>
    </xf>
    <xf numFmtId="0" fontId="0" fillId="0" borderId="5" xfId="0" applyBorder="1" applyAlignment="1" applyProtection="1">
      <alignment horizontal="center"/>
      <protection hidden="1"/>
    </xf>
    <xf numFmtId="0" fontId="0" fillId="0" borderId="28" xfId="0" applyBorder="1" applyAlignment="1" applyProtection="1">
      <alignment horizontal="center"/>
      <protection hidden="1"/>
    </xf>
    <xf numFmtId="0" fontId="0" fillId="0" borderId="4" xfId="0" applyBorder="1" applyAlignment="1" applyProtection="1">
      <alignment horizontal="center"/>
      <protection hidden="1"/>
    </xf>
    <xf numFmtId="0" fontId="1" fillId="0" borderId="3" xfId="0" applyFont="1" applyBorder="1" applyAlignment="1" applyProtection="1">
      <alignment horizontal="center"/>
      <protection hidden="1"/>
    </xf>
    <xf numFmtId="0" fontId="1" fillId="0" borderId="4" xfId="0" applyFont="1" applyBorder="1" applyAlignment="1" applyProtection="1">
      <alignment horizontal="center"/>
      <protection hidden="1"/>
    </xf>
    <xf numFmtId="0" fontId="1" fillId="0" borderId="5" xfId="0" applyFont="1" applyBorder="1" applyAlignment="1" applyProtection="1">
      <alignment horizontal="center"/>
      <protection hidden="1"/>
    </xf>
    <xf numFmtId="0" fontId="0" fillId="0" borderId="1" xfId="0" applyBorder="1" applyAlignment="1" applyProtection="1">
      <alignment horizontal="center"/>
      <protection hidden="1"/>
    </xf>
    <xf numFmtId="0" fontId="0" fillId="0" borderId="6" xfId="0" applyBorder="1" applyAlignment="1" applyProtection="1">
      <alignment horizontal="center"/>
      <protection hidden="1"/>
    </xf>
    <xf numFmtId="0" fontId="0" fillId="0" borderId="8" xfId="0" applyBorder="1" applyAlignment="1" applyProtection="1">
      <alignment horizontal="center"/>
      <protection hidden="1"/>
    </xf>
    <xf numFmtId="0" fontId="0" fillId="0" borderId="7" xfId="0" applyBorder="1" applyAlignment="1" applyProtection="1">
      <alignment horizontal="center"/>
      <protection hidden="1"/>
    </xf>
    <xf numFmtId="0" fontId="1" fillId="0" borderId="22" xfId="0" applyFont="1" applyBorder="1" applyAlignment="1" applyProtection="1">
      <alignment horizontal="center"/>
      <protection hidden="1"/>
    </xf>
    <xf numFmtId="0" fontId="1" fillId="0" borderId="23" xfId="0" applyFont="1" applyBorder="1" applyAlignment="1" applyProtection="1">
      <alignment horizontal="center"/>
      <protection hidden="1"/>
    </xf>
    <xf numFmtId="0" fontId="1" fillId="0" borderId="24" xfId="0" applyFont="1" applyBorder="1" applyAlignment="1" applyProtection="1">
      <alignment horizontal="center"/>
      <protection hidden="1"/>
    </xf>
    <xf numFmtId="0" fontId="1" fillId="0" borderId="1" xfId="0" applyFont="1" applyBorder="1" applyAlignment="1" applyProtection="1">
      <alignment horizontal="center"/>
      <protection hidden="1"/>
    </xf>
    <xf numFmtId="0" fontId="0" fillId="0" borderId="14" xfId="0" applyBorder="1" applyAlignment="1" applyProtection="1">
      <alignment horizontal="center"/>
      <protection hidden="1"/>
    </xf>
    <xf numFmtId="0" fontId="0" fillId="0" borderId="15" xfId="0" applyBorder="1" applyAlignment="1" applyProtection="1">
      <alignment horizontal="center"/>
      <protection hidden="1"/>
    </xf>
    <xf numFmtId="0" fontId="0" fillId="0" borderId="16" xfId="0" applyBorder="1" applyAlignment="1" applyProtection="1">
      <alignment horizontal="center"/>
      <protection hidden="1"/>
    </xf>
    <xf numFmtId="0" fontId="1" fillId="0" borderId="6" xfId="0" applyFont="1" applyBorder="1" applyAlignment="1" applyProtection="1">
      <alignment horizontal="center"/>
      <protection hidden="1"/>
    </xf>
    <xf numFmtId="0" fontId="1" fillId="0" borderId="7" xfId="0" applyFont="1" applyBorder="1" applyAlignment="1" applyProtection="1">
      <alignment horizontal="center"/>
      <protection hidden="1"/>
    </xf>
    <xf numFmtId="0" fontId="0" fillId="0" borderId="1" xfId="0" applyBorder="1" applyAlignment="1" applyProtection="1">
      <alignment horizontal="center" wrapText="1"/>
      <protection hidden="1"/>
    </xf>
    <xf numFmtId="0" fontId="1" fillId="0" borderId="19" xfId="0" applyFont="1" applyFill="1" applyBorder="1" applyAlignment="1" applyProtection="1">
      <alignment horizontal="center"/>
      <protection hidden="1"/>
    </xf>
    <xf numFmtId="0" fontId="1" fillId="0" borderId="20" xfId="0" applyFont="1" applyFill="1" applyBorder="1" applyAlignment="1" applyProtection="1">
      <alignment horizontal="center"/>
      <protection hidden="1"/>
    </xf>
    <xf numFmtId="0" fontId="1" fillId="0" borderId="21" xfId="0" applyFont="1" applyFill="1" applyBorder="1" applyAlignment="1" applyProtection="1">
      <alignment horizontal="center"/>
      <protection hidden="1"/>
    </xf>
    <xf numFmtId="0" fontId="0" fillId="0" borderId="1" xfId="0" applyBorder="1" applyAlignment="1">
      <alignment horizontal="center" wrapText="1"/>
    </xf>
    <xf numFmtId="0" fontId="0" fillId="0" borderId="1" xfId="0" applyBorder="1" applyAlignment="1">
      <alignment horizontal="center"/>
    </xf>
    <xf numFmtId="0" fontId="0" fillId="0" borderId="31" xfId="0" applyBorder="1" applyAlignment="1">
      <alignment horizontal="center" wrapText="1"/>
    </xf>
    <xf numFmtId="0" fontId="0" fillId="4" borderId="0" xfId="0" applyFill="1"/>
  </cellXfs>
  <cellStyles count="2">
    <cellStyle name="Normal" xfId="0" builtinId="0"/>
    <cellStyle name="Percent" xfId="1" builtinId="5"/>
  </cellStyles>
  <dxfs count="1">
    <dxf>
      <font>
        <color rgb="FF9C0006"/>
      </font>
      <fill>
        <patternFill>
          <bgColor rgb="FFFFC7CE"/>
        </patternFill>
      </fill>
    </dxf>
  </dxfs>
  <tableStyles count="0" defaultTableStyle="TableStyleMedium2" defaultPivotStyle="PivotStyleLight16"/>
  <colors>
    <mruColors>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2.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Modified Goodman</a:t>
            </a:r>
            <a:r>
              <a:rPr lang="en-US" baseline="0"/>
              <a:t> Diagram</a:t>
            </a:r>
          </a:p>
          <a:p>
            <a:pPr>
              <a:defRPr/>
            </a:pPr>
            <a:r>
              <a:rPr lang="en-US" baseline="0"/>
              <a:t>Need to study more before using this</a:t>
            </a:r>
          </a:p>
          <a:p>
            <a:pPr>
              <a:defRPr/>
            </a:pPr>
            <a:r>
              <a:rPr lang="en-US" baseline="0"/>
              <a:t>Not finished with this setup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7744225721784776"/>
          <c:y val="0.17171296296296296"/>
          <c:w val="0.51547331583552058"/>
          <c:h val="0.70696741032370958"/>
        </c:manualLayout>
      </c:layout>
      <c:scatterChart>
        <c:scatterStyle val="lineMarker"/>
        <c:varyColors val="0"/>
        <c:ser>
          <c:idx val="0"/>
          <c:order val="0"/>
          <c:tx>
            <c:v>MaxMin Stresses</c:v>
          </c:tx>
          <c:spPr>
            <a:ln w="12700" cap="rnd">
              <a:solidFill>
                <a:schemeClr val="tx1"/>
              </a:solidFill>
              <a:prstDash val="solid"/>
              <a:round/>
            </a:ln>
            <a:effectLst/>
          </c:spPr>
          <c:marker>
            <c:symbol val="circle"/>
            <c:size val="5"/>
            <c:spPr>
              <a:solidFill>
                <a:schemeClr val="accent1"/>
              </a:solidFill>
              <a:ln w="9525">
                <a:solidFill>
                  <a:schemeClr val="accent1"/>
                </a:solidFill>
              </a:ln>
              <a:effectLst/>
            </c:spPr>
          </c:marker>
          <c:xVal>
            <c:numRef>
              <c:f>'Calc Fatigue'!$C$187:$C$189</c:f>
              <c:numCache>
                <c:formatCode>General</c:formatCode>
                <c:ptCount val="3"/>
                <c:pt idx="0">
                  <c:v>0</c:v>
                </c:pt>
                <c:pt idx="1">
                  <c:v>93.7</c:v>
                </c:pt>
                <c:pt idx="2">
                  <c:v>0</c:v>
                </c:pt>
              </c:numCache>
            </c:numRef>
          </c:xVal>
          <c:yVal>
            <c:numRef>
              <c:f>'Calc Fatigue'!$D$187:$D$189</c:f>
              <c:numCache>
                <c:formatCode>General</c:formatCode>
                <c:ptCount val="3"/>
                <c:pt idx="0" formatCode="0.000">
                  <c:v>29.88838934951302</c:v>
                </c:pt>
                <c:pt idx="1">
                  <c:v>93.7</c:v>
                </c:pt>
                <c:pt idx="2" formatCode="0.000">
                  <c:v>-29.88838934951302</c:v>
                </c:pt>
              </c:numCache>
            </c:numRef>
          </c:yVal>
          <c:smooth val="0"/>
          <c:extLst>
            <c:ext xmlns:c16="http://schemas.microsoft.com/office/drawing/2014/chart" uri="{C3380CC4-5D6E-409C-BE32-E72D297353CC}">
              <c16:uniqueId val="{00000000-E916-4F03-8AFB-B3A7C8BFB2CC}"/>
            </c:ext>
          </c:extLst>
        </c:ser>
        <c:ser>
          <c:idx val="1"/>
          <c:order val="1"/>
          <c:tx>
            <c:v>Mod Goodman Limit</c:v>
          </c:tx>
          <c:spPr>
            <a:ln w="19050" cap="rnd">
              <a:solidFill>
                <a:schemeClr val="tx1"/>
              </a:solidFill>
              <a:round/>
            </a:ln>
            <a:effectLst/>
          </c:spPr>
          <c:marker>
            <c:symbol val="circle"/>
            <c:size val="5"/>
            <c:spPr>
              <a:solidFill>
                <a:schemeClr val="tx1"/>
              </a:solidFill>
              <a:ln w="9525">
                <a:solidFill>
                  <a:schemeClr val="accent2"/>
                </a:solidFill>
              </a:ln>
              <a:effectLst/>
            </c:spPr>
          </c:marker>
          <c:xVal>
            <c:numRef>
              <c:f>'Calc Fatigue'!$C$190:$C$194</c:f>
              <c:numCache>
                <c:formatCode>General</c:formatCode>
                <c:ptCount val="5"/>
                <c:pt idx="0">
                  <c:v>0</c:v>
                </c:pt>
                <c:pt idx="1">
                  <c:v>32.468353279761928</c:v>
                </c:pt>
                <c:pt idx="2">
                  <c:v>52</c:v>
                </c:pt>
                <c:pt idx="3">
                  <c:v>32.468353279761928</c:v>
                </c:pt>
                <c:pt idx="4" formatCode="0.000">
                  <c:v>0</c:v>
                </c:pt>
              </c:numCache>
            </c:numRef>
          </c:xVal>
          <c:yVal>
            <c:numRef>
              <c:f>'Calc Fatigue'!$D$190:$D$194</c:f>
              <c:numCache>
                <c:formatCode>General</c:formatCode>
                <c:ptCount val="5"/>
                <c:pt idx="0" formatCode="0.000">
                  <c:v>29.88838934951302</c:v>
                </c:pt>
                <c:pt idx="1">
                  <c:v>52</c:v>
                </c:pt>
                <c:pt idx="2">
                  <c:v>52</c:v>
                </c:pt>
                <c:pt idx="3">
                  <c:v>12.936706559523856</c:v>
                </c:pt>
                <c:pt idx="4" formatCode="0.000">
                  <c:v>-29.88838934951302</c:v>
                </c:pt>
              </c:numCache>
            </c:numRef>
          </c:yVal>
          <c:smooth val="0"/>
          <c:extLst>
            <c:ext xmlns:c16="http://schemas.microsoft.com/office/drawing/2014/chart" uri="{C3380CC4-5D6E-409C-BE32-E72D297353CC}">
              <c16:uniqueId val="{00000001-E916-4F03-8AFB-B3A7C8BFB2CC}"/>
            </c:ext>
          </c:extLst>
        </c:ser>
        <c:ser>
          <c:idx val="2"/>
          <c:order val="2"/>
          <c:tx>
            <c:v>MidRange Stress</c:v>
          </c:tx>
          <c:spPr>
            <a:ln w="9525" cap="rnd">
              <a:solidFill>
                <a:schemeClr val="tx1"/>
              </a:solidFill>
              <a:prstDash val="dash"/>
              <a:round/>
            </a:ln>
            <a:effectLst/>
          </c:spPr>
          <c:marker>
            <c:symbol val="circle"/>
            <c:size val="5"/>
            <c:spPr>
              <a:solidFill>
                <a:schemeClr val="accent3"/>
              </a:solidFill>
              <a:ln w="9525">
                <a:solidFill>
                  <a:schemeClr val="accent3"/>
                </a:solidFill>
              </a:ln>
              <a:effectLst/>
            </c:spPr>
          </c:marker>
          <c:xVal>
            <c:numRef>
              <c:f>'Calc Fatigue'!$C$195:$C$196</c:f>
              <c:numCache>
                <c:formatCode>General</c:formatCode>
                <c:ptCount val="2"/>
                <c:pt idx="0">
                  <c:v>0</c:v>
                </c:pt>
                <c:pt idx="1">
                  <c:v>93.7</c:v>
                </c:pt>
              </c:numCache>
            </c:numRef>
          </c:xVal>
          <c:yVal>
            <c:numRef>
              <c:f>'Calc Fatigue'!$D$195:$D$196</c:f>
              <c:numCache>
                <c:formatCode>General</c:formatCode>
                <c:ptCount val="2"/>
                <c:pt idx="0">
                  <c:v>0</c:v>
                </c:pt>
                <c:pt idx="1">
                  <c:v>93.7</c:v>
                </c:pt>
              </c:numCache>
            </c:numRef>
          </c:yVal>
          <c:smooth val="0"/>
          <c:extLst>
            <c:ext xmlns:c16="http://schemas.microsoft.com/office/drawing/2014/chart" uri="{C3380CC4-5D6E-409C-BE32-E72D297353CC}">
              <c16:uniqueId val="{00000002-E916-4F03-8AFB-B3A7C8BFB2CC}"/>
            </c:ext>
          </c:extLst>
        </c:ser>
        <c:ser>
          <c:idx val="3"/>
          <c:order val="3"/>
          <c:tx>
            <c:v>Stress State</c:v>
          </c:tx>
          <c:spPr>
            <a:ln w="12700" cap="rnd">
              <a:solidFill>
                <a:srgbClr val="FF0000"/>
              </a:solidFill>
              <a:round/>
            </a:ln>
            <a:effectLst/>
          </c:spPr>
          <c:marker>
            <c:symbol val="circle"/>
            <c:size val="5"/>
            <c:spPr>
              <a:solidFill>
                <a:srgbClr val="FF0000"/>
              </a:solidFill>
              <a:ln w="6350">
                <a:solidFill>
                  <a:schemeClr val="tx1"/>
                </a:solidFill>
              </a:ln>
              <a:effectLst/>
            </c:spPr>
          </c:marker>
          <c:xVal>
            <c:numRef>
              <c:f>'Calc Fatigue'!$C$197:$C$198</c:f>
              <c:numCache>
                <c:formatCode>General</c:formatCode>
                <c:ptCount val="2"/>
                <c:pt idx="0">
                  <c:v>44.19999</c:v>
                </c:pt>
                <c:pt idx="1">
                  <c:v>44.200010000000006</c:v>
                </c:pt>
              </c:numCache>
            </c:numRef>
          </c:xVal>
          <c:yVal>
            <c:numRef>
              <c:f>'Calc Fatigue'!$D$197:$D$198</c:f>
              <c:numCache>
                <c:formatCode>General</c:formatCode>
                <c:ptCount val="2"/>
                <c:pt idx="0">
                  <c:v>39.5</c:v>
                </c:pt>
                <c:pt idx="1">
                  <c:v>48.9</c:v>
                </c:pt>
              </c:numCache>
            </c:numRef>
          </c:yVal>
          <c:smooth val="0"/>
          <c:extLst>
            <c:ext xmlns:c16="http://schemas.microsoft.com/office/drawing/2014/chart" uri="{C3380CC4-5D6E-409C-BE32-E72D297353CC}">
              <c16:uniqueId val="{00000004-E916-4F03-8AFB-B3A7C8BFB2CC}"/>
            </c:ext>
          </c:extLst>
        </c:ser>
        <c:ser>
          <c:idx val="4"/>
          <c:order val="4"/>
          <c:tx>
            <c:v>sg</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'Calc Fatigue'!$E$63:$E$64</c:f>
              <c:numCache>
                <c:formatCode>General</c:formatCode>
                <c:ptCount val="2"/>
              </c:numCache>
            </c:numRef>
          </c:xVal>
          <c:yVal>
            <c:numRef>
              <c:f>'Calc Fatigue'!$E$65:$E$66</c:f>
              <c:numCache>
                <c:formatCode>General</c:formatCode>
                <c:ptCount val="2"/>
              </c:numCache>
            </c:numRef>
          </c:yVal>
          <c:smooth val="0"/>
          <c:extLst>
            <c:ext xmlns:c16="http://schemas.microsoft.com/office/drawing/2014/chart" uri="{C3380CC4-5D6E-409C-BE32-E72D297353CC}">
              <c16:uniqueId val="{00000006-E916-4F03-8AFB-B3A7C8BFB2CC}"/>
            </c:ext>
          </c:extLst>
        </c:ser>
        <c:dLbls>
          <c:showLegendKey val="0"/>
          <c:showVal val="0"/>
          <c:showCatName val="0"/>
          <c:showSerName val="0"/>
          <c:showPercent val="0"/>
          <c:showBubbleSize val="0"/>
        </c:dLbls>
        <c:axId val="847172808"/>
        <c:axId val="847170512"/>
      </c:scatterChart>
      <c:valAx>
        <c:axId val="847172808"/>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170512"/>
        <c:crosses val="autoZero"/>
        <c:crossBetween val="midCat"/>
      </c:valAx>
      <c:valAx>
        <c:axId val="847170512"/>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172808"/>
        <c:crosses val="autoZero"/>
        <c:crossBetween val="midCat"/>
      </c:valAx>
      <c:spPr>
        <a:noFill/>
        <a:ln>
          <a:noFill/>
        </a:ln>
        <a:effectLst/>
      </c:spPr>
    </c:plotArea>
    <c:legend>
      <c:legendPos val="r"/>
      <c:layout>
        <c:manualLayout>
          <c:xMode val="edge"/>
          <c:yMode val="edge"/>
          <c:x val="0.69724890638670167"/>
          <c:y val="0.40414224263633713"/>
          <c:w val="0.28608442694663172"/>
          <c:h val="0.312502187226596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S-N Curve</a:t>
            </a:r>
          </a:p>
          <a:p>
            <a:pPr>
              <a:defRPr/>
            </a:pPr>
            <a:r>
              <a:rPr lang="en-US" sz="1100"/>
              <a:t>Note only valid for fully reversing stresses </a:t>
            </a:r>
          </a:p>
          <a:p>
            <a:pPr>
              <a:defRPr/>
            </a:pPr>
            <a:r>
              <a:rPr lang="en-US" sz="1100"/>
              <a:t>IE Tensile/Compressive Stresses are equal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Non-Corrected S-N Curve</c:v>
          </c:tx>
          <c:spPr>
            <a:ln w="12700" cap="rnd">
              <a:solidFill>
                <a:schemeClr val="tx1"/>
              </a:solidFill>
              <a:prstDash val="sysDash"/>
              <a:round/>
            </a:ln>
            <a:effectLst/>
          </c:spPr>
          <c:marker>
            <c:symbol val="circle"/>
            <c:size val="5"/>
            <c:spPr>
              <a:solidFill>
                <a:schemeClr val="tx1"/>
              </a:solidFill>
              <a:ln w="9525">
                <a:solidFill>
                  <a:schemeClr val="bg2">
                    <a:lumMod val="25000"/>
                  </a:schemeClr>
                </a:solidFill>
              </a:ln>
              <a:effectLst/>
            </c:spPr>
          </c:marker>
          <c:xVal>
            <c:numRef>
              <c:f>'Calc Fatigue'!$B$167:$B$170</c:f>
              <c:numCache>
                <c:formatCode>General</c:formatCode>
                <c:ptCount val="4"/>
                <c:pt idx="0">
                  <c:v>1</c:v>
                </c:pt>
                <c:pt idx="1">
                  <c:v>1000</c:v>
                </c:pt>
                <c:pt idx="2">
                  <c:v>1000000</c:v>
                </c:pt>
                <c:pt idx="3">
                  <c:v>1000000000</c:v>
                </c:pt>
              </c:numCache>
            </c:numRef>
          </c:xVal>
          <c:yVal>
            <c:numRef>
              <c:f>'Calc Fatigue'!$C$167:$C$170</c:f>
              <c:numCache>
                <c:formatCode>General</c:formatCode>
                <c:ptCount val="4"/>
                <c:pt idx="0">
                  <c:v>93.7</c:v>
                </c:pt>
                <c:pt idx="1">
                  <c:v>79.883314225396475</c:v>
                </c:pt>
                <c:pt idx="2">
                  <c:v>46.85</c:v>
                </c:pt>
                <c:pt idx="3">
                  <c:v>46.85</c:v>
                </c:pt>
              </c:numCache>
            </c:numRef>
          </c:yVal>
          <c:smooth val="0"/>
          <c:extLst>
            <c:ext xmlns:c16="http://schemas.microsoft.com/office/drawing/2014/chart" uri="{C3380CC4-5D6E-409C-BE32-E72D297353CC}">
              <c16:uniqueId val="{00000000-E6C9-4E03-BD0A-F5051ACEC95E}"/>
            </c:ext>
          </c:extLst>
        </c:ser>
        <c:ser>
          <c:idx val="1"/>
          <c:order val="1"/>
          <c:tx>
            <c:v>Corrected S-N Curve</c:v>
          </c:tx>
          <c:spPr>
            <a:ln w="12700" cap="rnd">
              <a:solidFill>
                <a:schemeClr val="tx1"/>
              </a:solidFill>
              <a:round/>
            </a:ln>
            <a:effectLst/>
          </c:spPr>
          <c:marker>
            <c:symbol val="circle"/>
            <c:size val="5"/>
            <c:spPr>
              <a:solidFill>
                <a:schemeClr val="tx1"/>
              </a:solidFill>
              <a:ln w="9525">
                <a:solidFill>
                  <a:schemeClr val="bg2">
                    <a:lumMod val="50000"/>
                  </a:schemeClr>
                </a:solidFill>
              </a:ln>
              <a:effectLst/>
            </c:spPr>
          </c:marker>
          <c:xVal>
            <c:numRef>
              <c:f>'Calc Fatigue'!$B$167:$B$170</c:f>
              <c:numCache>
                <c:formatCode>General</c:formatCode>
                <c:ptCount val="4"/>
                <c:pt idx="0">
                  <c:v>1</c:v>
                </c:pt>
                <c:pt idx="1">
                  <c:v>1000</c:v>
                </c:pt>
                <c:pt idx="2">
                  <c:v>1000000</c:v>
                </c:pt>
                <c:pt idx="3">
                  <c:v>1000000000</c:v>
                </c:pt>
              </c:numCache>
            </c:numRef>
          </c:xVal>
          <c:yVal>
            <c:numRef>
              <c:f>'Calc Fatigue'!$D$167:$D$170</c:f>
              <c:numCache>
                <c:formatCode>General</c:formatCode>
                <c:ptCount val="4"/>
                <c:pt idx="0">
                  <c:v>93.7</c:v>
                </c:pt>
                <c:pt idx="1">
                  <c:v>79.883314225396475</c:v>
                </c:pt>
                <c:pt idx="2">
                  <c:v>29.888389349513023</c:v>
                </c:pt>
                <c:pt idx="3">
                  <c:v>29.888389349513023</c:v>
                </c:pt>
              </c:numCache>
            </c:numRef>
          </c:yVal>
          <c:smooth val="0"/>
          <c:extLst>
            <c:ext xmlns:c16="http://schemas.microsoft.com/office/drawing/2014/chart" uri="{C3380CC4-5D6E-409C-BE32-E72D297353CC}">
              <c16:uniqueId val="{00000001-E6C9-4E03-BD0A-F5051ACEC95E}"/>
            </c:ext>
          </c:extLst>
        </c:ser>
        <c:ser>
          <c:idx val="2"/>
          <c:order val="2"/>
          <c:tx>
            <c:v>N Target</c:v>
          </c:tx>
          <c:spPr>
            <a:ln w="19050" cap="rnd">
              <a:solidFill>
                <a:schemeClr val="accent3"/>
              </a:solidFill>
              <a:round/>
            </a:ln>
            <a:effectLst/>
          </c:spPr>
          <c:marker>
            <c:symbol val="circle"/>
            <c:size val="5"/>
            <c:spPr>
              <a:noFill/>
              <a:ln w="9525">
                <a:noFill/>
              </a:ln>
              <a:effectLst/>
            </c:spPr>
          </c:marker>
          <c:xVal>
            <c:numRef>
              <c:f>'Calc Fatigue'!$E$167:$E$168</c:f>
              <c:numCache>
                <c:formatCode>General</c:formatCode>
                <c:ptCount val="2"/>
                <c:pt idx="0">
                  <c:v>69999.998999999996</c:v>
                </c:pt>
                <c:pt idx="1">
                  <c:v>70000.001000000004</c:v>
                </c:pt>
              </c:numCache>
            </c:numRef>
          </c:xVal>
          <c:yVal>
            <c:numRef>
              <c:f>'Calc Fatigue'!$F$167:$F$168</c:f>
              <c:numCache>
                <c:formatCode>General</c:formatCode>
                <c:ptCount val="2"/>
                <c:pt idx="0">
                  <c:v>0</c:v>
                </c:pt>
                <c:pt idx="1">
                  <c:v>43.638084692662439</c:v>
                </c:pt>
              </c:numCache>
            </c:numRef>
          </c:yVal>
          <c:smooth val="0"/>
          <c:extLst>
            <c:ext xmlns:c16="http://schemas.microsoft.com/office/drawing/2014/chart" uri="{C3380CC4-5D6E-409C-BE32-E72D297353CC}">
              <c16:uniqueId val="{00000004-E6C9-4E03-BD0A-F5051ACEC95E}"/>
            </c:ext>
          </c:extLst>
        </c:ser>
        <c:dLbls>
          <c:showLegendKey val="0"/>
          <c:showVal val="0"/>
          <c:showCatName val="0"/>
          <c:showSerName val="0"/>
          <c:showPercent val="0"/>
          <c:showBubbleSize val="0"/>
        </c:dLbls>
        <c:axId val="919147848"/>
        <c:axId val="919150144"/>
      </c:scatterChart>
      <c:valAx>
        <c:axId val="919147848"/>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Stress Cycles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150144"/>
        <c:crosses val="autoZero"/>
        <c:crossBetween val="midCat"/>
      </c:valAx>
      <c:valAx>
        <c:axId val="9191501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Fatigue Sttrength</a:t>
                </a:r>
                <a:r>
                  <a:rPr lang="en-US" baseline="0"/>
                  <a:t>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1478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Fatigue Failure Criteria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'Calc Fatigue'!$D$177:$E$177</c:f>
              <c:strCache>
                <c:ptCount val="1"/>
                <c:pt idx="0">
                  <c:v>Goodman</c:v>
                </c:pt>
              </c:strCache>
            </c:strRef>
          </c:tx>
          <c:spPr>
            <a:ln w="12700" cap="rnd">
              <a:solidFill>
                <a:schemeClr val="accent1"/>
              </a:solidFill>
              <a:round/>
            </a:ln>
            <a:effectLst/>
          </c:spPr>
          <c:marker>
            <c:symbol val="none"/>
          </c:marker>
          <c:xVal>
            <c:numRef>
              <c:f>'Calc Fatigue'!$D$179:$D$180</c:f>
              <c:numCache>
                <c:formatCode>General</c:formatCode>
                <c:ptCount val="2"/>
                <c:pt idx="0">
                  <c:v>0</c:v>
                </c:pt>
                <c:pt idx="1">
                  <c:v>93.7</c:v>
                </c:pt>
              </c:numCache>
            </c:numRef>
          </c:xVal>
          <c:yVal>
            <c:numRef>
              <c:f>'Calc Fatigue'!$E$179:$E$180</c:f>
              <c:numCache>
                <c:formatCode>General</c:formatCode>
                <c:ptCount val="2"/>
                <c:pt idx="0" formatCode="0.000">
                  <c:v>29.88838934951302</c:v>
                </c:pt>
                <c:pt idx="1">
                  <c:v>0</c:v>
                </c:pt>
              </c:numCache>
            </c:numRef>
          </c:yVal>
          <c:smooth val="1"/>
          <c:extLst>
            <c:ext xmlns:c16="http://schemas.microsoft.com/office/drawing/2014/chart" uri="{C3380CC4-5D6E-409C-BE32-E72D297353CC}">
              <c16:uniqueId val="{00000000-DFEC-4635-B52E-D64BFE64FB85}"/>
            </c:ext>
          </c:extLst>
        </c:ser>
        <c:ser>
          <c:idx val="1"/>
          <c:order val="1"/>
          <c:tx>
            <c:strRef>
              <c:f>'Calc Fatigue'!$F$177:$G$177</c:f>
              <c:strCache>
                <c:ptCount val="1"/>
                <c:pt idx="0">
                  <c:v>Langer (Yield)</c:v>
                </c:pt>
              </c:strCache>
            </c:strRef>
          </c:tx>
          <c:spPr>
            <a:ln w="12700" cap="rnd">
              <a:solidFill>
                <a:schemeClr val="accent2"/>
              </a:solidFill>
              <a:round/>
            </a:ln>
            <a:effectLst/>
          </c:spPr>
          <c:marker>
            <c:symbol val="none"/>
          </c:marker>
          <c:xVal>
            <c:numRef>
              <c:f>'Calc Fatigue'!$F$179:$F$180</c:f>
              <c:numCache>
                <c:formatCode>General</c:formatCode>
                <c:ptCount val="2"/>
                <c:pt idx="0">
                  <c:v>0</c:v>
                </c:pt>
                <c:pt idx="1">
                  <c:v>52</c:v>
                </c:pt>
              </c:numCache>
            </c:numRef>
          </c:xVal>
          <c:yVal>
            <c:numRef>
              <c:f>'Calc Fatigue'!$G$179:$G$180</c:f>
              <c:numCache>
                <c:formatCode>General</c:formatCode>
                <c:ptCount val="2"/>
                <c:pt idx="0">
                  <c:v>52</c:v>
                </c:pt>
                <c:pt idx="1">
                  <c:v>0</c:v>
                </c:pt>
              </c:numCache>
            </c:numRef>
          </c:yVal>
          <c:smooth val="1"/>
          <c:extLst>
            <c:ext xmlns:c16="http://schemas.microsoft.com/office/drawing/2014/chart" uri="{C3380CC4-5D6E-409C-BE32-E72D297353CC}">
              <c16:uniqueId val="{00000001-DFEC-4635-B52E-D64BFE64FB85}"/>
            </c:ext>
          </c:extLst>
        </c:ser>
        <c:ser>
          <c:idx val="2"/>
          <c:order val="2"/>
          <c:tx>
            <c:strRef>
              <c:f>'Calc Fatigue'!$B$177:$C$177</c:f>
              <c:strCache>
                <c:ptCount val="1"/>
                <c:pt idx="0">
                  <c:v>Load Line</c:v>
                </c:pt>
              </c:strCache>
            </c:strRef>
          </c:tx>
          <c:spPr>
            <a:ln w="19050" cap="rnd">
              <a:solidFill>
                <a:schemeClr val="accent3"/>
              </a:solidFill>
              <a:round/>
            </a:ln>
            <a:effectLst/>
          </c:spPr>
          <c:marker>
            <c:symbol val="circle"/>
            <c:size val="5"/>
            <c:spPr>
              <a:solidFill>
                <a:srgbClr val="FF0000"/>
              </a:solidFill>
              <a:ln w="6350">
                <a:solidFill>
                  <a:schemeClr val="tx1"/>
                </a:solidFill>
              </a:ln>
              <a:effectLst/>
            </c:spPr>
          </c:marker>
          <c:dPt>
            <c:idx val="0"/>
            <c:marker>
              <c:symbol val="none"/>
            </c:marker>
            <c:bubble3D val="0"/>
            <c:extLst>
              <c:ext xmlns:c16="http://schemas.microsoft.com/office/drawing/2014/chart" uri="{C3380CC4-5D6E-409C-BE32-E72D297353CC}">
                <c16:uniqueId val="{00000002-DFEC-4635-B52E-D64BFE64FB85}"/>
              </c:ext>
            </c:extLst>
          </c:dPt>
          <c:xVal>
            <c:numRef>
              <c:f>'Calc Fatigue'!$B$179:$B$180</c:f>
              <c:numCache>
                <c:formatCode>General</c:formatCode>
                <c:ptCount val="2"/>
                <c:pt idx="0">
                  <c:v>0</c:v>
                </c:pt>
                <c:pt idx="1">
                  <c:v>44.2</c:v>
                </c:pt>
              </c:numCache>
            </c:numRef>
          </c:xVal>
          <c:yVal>
            <c:numRef>
              <c:f>'Calc Fatigue'!$C$179:$C$180</c:f>
              <c:numCache>
                <c:formatCode>General</c:formatCode>
                <c:ptCount val="2"/>
                <c:pt idx="0">
                  <c:v>0</c:v>
                </c:pt>
                <c:pt idx="1">
                  <c:v>4.6999999999999993</c:v>
                </c:pt>
              </c:numCache>
            </c:numRef>
          </c:yVal>
          <c:smooth val="1"/>
          <c:extLst>
            <c:ext xmlns:c16="http://schemas.microsoft.com/office/drawing/2014/chart" uri="{C3380CC4-5D6E-409C-BE32-E72D297353CC}">
              <c16:uniqueId val="{00000003-DFEC-4635-B52E-D64BFE64FB85}"/>
            </c:ext>
          </c:extLst>
        </c:ser>
        <c:ser>
          <c:idx val="3"/>
          <c:order val="3"/>
          <c:tx>
            <c:v>Gerber</c:v>
          </c:tx>
          <c:spPr>
            <a:ln w="12700" cap="rnd">
              <a:solidFill>
                <a:schemeClr val="accent4"/>
              </a:solidFill>
              <a:round/>
            </a:ln>
            <a:effectLst/>
          </c:spPr>
          <c:marker>
            <c:symbol val="none"/>
          </c:marker>
          <c:xVal>
            <c:numRef>
              <c:f>'Calc Fatigue'!$B$203:$B$253</c:f>
              <c:numCache>
                <c:formatCode>General</c:formatCode>
                <c:ptCount val="51"/>
                <c:pt idx="0">
                  <c:v>0</c:v>
                </c:pt>
                <c:pt idx="1">
                  <c:v>1.8740000000000001</c:v>
                </c:pt>
                <c:pt idx="2">
                  <c:v>3.7480000000000002</c:v>
                </c:pt>
                <c:pt idx="3">
                  <c:v>5.6220000000000008</c:v>
                </c:pt>
                <c:pt idx="4">
                  <c:v>7.4960000000000004</c:v>
                </c:pt>
                <c:pt idx="5">
                  <c:v>9.3699999999999992</c:v>
                </c:pt>
                <c:pt idx="6">
                  <c:v>11.244000000000002</c:v>
                </c:pt>
                <c:pt idx="7">
                  <c:v>13.118</c:v>
                </c:pt>
                <c:pt idx="8">
                  <c:v>14.992000000000001</c:v>
                </c:pt>
                <c:pt idx="9">
                  <c:v>16.866</c:v>
                </c:pt>
                <c:pt idx="10">
                  <c:v>18.739999999999998</c:v>
                </c:pt>
                <c:pt idx="11">
                  <c:v>20.614000000000001</c:v>
                </c:pt>
                <c:pt idx="12">
                  <c:v>22.488000000000003</c:v>
                </c:pt>
                <c:pt idx="13">
                  <c:v>24.362000000000002</c:v>
                </c:pt>
                <c:pt idx="14">
                  <c:v>26.236000000000001</c:v>
                </c:pt>
                <c:pt idx="15">
                  <c:v>28.11</c:v>
                </c:pt>
                <c:pt idx="16">
                  <c:v>29.984000000000002</c:v>
                </c:pt>
                <c:pt idx="17">
                  <c:v>31.858000000000001</c:v>
                </c:pt>
                <c:pt idx="18">
                  <c:v>33.731999999999999</c:v>
                </c:pt>
                <c:pt idx="19">
                  <c:v>35.606000000000002</c:v>
                </c:pt>
                <c:pt idx="20">
                  <c:v>37.479999999999997</c:v>
                </c:pt>
                <c:pt idx="21">
                  <c:v>39.353999999999999</c:v>
                </c:pt>
                <c:pt idx="22">
                  <c:v>41.228000000000002</c:v>
                </c:pt>
                <c:pt idx="23">
                  <c:v>43.101999999999997</c:v>
                </c:pt>
                <c:pt idx="24">
                  <c:v>44.976000000000006</c:v>
                </c:pt>
                <c:pt idx="25">
                  <c:v>46.85</c:v>
                </c:pt>
                <c:pt idx="26">
                  <c:v>48.724000000000004</c:v>
                </c:pt>
                <c:pt idx="27">
                  <c:v>50.597999999999999</c:v>
                </c:pt>
                <c:pt idx="28">
                  <c:v>52.472000000000001</c:v>
                </c:pt>
                <c:pt idx="29">
                  <c:v>54.346000000000004</c:v>
                </c:pt>
                <c:pt idx="30">
                  <c:v>56.22</c:v>
                </c:pt>
                <c:pt idx="31">
                  <c:v>58.094000000000008</c:v>
                </c:pt>
                <c:pt idx="32">
                  <c:v>59.968000000000004</c:v>
                </c:pt>
                <c:pt idx="33">
                  <c:v>61.841999999999999</c:v>
                </c:pt>
                <c:pt idx="34">
                  <c:v>63.716000000000001</c:v>
                </c:pt>
                <c:pt idx="35">
                  <c:v>65.59</c:v>
                </c:pt>
                <c:pt idx="36">
                  <c:v>67.463999999999999</c:v>
                </c:pt>
                <c:pt idx="37">
                  <c:v>69.338000000000008</c:v>
                </c:pt>
                <c:pt idx="38">
                  <c:v>71.212000000000003</c:v>
                </c:pt>
                <c:pt idx="39">
                  <c:v>73.085999999999999</c:v>
                </c:pt>
                <c:pt idx="40">
                  <c:v>74.959999999999994</c:v>
                </c:pt>
                <c:pt idx="41">
                  <c:v>76.834000000000003</c:v>
                </c:pt>
                <c:pt idx="42">
                  <c:v>78.707999999999998</c:v>
                </c:pt>
                <c:pt idx="43">
                  <c:v>80.581999999999994</c:v>
                </c:pt>
                <c:pt idx="44">
                  <c:v>82.456000000000003</c:v>
                </c:pt>
                <c:pt idx="45">
                  <c:v>84.33</c:v>
                </c:pt>
                <c:pt idx="46">
                  <c:v>86.203999999999994</c:v>
                </c:pt>
                <c:pt idx="47">
                  <c:v>88.078000000000017</c:v>
                </c:pt>
                <c:pt idx="48">
                  <c:v>89.952000000000012</c:v>
                </c:pt>
                <c:pt idx="49">
                  <c:v>91.826000000000008</c:v>
                </c:pt>
                <c:pt idx="50">
                  <c:v>93.7</c:v>
                </c:pt>
              </c:numCache>
            </c:numRef>
          </c:xVal>
          <c:yVal>
            <c:numRef>
              <c:f>'Calc Fatigue'!$C$203:$C$253</c:f>
              <c:numCache>
                <c:formatCode>General</c:formatCode>
                <c:ptCount val="51"/>
                <c:pt idx="0">
                  <c:v>29.88838934951302</c:v>
                </c:pt>
                <c:pt idx="1">
                  <c:v>29.876433993773215</c:v>
                </c:pt>
                <c:pt idx="2">
                  <c:v>29.840567926553799</c:v>
                </c:pt>
                <c:pt idx="3">
                  <c:v>29.780791147854771</c:v>
                </c:pt>
                <c:pt idx="4">
                  <c:v>29.697103657676138</c:v>
                </c:pt>
                <c:pt idx="5">
                  <c:v>29.589505456017889</c:v>
                </c:pt>
                <c:pt idx="6">
                  <c:v>29.457996542880032</c:v>
                </c:pt>
                <c:pt idx="7">
                  <c:v>29.302576918262567</c:v>
                </c:pt>
                <c:pt idx="8">
                  <c:v>29.123246582165489</c:v>
                </c:pt>
                <c:pt idx="9">
                  <c:v>28.9200055345888</c:v>
                </c:pt>
                <c:pt idx="10">
                  <c:v>28.692853775532498</c:v>
                </c:pt>
                <c:pt idx="11">
                  <c:v>28.441791304996588</c:v>
                </c:pt>
                <c:pt idx="12">
                  <c:v>28.16681812298107</c:v>
                </c:pt>
                <c:pt idx="13">
                  <c:v>27.86793422948594</c:v>
                </c:pt>
                <c:pt idx="14">
                  <c:v>27.545139624511197</c:v>
                </c:pt>
                <c:pt idx="15">
                  <c:v>27.19843430805685</c:v>
                </c:pt>
                <c:pt idx="16">
                  <c:v>26.827818280122884</c:v>
                </c:pt>
                <c:pt idx="17">
                  <c:v>26.433291540709316</c:v>
                </c:pt>
                <c:pt idx="18">
                  <c:v>26.014854089816133</c:v>
                </c:pt>
                <c:pt idx="19">
                  <c:v>25.572505927443341</c:v>
                </c:pt>
                <c:pt idx="20">
                  <c:v>25.106247053590938</c:v>
                </c:pt>
                <c:pt idx="21">
                  <c:v>24.616077468258922</c:v>
                </c:pt>
                <c:pt idx="22">
                  <c:v>24.101997171447298</c:v>
                </c:pt>
                <c:pt idx="23">
                  <c:v>23.564006163156066</c:v>
                </c:pt>
                <c:pt idx="24">
                  <c:v>23.002104443385218</c:v>
                </c:pt>
                <c:pt idx="25">
                  <c:v>22.416292012134765</c:v>
                </c:pt>
                <c:pt idx="26">
                  <c:v>21.8065688694047</c:v>
                </c:pt>
                <c:pt idx="27">
                  <c:v>21.172935015195026</c:v>
                </c:pt>
                <c:pt idx="28">
                  <c:v>20.515390449505741</c:v>
                </c:pt>
                <c:pt idx="29">
                  <c:v>19.83393517233684</c:v>
                </c:pt>
                <c:pt idx="30">
                  <c:v>19.128569183688334</c:v>
                </c:pt>
                <c:pt idx="31">
                  <c:v>18.399292483560213</c:v>
                </c:pt>
                <c:pt idx="32">
                  <c:v>17.646105071952487</c:v>
                </c:pt>
                <c:pt idx="33">
                  <c:v>16.869006948865152</c:v>
                </c:pt>
                <c:pt idx="34">
                  <c:v>16.067998114298202</c:v>
                </c:pt>
                <c:pt idx="35">
                  <c:v>15.243078568251637</c:v>
                </c:pt>
                <c:pt idx="36">
                  <c:v>14.394248310725471</c:v>
                </c:pt>
                <c:pt idx="37">
                  <c:v>13.521507341719683</c:v>
                </c:pt>
                <c:pt idx="38">
                  <c:v>12.624855661234299</c:v>
                </c:pt>
                <c:pt idx="39">
                  <c:v>11.704293269269304</c:v>
                </c:pt>
                <c:pt idx="40">
                  <c:v>10.75982016582469</c:v>
                </c:pt>
                <c:pt idx="41">
                  <c:v>9.7914363509004616</c:v>
                </c:pt>
                <c:pt idx="42">
                  <c:v>8.7991418244966368</c:v>
                </c:pt>
                <c:pt idx="43">
                  <c:v>7.7829365866131957</c:v>
                </c:pt>
                <c:pt idx="44">
                  <c:v>6.742820637250138</c:v>
                </c:pt>
                <c:pt idx="45">
                  <c:v>5.6787939764074791</c:v>
                </c:pt>
                <c:pt idx="46">
                  <c:v>4.5908566040852055</c:v>
                </c:pt>
                <c:pt idx="47">
                  <c:v>3.4790085202833074</c:v>
                </c:pt>
                <c:pt idx="48">
                  <c:v>2.3432497250018147</c:v>
                </c:pt>
                <c:pt idx="49">
                  <c:v>1.1835802182407114</c:v>
                </c:pt>
                <c:pt idx="50">
                  <c:v>0</c:v>
                </c:pt>
              </c:numCache>
            </c:numRef>
          </c:yVal>
          <c:smooth val="1"/>
          <c:extLst>
            <c:ext xmlns:c16="http://schemas.microsoft.com/office/drawing/2014/chart" uri="{C3380CC4-5D6E-409C-BE32-E72D297353CC}">
              <c16:uniqueId val="{00000004-DFEC-4635-B52E-D64BFE64FB85}"/>
            </c:ext>
          </c:extLst>
        </c:ser>
        <c:ser>
          <c:idx val="4"/>
          <c:order val="4"/>
          <c:tx>
            <c:v>Soderberg</c:v>
          </c:tx>
          <c:spPr>
            <a:ln w="12700" cap="rnd">
              <a:solidFill>
                <a:srgbClr val="7030A0"/>
              </a:solidFill>
              <a:round/>
            </a:ln>
            <a:effectLst/>
          </c:spPr>
          <c:marker>
            <c:symbol val="none"/>
          </c:marker>
          <c:xVal>
            <c:numRef>
              <c:f>'Calc Fatigue'!$H$179:$H$180</c:f>
              <c:numCache>
                <c:formatCode>General</c:formatCode>
                <c:ptCount val="2"/>
                <c:pt idx="0">
                  <c:v>0</c:v>
                </c:pt>
                <c:pt idx="1">
                  <c:v>52</c:v>
                </c:pt>
              </c:numCache>
            </c:numRef>
          </c:xVal>
          <c:yVal>
            <c:numRef>
              <c:f>'Calc Fatigue'!$I$179:$I$180</c:f>
              <c:numCache>
                <c:formatCode>General</c:formatCode>
                <c:ptCount val="2"/>
                <c:pt idx="0" formatCode="0.000">
                  <c:v>29.88838934951302</c:v>
                </c:pt>
                <c:pt idx="1">
                  <c:v>0</c:v>
                </c:pt>
              </c:numCache>
            </c:numRef>
          </c:yVal>
          <c:smooth val="1"/>
          <c:extLst>
            <c:ext xmlns:c16="http://schemas.microsoft.com/office/drawing/2014/chart" uri="{C3380CC4-5D6E-409C-BE32-E72D297353CC}">
              <c16:uniqueId val="{00000005-DFEC-4635-B52E-D64BFE64FB85}"/>
            </c:ext>
          </c:extLst>
        </c:ser>
        <c:ser>
          <c:idx val="5"/>
          <c:order val="5"/>
          <c:tx>
            <c:v>ASME-Elliptic</c:v>
          </c:tx>
          <c:spPr>
            <a:ln w="12700" cap="rnd">
              <a:solidFill>
                <a:schemeClr val="accent6"/>
              </a:solidFill>
              <a:round/>
            </a:ln>
            <a:effectLst/>
          </c:spPr>
          <c:marker>
            <c:symbol val="none"/>
          </c:marker>
          <c:xVal>
            <c:numRef>
              <c:f>'Calc Fatigue'!$D$203:$D$253</c:f>
              <c:numCache>
                <c:formatCode>General</c:formatCode>
                <c:ptCount val="51"/>
                <c:pt idx="0">
                  <c:v>0</c:v>
                </c:pt>
                <c:pt idx="1">
                  <c:v>1.04</c:v>
                </c:pt>
                <c:pt idx="2">
                  <c:v>2.08</c:v>
                </c:pt>
                <c:pt idx="3">
                  <c:v>3.12</c:v>
                </c:pt>
                <c:pt idx="4">
                  <c:v>4.16</c:v>
                </c:pt>
                <c:pt idx="5">
                  <c:v>5.2</c:v>
                </c:pt>
                <c:pt idx="6">
                  <c:v>6.24</c:v>
                </c:pt>
                <c:pt idx="7">
                  <c:v>7.28</c:v>
                </c:pt>
                <c:pt idx="8">
                  <c:v>8.32</c:v>
                </c:pt>
                <c:pt idx="9">
                  <c:v>9.36</c:v>
                </c:pt>
                <c:pt idx="10">
                  <c:v>10.4</c:v>
                </c:pt>
                <c:pt idx="11">
                  <c:v>11.44</c:v>
                </c:pt>
                <c:pt idx="12">
                  <c:v>12.48</c:v>
                </c:pt>
                <c:pt idx="13">
                  <c:v>13.52</c:v>
                </c:pt>
                <c:pt idx="14">
                  <c:v>14.56</c:v>
                </c:pt>
                <c:pt idx="15">
                  <c:v>15.6</c:v>
                </c:pt>
                <c:pt idx="16">
                  <c:v>16.64</c:v>
                </c:pt>
                <c:pt idx="17">
                  <c:v>17.68</c:v>
                </c:pt>
                <c:pt idx="18">
                  <c:v>18.72</c:v>
                </c:pt>
                <c:pt idx="19">
                  <c:v>19.760000000000002</c:v>
                </c:pt>
                <c:pt idx="20">
                  <c:v>20.8</c:v>
                </c:pt>
                <c:pt idx="21">
                  <c:v>21.84</c:v>
                </c:pt>
                <c:pt idx="22">
                  <c:v>22.88</c:v>
                </c:pt>
                <c:pt idx="23">
                  <c:v>23.92</c:v>
                </c:pt>
                <c:pt idx="24">
                  <c:v>24.96</c:v>
                </c:pt>
                <c:pt idx="25">
                  <c:v>26</c:v>
                </c:pt>
                <c:pt idx="26">
                  <c:v>27.04</c:v>
                </c:pt>
                <c:pt idx="27">
                  <c:v>28.08</c:v>
                </c:pt>
                <c:pt idx="28">
                  <c:v>29.12</c:v>
                </c:pt>
                <c:pt idx="29">
                  <c:v>30.16</c:v>
                </c:pt>
                <c:pt idx="30">
                  <c:v>31.2</c:v>
                </c:pt>
                <c:pt idx="31">
                  <c:v>32.24</c:v>
                </c:pt>
                <c:pt idx="32">
                  <c:v>33.28</c:v>
                </c:pt>
                <c:pt idx="33">
                  <c:v>34.32</c:v>
                </c:pt>
                <c:pt idx="34">
                  <c:v>35.36</c:v>
                </c:pt>
                <c:pt idx="35">
                  <c:v>36.4</c:v>
                </c:pt>
                <c:pt idx="36">
                  <c:v>37.44</c:v>
                </c:pt>
                <c:pt idx="37">
                  <c:v>38.479999999999997</c:v>
                </c:pt>
                <c:pt idx="38">
                  <c:v>39.520000000000003</c:v>
                </c:pt>
                <c:pt idx="39">
                  <c:v>40.56</c:v>
                </c:pt>
                <c:pt idx="40">
                  <c:v>41.6</c:v>
                </c:pt>
                <c:pt idx="41">
                  <c:v>42.64</c:v>
                </c:pt>
                <c:pt idx="42">
                  <c:v>43.68</c:v>
                </c:pt>
                <c:pt idx="43">
                  <c:v>44.72</c:v>
                </c:pt>
                <c:pt idx="44">
                  <c:v>45.76</c:v>
                </c:pt>
                <c:pt idx="45">
                  <c:v>46.8</c:v>
                </c:pt>
                <c:pt idx="46">
                  <c:v>47.84</c:v>
                </c:pt>
                <c:pt idx="47">
                  <c:v>48.88</c:v>
                </c:pt>
                <c:pt idx="48">
                  <c:v>49.92</c:v>
                </c:pt>
                <c:pt idx="49">
                  <c:v>50.96</c:v>
                </c:pt>
                <c:pt idx="50">
                  <c:v>52</c:v>
                </c:pt>
              </c:numCache>
            </c:numRef>
          </c:xVal>
          <c:yVal>
            <c:numRef>
              <c:f>'Calc Fatigue'!$E$203:$E$253</c:f>
              <c:numCache>
                <c:formatCode>General</c:formatCode>
                <c:ptCount val="51"/>
                <c:pt idx="0">
                  <c:v>29.88838934951302</c:v>
                </c:pt>
                <c:pt idx="1">
                  <c:v>29.882411073755748</c:v>
                </c:pt>
                <c:pt idx="2">
                  <c:v>29.864469066089729</c:v>
                </c:pt>
                <c:pt idx="3">
                  <c:v>29.834541742142012</c:v>
                </c:pt>
                <c:pt idx="4">
                  <c:v>29.792592983382157</c:v>
                </c:pt>
                <c:pt idx="5">
                  <c:v>29.738571918116754</c:v>
                </c:pt>
                <c:pt idx="6">
                  <c:v>29.672412610541244</c:v>
                </c:pt>
                <c:pt idx="7">
                  <c:v>29.594033653374879</c:v>
                </c:pt>
                <c:pt idx="8">
                  <c:v>29.503337658130079</c:v>
                </c:pt>
                <c:pt idx="9">
                  <c:v>29.400210635433574</c:v>
                </c:pt>
                <c:pt idx="10">
                  <c:v>29.284521255976852</c:v>
                </c:pt>
                <c:pt idx="11">
                  <c:v>29.156119980568953</c:v>
                </c:pt>
                <c:pt idx="12">
                  <c:v>29.014838045327391</c:v>
                </c:pt>
                <c:pt idx="13">
                  <c:v>28.86048628518752</c:v>
                </c:pt>
                <c:pt idx="14">
                  <c:v>28.692853775532498</c:v>
                </c:pt>
                <c:pt idx="15">
                  <c:v>28.511706267713194</c:v>
                </c:pt>
                <c:pt idx="16">
                  <c:v>28.316784389374011</c:v>
                </c:pt>
                <c:pt idx="17">
                  <c:v>28.107801574614637</c:v>
                </c:pt>
                <c:pt idx="18">
                  <c:v>27.884441681826726</c:v>
                </c:pt>
                <c:pt idx="19">
                  <c:v>27.646356248195822</c:v>
                </c:pt>
                <c:pt idx="20">
                  <c:v>27.393161318891071</c:v>
                </c:pt>
                <c:pt idx="21">
                  <c:v>27.124433775271648</c:v>
                </c:pt>
                <c:pt idx="22">
                  <c:v>26.839707069211439</c:v>
                </c:pt>
                <c:pt idx="23">
                  <c:v>26.538466248800681</c:v>
                </c:pt>
                <c:pt idx="24">
                  <c:v>26.220142132758564</c:v>
                </c:pt>
                <c:pt idx="25">
                  <c:v>25.884104454878528</c:v>
                </c:pt>
                <c:pt idx="26">
                  <c:v>25.529653752954378</c:v>
                </c:pt>
                <c:pt idx="27">
                  <c:v>25.156011715017275</c:v>
                </c:pt>
                <c:pt idx="28">
                  <c:v>24.762309613848792</c:v>
                </c:pt>
                <c:pt idx="29">
                  <c:v>24.347574350719295</c:v>
                </c:pt>
                <c:pt idx="30">
                  <c:v>23.910711479610416</c:v>
                </c:pt>
                <c:pt idx="31">
                  <c:v>23.450484376750431</c:v>
                </c:pt>
                <c:pt idx="32">
                  <c:v>22.965488431403596</c:v>
                </c:pt>
                <c:pt idx="33">
                  <c:v>22.454118723016546</c:v>
                </c:pt>
                <c:pt idx="34">
                  <c:v>21.914529055112858</c:v>
                </c:pt>
                <c:pt idx="35">
                  <c:v>21.344579338396962</c:v>
                </c:pt>
                <c:pt idx="36">
                  <c:v>20.741766990893829</c:v>
                </c:pt>
                <c:pt idx="37">
                  <c:v>20.103135974807934</c:v>
                </c:pt>
                <c:pt idx="38">
                  <c:v>19.425153834252495</c:v>
                </c:pt>
                <c:pt idx="39">
                  <c:v>18.703541757988123</c:v>
                </c:pt>
                <c:pt idx="40">
                  <c:v>17.93303360970781</c:v>
                </c:pt>
                <c:pt idx="41">
                  <c:v>17.107023760627914</c:v>
                </c:pt>
                <c:pt idx="42">
                  <c:v>16.217033538601932</c:v>
                </c:pt>
                <c:pt idx="43">
                  <c:v>15.251866737657556</c:v>
                </c:pt>
                <c:pt idx="44">
                  <c:v>14.196198382667932</c:v>
                </c:pt>
                <c:pt idx="45">
                  <c:v>13.028046875972468</c:v>
                </c:pt>
                <c:pt idx="46">
                  <c:v>11.713808502390739</c:v>
                </c:pt>
                <c:pt idx="47">
                  <c:v>10.197154564117421</c:v>
                </c:pt>
                <c:pt idx="48">
                  <c:v>8.3687490178636352</c:v>
                </c:pt>
                <c:pt idx="49">
                  <c:v>5.9477143836233575</c:v>
                </c:pt>
                <c:pt idx="50">
                  <c:v>0</c:v>
                </c:pt>
              </c:numCache>
            </c:numRef>
          </c:yVal>
          <c:smooth val="1"/>
          <c:extLst>
            <c:ext xmlns:c16="http://schemas.microsoft.com/office/drawing/2014/chart" uri="{C3380CC4-5D6E-409C-BE32-E72D297353CC}">
              <c16:uniqueId val="{00000006-DFEC-4635-B52E-D64BFE64FB85}"/>
            </c:ext>
          </c:extLst>
        </c:ser>
        <c:dLbls>
          <c:showLegendKey val="0"/>
          <c:showVal val="0"/>
          <c:showCatName val="0"/>
          <c:showSerName val="0"/>
          <c:showPercent val="0"/>
          <c:showBubbleSize val="0"/>
        </c:dLbls>
        <c:axId val="717376208"/>
        <c:axId val="717375224"/>
      </c:scatterChart>
      <c:valAx>
        <c:axId val="717376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75224"/>
        <c:crosses val="autoZero"/>
        <c:crossBetween val="midCat"/>
      </c:valAx>
      <c:valAx>
        <c:axId val="717375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762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9" Type="http://schemas.openxmlformats.org/officeDocument/2006/relationships/image" Target="../media/image17.png"/></Relationships>
</file>

<file path=xl/drawings/_rels/drawing4.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4"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4</xdr:col>
      <xdr:colOff>247650</xdr:colOff>
      <xdr:row>8</xdr:row>
      <xdr:rowOff>85725</xdr:rowOff>
    </xdr:from>
    <xdr:to>
      <xdr:col>15</xdr:col>
      <xdr:colOff>227764</xdr:colOff>
      <xdr:row>34</xdr:row>
      <xdr:rowOff>151773</xdr:rowOff>
    </xdr:to>
    <xdr:pic>
      <xdr:nvPicPr>
        <xdr:cNvPr id="2" name="Picture 1">
          <a:extLst>
            <a:ext uri="{FF2B5EF4-FFF2-40B4-BE49-F238E27FC236}">
              <a16:creationId xmlns:a16="http://schemas.microsoft.com/office/drawing/2014/main" id="{056A534E-1A0F-4B58-946E-8367639E8C9D}"/>
            </a:ext>
          </a:extLst>
        </xdr:cNvPr>
        <xdr:cNvPicPr>
          <a:picLocks noChangeAspect="1"/>
        </xdr:cNvPicPr>
      </xdr:nvPicPr>
      <xdr:blipFill>
        <a:blip xmlns:r="http://schemas.openxmlformats.org/officeDocument/2006/relationships" r:embed="rId1"/>
        <a:stretch>
          <a:fillRect/>
        </a:stretch>
      </xdr:blipFill>
      <xdr:spPr>
        <a:xfrm>
          <a:off x="2686050" y="1609725"/>
          <a:ext cx="6685714" cy="5019048"/>
        </a:xfrm>
        <a:prstGeom prst="rect">
          <a:avLst/>
        </a:prstGeom>
      </xdr:spPr>
    </xdr:pic>
    <xdr:clientData/>
  </xdr:twoCellAnchor>
  <xdr:twoCellAnchor editAs="oneCell">
    <xdr:from>
      <xdr:col>9</xdr:col>
      <xdr:colOff>0</xdr:colOff>
      <xdr:row>35</xdr:row>
      <xdr:rowOff>0</xdr:rowOff>
    </xdr:from>
    <xdr:to>
      <xdr:col>23</xdr:col>
      <xdr:colOff>341790</xdr:colOff>
      <xdr:row>64</xdr:row>
      <xdr:rowOff>161214</xdr:rowOff>
    </xdr:to>
    <xdr:pic>
      <xdr:nvPicPr>
        <xdr:cNvPr id="3" name="Picture 2">
          <a:extLst>
            <a:ext uri="{FF2B5EF4-FFF2-40B4-BE49-F238E27FC236}">
              <a16:creationId xmlns:a16="http://schemas.microsoft.com/office/drawing/2014/main" id="{9EB3F960-802E-42D1-8E06-9BDEF463509F}"/>
            </a:ext>
          </a:extLst>
        </xdr:cNvPr>
        <xdr:cNvPicPr>
          <a:picLocks noChangeAspect="1"/>
        </xdr:cNvPicPr>
      </xdr:nvPicPr>
      <xdr:blipFill>
        <a:blip xmlns:r="http://schemas.openxmlformats.org/officeDocument/2006/relationships" r:embed="rId2"/>
        <a:stretch>
          <a:fillRect/>
        </a:stretch>
      </xdr:blipFill>
      <xdr:spPr>
        <a:xfrm>
          <a:off x="5486400" y="6667500"/>
          <a:ext cx="8876190" cy="5685714"/>
        </a:xfrm>
        <a:prstGeom prst="rect">
          <a:avLst/>
        </a:prstGeom>
      </xdr:spPr>
    </xdr:pic>
    <xdr:clientData/>
  </xdr:twoCellAnchor>
  <xdr:twoCellAnchor editAs="oneCell">
    <xdr:from>
      <xdr:col>7</xdr:col>
      <xdr:colOff>0</xdr:colOff>
      <xdr:row>65</xdr:row>
      <xdr:rowOff>0</xdr:rowOff>
    </xdr:from>
    <xdr:to>
      <xdr:col>18</xdr:col>
      <xdr:colOff>113448</xdr:colOff>
      <xdr:row>90</xdr:row>
      <xdr:rowOff>37500</xdr:rowOff>
    </xdr:to>
    <xdr:pic>
      <xdr:nvPicPr>
        <xdr:cNvPr id="4" name="Picture 3">
          <a:extLst>
            <a:ext uri="{FF2B5EF4-FFF2-40B4-BE49-F238E27FC236}">
              <a16:creationId xmlns:a16="http://schemas.microsoft.com/office/drawing/2014/main" id="{4298AAC6-CBED-4EC6-BA95-41FDCC022E30}"/>
            </a:ext>
          </a:extLst>
        </xdr:cNvPr>
        <xdr:cNvPicPr>
          <a:picLocks noChangeAspect="1"/>
        </xdr:cNvPicPr>
      </xdr:nvPicPr>
      <xdr:blipFill>
        <a:blip xmlns:r="http://schemas.openxmlformats.org/officeDocument/2006/relationships" r:embed="rId3"/>
        <a:stretch>
          <a:fillRect/>
        </a:stretch>
      </xdr:blipFill>
      <xdr:spPr>
        <a:xfrm>
          <a:off x="4267200" y="12382500"/>
          <a:ext cx="6819048" cy="4800000"/>
        </a:xfrm>
        <a:prstGeom prst="rect">
          <a:avLst/>
        </a:prstGeom>
      </xdr:spPr>
    </xdr:pic>
    <xdr:clientData/>
  </xdr:twoCellAnchor>
  <xdr:twoCellAnchor editAs="oneCell">
    <xdr:from>
      <xdr:col>1</xdr:col>
      <xdr:colOff>523875</xdr:colOff>
      <xdr:row>97</xdr:row>
      <xdr:rowOff>133350</xdr:rowOff>
    </xdr:from>
    <xdr:to>
      <xdr:col>7</xdr:col>
      <xdr:colOff>371037</xdr:colOff>
      <xdr:row>119</xdr:row>
      <xdr:rowOff>132826</xdr:rowOff>
    </xdr:to>
    <xdr:pic>
      <xdr:nvPicPr>
        <xdr:cNvPr id="5" name="Picture 4">
          <a:extLst>
            <a:ext uri="{FF2B5EF4-FFF2-40B4-BE49-F238E27FC236}">
              <a16:creationId xmlns:a16="http://schemas.microsoft.com/office/drawing/2014/main" id="{5F6753E6-F426-40EF-86AB-40DE24A18F53}"/>
            </a:ext>
          </a:extLst>
        </xdr:cNvPr>
        <xdr:cNvPicPr>
          <a:picLocks noChangeAspect="1"/>
        </xdr:cNvPicPr>
      </xdr:nvPicPr>
      <xdr:blipFill>
        <a:blip xmlns:r="http://schemas.openxmlformats.org/officeDocument/2006/relationships" r:embed="rId4"/>
        <a:stretch>
          <a:fillRect/>
        </a:stretch>
      </xdr:blipFill>
      <xdr:spPr>
        <a:xfrm>
          <a:off x="1133475" y="31375350"/>
          <a:ext cx="3504762" cy="4190476"/>
        </a:xfrm>
        <a:prstGeom prst="rect">
          <a:avLst/>
        </a:prstGeom>
      </xdr:spPr>
    </xdr:pic>
    <xdr:clientData/>
  </xdr:twoCellAnchor>
  <xdr:twoCellAnchor editAs="oneCell">
    <xdr:from>
      <xdr:col>7</xdr:col>
      <xdr:colOff>542925</xdr:colOff>
      <xdr:row>98</xdr:row>
      <xdr:rowOff>95250</xdr:rowOff>
    </xdr:from>
    <xdr:to>
      <xdr:col>15</xdr:col>
      <xdr:colOff>170887</xdr:colOff>
      <xdr:row>114</xdr:row>
      <xdr:rowOff>190107</xdr:rowOff>
    </xdr:to>
    <xdr:pic>
      <xdr:nvPicPr>
        <xdr:cNvPr id="6" name="Picture 5">
          <a:extLst>
            <a:ext uri="{FF2B5EF4-FFF2-40B4-BE49-F238E27FC236}">
              <a16:creationId xmlns:a16="http://schemas.microsoft.com/office/drawing/2014/main" id="{38D2B732-DF98-42C6-860C-6C7964C4C6DA}"/>
            </a:ext>
          </a:extLst>
        </xdr:cNvPr>
        <xdr:cNvPicPr>
          <a:picLocks noChangeAspect="1"/>
        </xdr:cNvPicPr>
      </xdr:nvPicPr>
      <xdr:blipFill>
        <a:blip xmlns:r="http://schemas.openxmlformats.org/officeDocument/2006/relationships" r:embed="rId5"/>
        <a:stretch>
          <a:fillRect/>
        </a:stretch>
      </xdr:blipFill>
      <xdr:spPr>
        <a:xfrm>
          <a:off x="4810125" y="31527750"/>
          <a:ext cx="4504762" cy="3142857"/>
        </a:xfrm>
        <a:prstGeom prst="rect">
          <a:avLst/>
        </a:prstGeom>
      </xdr:spPr>
    </xdr:pic>
    <xdr:clientData/>
  </xdr:twoCellAnchor>
  <xdr:twoCellAnchor editAs="oneCell">
    <xdr:from>
      <xdr:col>3</xdr:col>
      <xdr:colOff>0</xdr:colOff>
      <xdr:row>125</xdr:row>
      <xdr:rowOff>0</xdr:rowOff>
    </xdr:from>
    <xdr:to>
      <xdr:col>11</xdr:col>
      <xdr:colOff>285105</xdr:colOff>
      <xdr:row>140</xdr:row>
      <xdr:rowOff>123452</xdr:rowOff>
    </xdr:to>
    <xdr:pic>
      <xdr:nvPicPr>
        <xdr:cNvPr id="7" name="Picture 6">
          <a:extLst>
            <a:ext uri="{FF2B5EF4-FFF2-40B4-BE49-F238E27FC236}">
              <a16:creationId xmlns:a16="http://schemas.microsoft.com/office/drawing/2014/main" id="{2ACF2EB6-2980-4126-97DE-22C8A23161BC}"/>
            </a:ext>
          </a:extLst>
        </xdr:cNvPr>
        <xdr:cNvPicPr>
          <a:picLocks noChangeAspect="1"/>
        </xdr:cNvPicPr>
      </xdr:nvPicPr>
      <xdr:blipFill>
        <a:blip xmlns:r="http://schemas.openxmlformats.org/officeDocument/2006/relationships" r:embed="rId6"/>
        <a:stretch>
          <a:fillRect/>
        </a:stretch>
      </xdr:blipFill>
      <xdr:spPr>
        <a:xfrm>
          <a:off x="1828800" y="36576000"/>
          <a:ext cx="5161905" cy="2980952"/>
        </a:xfrm>
        <a:prstGeom prst="rect">
          <a:avLst/>
        </a:prstGeom>
      </xdr:spPr>
    </xdr:pic>
    <xdr:clientData/>
  </xdr:twoCellAnchor>
  <xdr:twoCellAnchor editAs="oneCell">
    <xdr:from>
      <xdr:col>21</xdr:col>
      <xdr:colOff>0</xdr:colOff>
      <xdr:row>66</xdr:row>
      <xdr:rowOff>0</xdr:rowOff>
    </xdr:from>
    <xdr:to>
      <xdr:col>29</xdr:col>
      <xdr:colOff>551771</xdr:colOff>
      <xdr:row>86</xdr:row>
      <xdr:rowOff>94762</xdr:rowOff>
    </xdr:to>
    <xdr:pic>
      <xdr:nvPicPr>
        <xdr:cNvPr id="8" name="Picture 7">
          <a:extLst>
            <a:ext uri="{FF2B5EF4-FFF2-40B4-BE49-F238E27FC236}">
              <a16:creationId xmlns:a16="http://schemas.microsoft.com/office/drawing/2014/main" id="{147C839E-27FD-48B3-9492-328496BA934E}"/>
            </a:ext>
          </a:extLst>
        </xdr:cNvPr>
        <xdr:cNvPicPr>
          <a:picLocks noChangeAspect="1"/>
        </xdr:cNvPicPr>
      </xdr:nvPicPr>
      <xdr:blipFill>
        <a:blip xmlns:r="http://schemas.openxmlformats.org/officeDocument/2006/relationships" r:embed="rId7"/>
        <a:stretch>
          <a:fillRect/>
        </a:stretch>
      </xdr:blipFill>
      <xdr:spPr>
        <a:xfrm>
          <a:off x="12801600" y="12573000"/>
          <a:ext cx="5428571" cy="3904762"/>
        </a:xfrm>
        <a:prstGeom prst="rect">
          <a:avLst/>
        </a:prstGeom>
      </xdr:spPr>
    </xdr:pic>
    <xdr:clientData/>
  </xdr:twoCellAnchor>
  <xdr:twoCellAnchor editAs="oneCell">
    <xdr:from>
      <xdr:col>1</xdr:col>
      <xdr:colOff>0</xdr:colOff>
      <xdr:row>68</xdr:row>
      <xdr:rowOff>0</xdr:rowOff>
    </xdr:from>
    <xdr:to>
      <xdr:col>10</xdr:col>
      <xdr:colOff>599314</xdr:colOff>
      <xdr:row>91</xdr:row>
      <xdr:rowOff>85167</xdr:rowOff>
    </xdr:to>
    <xdr:pic>
      <xdr:nvPicPr>
        <xdr:cNvPr id="9" name="Picture 8">
          <a:extLst>
            <a:ext uri="{FF2B5EF4-FFF2-40B4-BE49-F238E27FC236}">
              <a16:creationId xmlns:a16="http://schemas.microsoft.com/office/drawing/2014/main" id="{B3F711E2-3B08-420C-8122-59CAF862FFB3}"/>
            </a:ext>
          </a:extLst>
        </xdr:cNvPr>
        <xdr:cNvPicPr>
          <a:picLocks noChangeAspect="1"/>
        </xdr:cNvPicPr>
      </xdr:nvPicPr>
      <xdr:blipFill>
        <a:blip xmlns:r="http://schemas.openxmlformats.org/officeDocument/2006/relationships" r:embed="rId8"/>
        <a:stretch>
          <a:fillRect/>
        </a:stretch>
      </xdr:blipFill>
      <xdr:spPr>
        <a:xfrm>
          <a:off x="609600" y="12954000"/>
          <a:ext cx="6085714" cy="446666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228600</xdr:colOff>
      <xdr:row>42</xdr:row>
      <xdr:rowOff>166687</xdr:rowOff>
    </xdr:from>
    <xdr:to>
      <xdr:col>15</xdr:col>
      <xdr:colOff>0</xdr:colOff>
      <xdr:row>61</xdr:row>
      <xdr:rowOff>466725</xdr:rowOff>
    </xdr:to>
    <xdr:graphicFrame macro="">
      <xdr:nvGraphicFramePr>
        <xdr:cNvPr id="2" name="Chart 1">
          <a:extLst>
            <a:ext uri="{FF2B5EF4-FFF2-40B4-BE49-F238E27FC236}">
              <a16:creationId xmlns:a16="http://schemas.microsoft.com/office/drawing/2014/main" id="{33F6C29E-C5BB-4FA9-B49D-F15F8D6204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333375</xdr:colOff>
      <xdr:row>3</xdr:row>
      <xdr:rowOff>176212</xdr:rowOff>
    </xdr:from>
    <xdr:to>
      <xdr:col>13</xdr:col>
      <xdr:colOff>28575</xdr:colOff>
      <xdr:row>16</xdr:row>
      <xdr:rowOff>23812</xdr:rowOff>
    </xdr:to>
    <xdr:graphicFrame macro="">
      <xdr:nvGraphicFramePr>
        <xdr:cNvPr id="5" name="Chart 4">
          <a:extLst>
            <a:ext uri="{FF2B5EF4-FFF2-40B4-BE49-F238E27FC236}">
              <a16:creationId xmlns:a16="http://schemas.microsoft.com/office/drawing/2014/main" id="{4013281B-3D07-4F80-867F-773DED611B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219075</xdr:colOff>
      <xdr:row>18</xdr:row>
      <xdr:rowOff>123825</xdr:rowOff>
    </xdr:from>
    <xdr:to>
      <xdr:col>12</xdr:col>
      <xdr:colOff>523875</xdr:colOff>
      <xdr:row>40</xdr:row>
      <xdr:rowOff>161925</xdr:rowOff>
    </xdr:to>
    <xdr:graphicFrame macro="">
      <xdr:nvGraphicFramePr>
        <xdr:cNvPr id="7" name="Chart 6">
          <a:extLst>
            <a:ext uri="{FF2B5EF4-FFF2-40B4-BE49-F238E27FC236}">
              <a16:creationId xmlns:a16="http://schemas.microsoft.com/office/drawing/2014/main" id="{56C1B38D-F61C-45E0-B66E-185D80B355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427308</xdr:colOff>
      <xdr:row>0</xdr:row>
      <xdr:rowOff>114301</xdr:rowOff>
    </xdr:from>
    <xdr:to>
      <xdr:col>13</xdr:col>
      <xdr:colOff>379177</xdr:colOff>
      <xdr:row>17</xdr:row>
      <xdr:rowOff>28575</xdr:rowOff>
    </xdr:to>
    <xdr:pic>
      <xdr:nvPicPr>
        <xdr:cNvPr id="2" name="Picture 1">
          <a:extLst>
            <a:ext uri="{FF2B5EF4-FFF2-40B4-BE49-F238E27FC236}">
              <a16:creationId xmlns:a16="http://schemas.microsoft.com/office/drawing/2014/main" id="{A1CEC4D1-E848-478A-9B6E-A6BD26324381}"/>
            </a:ext>
          </a:extLst>
        </xdr:cNvPr>
        <xdr:cNvPicPr>
          <a:picLocks noChangeAspect="1"/>
        </xdr:cNvPicPr>
      </xdr:nvPicPr>
      <xdr:blipFill>
        <a:blip xmlns:r="http://schemas.openxmlformats.org/officeDocument/2006/relationships" r:embed="rId1"/>
        <a:stretch>
          <a:fillRect/>
        </a:stretch>
      </xdr:blipFill>
      <xdr:spPr>
        <a:xfrm>
          <a:off x="2865708" y="114301"/>
          <a:ext cx="5438269" cy="3152774"/>
        </a:xfrm>
        <a:prstGeom prst="rect">
          <a:avLst/>
        </a:prstGeom>
      </xdr:spPr>
    </xdr:pic>
    <xdr:clientData/>
  </xdr:twoCellAnchor>
  <xdr:twoCellAnchor editAs="oneCell">
    <xdr:from>
      <xdr:col>6</xdr:col>
      <xdr:colOff>0</xdr:colOff>
      <xdr:row>19</xdr:row>
      <xdr:rowOff>1</xdr:rowOff>
    </xdr:from>
    <xdr:to>
      <xdr:col>8</xdr:col>
      <xdr:colOff>3451</xdr:colOff>
      <xdr:row>27</xdr:row>
      <xdr:rowOff>171451</xdr:rowOff>
    </xdr:to>
    <xdr:pic>
      <xdr:nvPicPr>
        <xdr:cNvPr id="3" name="Picture 2">
          <a:extLst>
            <a:ext uri="{FF2B5EF4-FFF2-40B4-BE49-F238E27FC236}">
              <a16:creationId xmlns:a16="http://schemas.microsoft.com/office/drawing/2014/main" id="{AA6EC085-90D8-4EFF-97BA-C153A0AC5AAA}"/>
            </a:ext>
          </a:extLst>
        </xdr:cNvPr>
        <xdr:cNvPicPr>
          <a:picLocks noChangeAspect="1"/>
        </xdr:cNvPicPr>
      </xdr:nvPicPr>
      <xdr:blipFill>
        <a:blip xmlns:r="http://schemas.openxmlformats.org/officeDocument/2006/relationships" r:embed="rId2"/>
        <a:stretch>
          <a:fillRect/>
        </a:stretch>
      </xdr:blipFill>
      <xdr:spPr>
        <a:xfrm>
          <a:off x="3657600" y="3619501"/>
          <a:ext cx="1222651" cy="1695450"/>
        </a:xfrm>
        <a:prstGeom prst="rect">
          <a:avLst/>
        </a:prstGeom>
      </xdr:spPr>
    </xdr:pic>
    <xdr:clientData/>
  </xdr:twoCellAnchor>
  <xdr:twoCellAnchor editAs="oneCell">
    <xdr:from>
      <xdr:col>9</xdr:col>
      <xdr:colOff>1</xdr:colOff>
      <xdr:row>19</xdr:row>
      <xdr:rowOff>0</xdr:rowOff>
    </xdr:from>
    <xdr:to>
      <xdr:col>13</xdr:col>
      <xdr:colOff>321787</xdr:colOff>
      <xdr:row>29</xdr:row>
      <xdr:rowOff>0</xdr:rowOff>
    </xdr:to>
    <xdr:pic>
      <xdr:nvPicPr>
        <xdr:cNvPr id="4" name="Picture 3">
          <a:extLst>
            <a:ext uri="{FF2B5EF4-FFF2-40B4-BE49-F238E27FC236}">
              <a16:creationId xmlns:a16="http://schemas.microsoft.com/office/drawing/2014/main" id="{8515DF8E-9954-49C5-A02D-646BBD613B89}"/>
            </a:ext>
          </a:extLst>
        </xdr:cNvPr>
        <xdr:cNvPicPr>
          <a:picLocks noChangeAspect="1"/>
        </xdr:cNvPicPr>
      </xdr:nvPicPr>
      <xdr:blipFill>
        <a:blip xmlns:r="http://schemas.openxmlformats.org/officeDocument/2006/relationships" r:embed="rId3"/>
        <a:stretch>
          <a:fillRect/>
        </a:stretch>
      </xdr:blipFill>
      <xdr:spPr>
        <a:xfrm>
          <a:off x="5486401" y="3619500"/>
          <a:ext cx="2760186" cy="1905000"/>
        </a:xfrm>
        <a:prstGeom prst="rect">
          <a:avLst/>
        </a:prstGeom>
      </xdr:spPr>
    </xdr:pic>
    <xdr:clientData/>
  </xdr:twoCellAnchor>
  <xdr:twoCellAnchor editAs="oneCell">
    <xdr:from>
      <xdr:col>14</xdr:col>
      <xdr:colOff>0</xdr:colOff>
      <xdr:row>19</xdr:row>
      <xdr:rowOff>1</xdr:rowOff>
    </xdr:from>
    <xdr:to>
      <xdr:col>18</xdr:col>
      <xdr:colOff>295275</xdr:colOff>
      <xdr:row>28</xdr:row>
      <xdr:rowOff>185173</xdr:rowOff>
    </xdr:to>
    <xdr:pic>
      <xdr:nvPicPr>
        <xdr:cNvPr id="5" name="Picture 4">
          <a:extLst>
            <a:ext uri="{FF2B5EF4-FFF2-40B4-BE49-F238E27FC236}">
              <a16:creationId xmlns:a16="http://schemas.microsoft.com/office/drawing/2014/main" id="{2C8A154C-74B0-458A-A45C-BBCD311C6D27}"/>
            </a:ext>
          </a:extLst>
        </xdr:cNvPr>
        <xdr:cNvPicPr>
          <a:picLocks noChangeAspect="1"/>
        </xdr:cNvPicPr>
      </xdr:nvPicPr>
      <xdr:blipFill>
        <a:blip xmlns:r="http://schemas.openxmlformats.org/officeDocument/2006/relationships" r:embed="rId4"/>
        <a:stretch>
          <a:fillRect/>
        </a:stretch>
      </xdr:blipFill>
      <xdr:spPr>
        <a:xfrm>
          <a:off x="8534400" y="3619501"/>
          <a:ext cx="2733675" cy="1899672"/>
        </a:xfrm>
        <a:prstGeom prst="rect">
          <a:avLst/>
        </a:prstGeom>
      </xdr:spPr>
    </xdr:pic>
    <xdr:clientData/>
  </xdr:twoCellAnchor>
  <xdr:twoCellAnchor editAs="oneCell">
    <xdr:from>
      <xdr:col>19</xdr:col>
      <xdr:colOff>0</xdr:colOff>
      <xdr:row>20</xdr:row>
      <xdr:rowOff>1</xdr:rowOff>
    </xdr:from>
    <xdr:to>
      <xdr:col>23</xdr:col>
      <xdr:colOff>28575</xdr:colOff>
      <xdr:row>29</xdr:row>
      <xdr:rowOff>32157</xdr:rowOff>
    </xdr:to>
    <xdr:pic>
      <xdr:nvPicPr>
        <xdr:cNvPr id="6" name="Picture 5">
          <a:extLst>
            <a:ext uri="{FF2B5EF4-FFF2-40B4-BE49-F238E27FC236}">
              <a16:creationId xmlns:a16="http://schemas.microsoft.com/office/drawing/2014/main" id="{4F7BEB0A-0109-4A76-AB4D-1D5C7A8510A7}"/>
            </a:ext>
          </a:extLst>
        </xdr:cNvPr>
        <xdr:cNvPicPr>
          <a:picLocks noChangeAspect="1"/>
        </xdr:cNvPicPr>
      </xdr:nvPicPr>
      <xdr:blipFill>
        <a:blip xmlns:r="http://schemas.openxmlformats.org/officeDocument/2006/relationships" r:embed="rId5"/>
        <a:stretch>
          <a:fillRect/>
        </a:stretch>
      </xdr:blipFill>
      <xdr:spPr>
        <a:xfrm>
          <a:off x="11582400" y="3810001"/>
          <a:ext cx="2466975" cy="1746656"/>
        </a:xfrm>
        <a:prstGeom prst="rect">
          <a:avLst/>
        </a:prstGeom>
      </xdr:spPr>
    </xdr:pic>
    <xdr:clientData/>
  </xdr:twoCellAnchor>
  <xdr:twoCellAnchor editAs="oneCell">
    <xdr:from>
      <xdr:col>23</xdr:col>
      <xdr:colOff>161925</xdr:colOff>
      <xdr:row>16</xdr:row>
      <xdr:rowOff>30762</xdr:rowOff>
    </xdr:from>
    <xdr:to>
      <xdr:col>29</xdr:col>
      <xdr:colOff>189873</xdr:colOff>
      <xdr:row>29</xdr:row>
      <xdr:rowOff>113864</xdr:rowOff>
    </xdr:to>
    <xdr:pic>
      <xdr:nvPicPr>
        <xdr:cNvPr id="7" name="Picture 6">
          <a:extLst>
            <a:ext uri="{FF2B5EF4-FFF2-40B4-BE49-F238E27FC236}">
              <a16:creationId xmlns:a16="http://schemas.microsoft.com/office/drawing/2014/main" id="{E9FB089D-03CF-4205-AF0F-7F42994D8EA0}"/>
            </a:ext>
          </a:extLst>
        </xdr:cNvPr>
        <xdr:cNvPicPr>
          <a:picLocks noChangeAspect="1"/>
        </xdr:cNvPicPr>
      </xdr:nvPicPr>
      <xdr:blipFill>
        <a:blip xmlns:r="http://schemas.openxmlformats.org/officeDocument/2006/relationships" r:embed="rId6"/>
        <a:stretch>
          <a:fillRect/>
        </a:stretch>
      </xdr:blipFill>
      <xdr:spPr>
        <a:xfrm>
          <a:off x="14182725" y="3078762"/>
          <a:ext cx="3685548" cy="2559602"/>
        </a:xfrm>
        <a:prstGeom prst="rect">
          <a:avLst/>
        </a:prstGeom>
      </xdr:spPr>
    </xdr:pic>
    <xdr:clientData/>
  </xdr:twoCellAnchor>
  <xdr:twoCellAnchor editAs="oneCell">
    <xdr:from>
      <xdr:col>9</xdr:col>
      <xdr:colOff>282477</xdr:colOff>
      <xdr:row>42</xdr:row>
      <xdr:rowOff>57150</xdr:rowOff>
    </xdr:from>
    <xdr:to>
      <xdr:col>11</xdr:col>
      <xdr:colOff>437814</xdr:colOff>
      <xdr:row>50</xdr:row>
      <xdr:rowOff>142483</xdr:rowOff>
    </xdr:to>
    <xdr:pic>
      <xdr:nvPicPr>
        <xdr:cNvPr id="8" name="Picture 7">
          <a:extLst>
            <a:ext uri="{FF2B5EF4-FFF2-40B4-BE49-F238E27FC236}">
              <a16:creationId xmlns:a16="http://schemas.microsoft.com/office/drawing/2014/main" id="{A3F6578A-5F49-4F52-A5C3-E6F252689E00}"/>
            </a:ext>
          </a:extLst>
        </xdr:cNvPr>
        <xdr:cNvPicPr>
          <a:picLocks noChangeAspect="1"/>
        </xdr:cNvPicPr>
      </xdr:nvPicPr>
      <xdr:blipFill>
        <a:blip xmlns:r="http://schemas.openxmlformats.org/officeDocument/2006/relationships" r:embed="rId7"/>
        <a:stretch>
          <a:fillRect/>
        </a:stretch>
      </xdr:blipFill>
      <xdr:spPr>
        <a:xfrm>
          <a:off x="5768877" y="8058150"/>
          <a:ext cx="1374537" cy="1609333"/>
        </a:xfrm>
        <a:prstGeom prst="rect">
          <a:avLst/>
        </a:prstGeom>
      </xdr:spPr>
    </xdr:pic>
    <xdr:clientData/>
  </xdr:twoCellAnchor>
  <xdr:twoCellAnchor editAs="oneCell">
    <xdr:from>
      <xdr:col>6</xdr:col>
      <xdr:colOff>133350</xdr:colOff>
      <xdr:row>51</xdr:row>
      <xdr:rowOff>189595</xdr:rowOff>
    </xdr:from>
    <xdr:to>
      <xdr:col>12</xdr:col>
      <xdr:colOff>379884</xdr:colOff>
      <xdr:row>62</xdr:row>
      <xdr:rowOff>123245</xdr:rowOff>
    </xdr:to>
    <xdr:pic>
      <xdr:nvPicPr>
        <xdr:cNvPr id="9" name="Picture 8">
          <a:extLst>
            <a:ext uri="{FF2B5EF4-FFF2-40B4-BE49-F238E27FC236}">
              <a16:creationId xmlns:a16="http://schemas.microsoft.com/office/drawing/2014/main" id="{62CACF92-1532-45BB-A590-1CA1FB273318}"/>
            </a:ext>
          </a:extLst>
        </xdr:cNvPr>
        <xdr:cNvPicPr>
          <a:picLocks noChangeAspect="1"/>
        </xdr:cNvPicPr>
      </xdr:nvPicPr>
      <xdr:blipFill>
        <a:blip xmlns:r="http://schemas.openxmlformats.org/officeDocument/2006/relationships" r:embed="rId8"/>
        <a:stretch>
          <a:fillRect/>
        </a:stretch>
      </xdr:blipFill>
      <xdr:spPr>
        <a:xfrm>
          <a:off x="3790950" y="9905095"/>
          <a:ext cx="3904134" cy="2029150"/>
        </a:xfrm>
        <a:prstGeom prst="rect">
          <a:avLst/>
        </a:prstGeom>
      </xdr:spPr>
    </xdr:pic>
    <xdr:clientData/>
  </xdr:twoCellAnchor>
  <xdr:twoCellAnchor editAs="oneCell">
    <xdr:from>
      <xdr:col>12</xdr:col>
      <xdr:colOff>495300</xdr:colOff>
      <xdr:row>51</xdr:row>
      <xdr:rowOff>114300</xdr:rowOff>
    </xdr:from>
    <xdr:to>
      <xdr:col>17</xdr:col>
      <xdr:colOff>218729</xdr:colOff>
      <xdr:row>64</xdr:row>
      <xdr:rowOff>66371</xdr:rowOff>
    </xdr:to>
    <xdr:pic>
      <xdr:nvPicPr>
        <xdr:cNvPr id="10" name="Picture 9">
          <a:extLst>
            <a:ext uri="{FF2B5EF4-FFF2-40B4-BE49-F238E27FC236}">
              <a16:creationId xmlns:a16="http://schemas.microsoft.com/office/drawing/2014/main" id="{2951FBD7-23E7-48A6-89D1-B7D4722EFE19}"/>
            </a:ext>
          </a:extLst>
        </xdr:cNvPr>
        <xdr:cNvPicPr>
          <a:picLocks noChangeAspect="1"/>
        </xdr:cNvPicPr>
      </xdr:nvPicPr>
      <xdr:blipFill>
        <a:blip xmlns:r="http://schemas.openxmlformats.org/officeDocument/2006/relationships" r:embed="rId9"/>
        <a:stretch>
          <a:fillRect/>
        </a:stretch>
      </xdr:blipFill>
      <xdr:spPr>
        <a:xfrm>
          <a:off x="7810500" y="9829800"/>
          <a:ext cx="2771429" cy="242857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104775</xdr:colOff>
      <xdr:row>0</xdr:row>
      <xdr:rowOff>152400</xdr:rowOff>
    </xdr:from>
    <xdr:to>
      <xdr:col>17</xdr:col>
      <xdr:colOff>398953</xdr:colOff>
      <xdr:row>21</xdr:row>
      <xdr:rowOff>61665</xdr:rowOff>
    </xdr:to>
    <xdr:pic>
      <xdr:nvPicPr>
        <xdr:cNvPr id="2" name="Picture 1">
          <a:extLst>
            <a:ext uri="{FF2B5EF4-FFF2-40B4-BE49-F238E27FC236}">
              <a16:creationId xmlns:a16="http://schemas.microsoft.com/office/drawing/2014/main" id="{7779A52B-52A9-4DA3-9AC7-DC999E535E42}"/>
            </a:ext>
          </a:extLst>
        </xdr:cNvPr>
        <xdr:cNvPicPr>
          <a:picLocks noChangeAspect="1"/>
        </xdr:cNvPicPr>
      </xdr:nvPicPr>
      <xdr:blipFill>
        <a:blip xmlns:r="http://schemas.openxmlformats.org/officeDocument/2006/relationships" r:embed="rId1"/>
        <a:stretch>
          <a:fillRect/>
        </a:stretch>
      </xdr:blipFill>
      <xdr:spPr>
        <a:xfrm>
          <a:off x="4981575" y="152400"/>
          <a:ext cx="5780578" cy="3947865"/>
        </a:xfrm>
        <a:prstGeom prst="rect">
          <a:avLst/>
        </a:prstGeom>
      </xdr:spPr>
    </xdr:pic>
    <xdr:clientData/>
  </xdr:twoCellAnchor>
  <xdr:twoCellAnchor editAs="oneCell">
    <xdr:from>
      <xdr:col>17</xdr:col>
      <xdr:colOff>533399</xdr:colOff>
      <xdr:row>1</xdr:row>
      <xdr:rowOff>79294</xdr:rowOff>
    </xdr:from>
    <xdr:to>
      <xdr:col>25</xdr:col>
      <xdr:colOff>551324</xdr:colOff>
      <xdr:row>5</xdr:row>
      <xdr:rowOff>104594</xdr:rowOff>
    </xdr:to>
    <xdr:pic>
      <xdr:nvPicPr>
        <xdr:cNvPr id="3" name="Picture 2">
          <a:extLst>
            <a:ext uri="{FF2B5EF4-FFF2-40B4-BE49-F238E27FC236}">
              <a16:creationId xmlns:a16="http://schemas.microsoft.com/office/drawing/2014/main" id="{8D52B80F-D260-4AD0-885C-D911A94E4B92}"/>
            </a:ext>
          </a:extLst>
        </xdr:cNvPr>
        <xdr:cNvPicPr>
          <a:picLocks noChangeAspect="1"/>
        </xdr:cNvPicPr>
      </xdr:nvPicPr>
      <xdr:blipFill>
        <a:blip xmlns:r="http://schemas.openxmlformats.org/officeDocument/2006/relationships" r:embed="rId2"/>
        <a:stretch>
          <a:fillRect/>
        </a:stretch>
      </xdr:blipFill>
      <xdr:spPr>
        <a:xfrm>
          <a:off x="10896599" y="269794"/>
          <a:ext cx="4894725" cy="787300"/>
        </a:xfrm>
        <a:prstGeom prst="rect">
          <a:avLst/>
        </a:prstGeom>
      </xdr:spPr>
    </xdr:pic>
    <xdr:clientData/>
  </xdr:twoCellAnchor>
  <xdr:twoCellAnchor editAs="oneCell">
    <xdr:from>
      <xdr:col>17</xdr:col>
      <xdr:colOff>555429</xdr:colOff>
      <xdr:row>6</xdr:row>
      <xdr:rowOff>95250</xdr:rowOff>
    </xdr:from>
    <xdr:to>
      <xdr:col>22</xdr:col>
      <xdr:colOff>408964</xdr:colOff>
      <xdr:row>25</xdr:row>
      <xdr:rowOff>56374</xdr:rowOff>
    </xdr:to>
    <xdr:pic>
      <xdr:nvPicPr>
        <xdr:cNvPr id="4" name="Picture 3">
          <a:extLst>
            <a:ext uri="{FF2B5EF4-FFF2-40B4-BE49-F238E27FC236}">
              <a16:creationId xmlns:a16="http://schemas.microsoft.com/office/drawing/2014/main" id="{23678D3C-7FFB-4059-BB5A-9614C33065B3}"/>
            </a:ext>
          </a:extLst>
        </xdr:cNvPr>
        <xdr:cNvPicPr>
          <a:picLocks noChangeAspect="1"/>
        </xdr:cNvPicPr>
      </xdr:nvPicPr>
      <xdr:blipFill>
        <a:blip xmlns:r="http://schemas.openxmlformats.org/officeDocument/2006/relationships" r:embed="rId3"/>
        <a:stretch>
          <a:fillRect/>
        </a:stretch>
      </xdr:blipFill>
      <xdr:spPr>
        <a:xfrm>
          <a:off x="10918629" y="1238250"/>
          <a:ext cx="2901535" cy="3694924"/>
        </a:xfrm>
        <a:prstGeom prst="rect">
          <a:avLst/>
        </a:prstGeom>
      </xdr:spPr>
    </xdr:pic>
    <xdr:clientData/>
  </xdr:twoCellAnchor>
  <xdr:twoCellAnchor editAs="oneCell">
    <xdr:from>
      <xdr:col>9</xdr:col>
      <xdr:colOff>476250</xdr:colOff>
      <xdr:row>23</xdr:row>
      <xdr:rowOff>178377</xdr:rowOff>
    </xdr:from>
    <xdr:to>
      <xdr:col>17</xdr:col>
      <xdr:colOff>294136</xdr:colOff>
      <xdr:row>39</xdr:row>
      <xdr:rowOff>132621</xdr:rowOff>
    </xdr:to>
    <xdr:pic>
      <xdr:nvPicPr>
        <xdr:cNvPr id="5" name="Picture 4">
          <a:extLst>
            <a:ext uri="{FF2B5EF4-FFF2-40B4-BE49-F238E27FC236}">
              <a16:creationId xmlns:a16="http://schemas.microsoft.com/office/drawing/2014/main" id="{36F3AC01-9131-42A0-A830-1B68721BA3AD}"/>
            </a:ext>
          </a:extLst>
        </xdr:cNvPr>
        <xdr:cNvPicPr>
          <a:picLocks noChangeAspect="1"/>
        </xdr:cNvPicPr>
      </xdr:nvPicPr>
      <xdr:blipFill>
        <a:blip xmlns:r="http://schemas.openxmlformats.org/officeDocument/2006/relationships" r:embed="rId4"/>
        <a:stretch>
          <a:fillRect/>
        </a:stretch>
      </xdr:blipFill>
      <xdr:spPr>
        <a:xfrm>
          <a:off x="5962650" y="4559877"/>
          <a:ext cx="4694686" cy="300224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72EC2-38C9-4819-8B68-7A341B5B3F13}">
  <dimension ref="A1:M127"/>
  <sheetViews>
    <sheetView zoomScaleNormal="100" workbookViewId="0">
      <selection activeCell="N4" sqref="N4"/>
    </sheetView>
  </sheetViews>
  <sheetFormatPr defaultRowHeight="15" x14ac:dyDescent="0.25"/>
  <sheetData>
    <row r="1" spans="1:8" x14ac:dyDescent="0.25">
      <c r="A1" s="96" t="s">
        <v>274</v>
      </c>
      <c r="B1" s="96"/>
      <c r="C1" s="96"/>
      <c r="D1" s="96"/>
      <c r="E1" s="96"/>
      <c r="F1" s="96"/>
      <c r="G1" s="96"/>
      <c r="H1" s="96"/>
    </row>
    <row r="7" spans="1:8" x14ac:dyDescent="0.25">
      <c r="D7" t="s">
        <v>1</v>
      </c>
    </row>
    <row r="8" spans="1:8" x14ac:dyDescent="0.25">
      <c r="D8" t="s">
        <v>0</v>
      </c>
    </row>
    <row r="97" spans="6:6" x14ac:dyDescent="0.25">
      <c r="F97" t="s">
        <v>273</v>
      </c>
    </row>
    <row r="127" spans="13:13" x14ac:dyDescent="0.25">
      <c r="M127" t="s">
        <v>81</v>
      </c>
    </row>
  </sheetData>
  <sheetProtection algorithmName="SHA-512" hashValue="XWtDnq/qYOt7bEozGrlIYJUNE0HveytW1vV9hA1xN6/XAk890oT9WArI97Nl6/qo8y8JrTGeSBiXSDpXJt9v2g==" saltValue="FE4uz9rskWs+F8TdXj8ArQ==" spinCount="100000" sheet="1" objects="1" scenarios="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F1A00-BD8F-4AB5-BE2B-4307C131EB8F}">
  <dimension ref="A1:AI253"/>
  <sheetViews>
    <sheetView tabSelected="1" workbookViewId="0">
      <selection activeCell="E4" sqref="E4"/>
    </sheetView>
  </sheetViews>
  <sheetFormatPr defaultRowHeight="15" x14ac:dyDescent="0.25"/>
  <cols>
    <col min="1" max="1" width="34.28515625" style="5" bestFit="1" customWidth="1"/>
    <col min="2" max="2" width="7.5703125" style="5" bestFit="1" customWidth="1"/>
    <col min="3" max="3" width="12.7109375" style="5" bestFit="1" customWidth="1"/>
    <col min="4" max="4" width="7.7109375" style="5" customWidth="1"/>
    <col min="5" max="7" width="9.140625" style="5"/>
    <col min="8" max="8" width="11" style="5" bestFit="1" customWidth="1"/>
    <col min="9" max="16384" width="9.140625" style="5"/>
  </cols>
  <sheetData>
    <row r="1" spans="1:35" x14ac:dyDescent="0.25">
      <c r="A1" s="83" t="s">
        <v>40</v>
      </c>
      <c r="B1" s="83"/>
      <c r="C1" s="83"/>
      <c r="D1" s="83"/>
      <c r="AA1" s="5" t="s">
        <v>58</v>
      </c>
      <c r="AB1" s="5" t="s">
        <v>66</v>
      </c>
      <c r="AE1" s="6" t="s">
        <v>70</v>
      </c>
      <c r="AF1" s="6" t="s">
        <v>72</v>
      </c>
      <c r="AH1" s="76" t="s">
        <v>144</v>
      </c>
      <c r="AI1" s="76"/>
    </row>
    <row r="2" spans="1:35" ht="18.75" thickBot="1" x14ac:dyDescent="0.4">
      <c r="A2" s="7" t="s">
        <v>5</v>
      </c>
      <c r="B2" s="7" t="s">
        <v>2</v>
      </c>
      <c r="C2" s="7" t="s">
        <v>3</v>
      </c>
      <c r="D2" s="7" t="s">
        <v>4</v>
      </c>
      <c r="F2" s="8" t="s">
        <v>135</v>
      </c>
      <c r="AA2" s="5" t="s">
        <v>54</v>
      </c>
      <c r="AB2" s="5" t="s">
        <v>63</v>
      </c>
      <c r="AE2" s="6">
        <v>0.5</v>
      </c>
      <c r="AF2" s="6">
        <v>1</v>
      </c>
      <c r="AH2" s="6" t="s">
        <v>67</v>
      </c>
      <c r="AI2" s="6" t="s">
        <v>145</v>
      </c>
    </row>
    <row r="3" spans="1:35" ht="18" x14ac:dyDescent="0.35">
      <c r="A3" s="9" t="s">
        <v>155</v>
      </c>
      <c r="B3" s="10" t="s">
        <v>24</v>
      </c>
      <c r="C3" s="68">
        <v>300</v>
      </c>
      <c r="D3" s="11" t="s">
        <v>25</v>
      </c>
      <c r="F3" s="12" t="s">
        <v>136</v>
      </c>
      <c r="AA3" s="5" t="s">
        <v>55</v>
      </c>
      <c r="AB3" s="5" t="s">
        <v>65</v>
      </c>
      <c r="AE3" s="6">
        <v>0.9</v>
      </c>
      <c r="AF3" s="6">
        <v>0.89700000000000002</v>
      </c>
      <c r="AH3" s="6">
        <v>70</v>
      </c>
      <c r="AI3" s="6">
        <v>1</v>
      </c>
    </row>
    <row r="4" spans="1:35" ht="18" x14ac:dyDescent="0.35">
      <c r="A4" s="13" t="s">
        <v>6</v>
      </c>
      <c r="B4" s="6" t="s">
        <v>7</v>
      </c>
      <c r="C4" s="64">
        <v>93.7</v>
      </c>
      <c r="D4" s="14" t="s">
        <v>8</v>
      </c>
      <c r="AA4" s="5" t="s">
        <v>56</v>
      </c>
      <c r="AB4" s="5" t="s">
        <v>64</v>
      </c>
      <c r="AE4" s="6">
        <v>0.95</v>
      </c>
      <c r="AF4" s="6">
        <v>0.86799999999999999</v>
      </c>
      <c r="AH4" s="6">
        <v>100</v>
      </c>
      <c r="AI4" s="6">
        <v>1.008</v>
      </c>
    </row>
    <row r="5" spans="1:35" ht="18" x14ac:dyDescent="0.35">
      <c r="A5" s="13" t="s">
        <v>125</v>
      </c>
      <c r="B5" s="6" t="s">
        <v>124</v>
      </c>
      <c r="C5" s="15">
        <f>0.67*C4</f>
        <v>62.779000000000003</v>
      </c>
      <c r="D5" s="14" t="s">
        <v>8</v>
      </c>
      <c r="AA5" s="5" t="s">
        <v>57</v>
      </c>
      <c r="AE5" s="6">
        <v>0.99</v>
      </c>
      <c r="AF5" s="6">
        <v>0.81399999999999995</v>
      </c>
      <c r="AH5" s="6">
        <v>200</v>
      </c>
      <c r="AI5" s="6">
        <v>1.02</v>
      </c>
    </row>
    <row r="6" spans="1:35" ht="18" x14ac:dyDescent="0.35">
      <c r="A6" s="13" t="s">
        <v>128</v>
      </c>
      <c r="B6" s="6" t="s">
        <v>82</v>
      </c>
      <c r="C6" s="64">
        <v>52</v>
      </c>
      <c r="D6" s="14" t="s">
        <v>8</v>
      </c>
      <c r="AE6" s="6">
        <v>0.999</v>
      </c>
      <c r="AF6" s="6">
        <v>0.753</v>
      </c>
      <c r="AH6" s="6">
        <v>300</v>
      </c>
      <c r="AI6" s="6">
        <v>1.024</v>
      </c>
    </row>
    <row r="7" spans="1:35" ht="18" x14ac:dyDescent="0.35">
      <c r="A7" s="13" t="s">
        <v>129</v>
      </c>
      <c r="B7" s="6" t="s">
        <v>130</v>
      </c>
      <c r="C7" s="15">
        <f>C6/SQRT(3)</f>
        <v>30.02221399786054</v>
      </c>
      <c r="D7" s="14" t="s">
        <v>8</v>
      </c>
      <c r="AE7" s="6">
        <v>0.99990000000000001</v>
      </c>
      <c r="AF7" s="6">
        <v>0.70199999999999996</v>
      </c>
      <c r="AH7" s="6">
        <v>400</v>
      </c>
      <c r="AI7" s="6">
        <v>1.018</v>
      </c>
    </row>
    <row r="8" spans="1:35" x14ac:dyDescent="0.25">
      <c r="A8" s="16" t="s">
        <v>143</v>
      </c>
      <c r="B8" s="17" t="s">
        <v>16</v>
      </c>
      <c r="C8" s="64">
        <v>70000</v>
      </c>
      <c r="D8" s="14" t="s">
        <v>25</v>
      </c>
      <c r="AE8" s="6">
        <v>0.99999000000000005</v>
      </c>
      <c r="AF8" s="6">
        <v>0.65900000000000003</v>
      </c>
      <c r="AH8" s="6">
        <v>500</v>
      </c>
      <c r="AI8" s="6">
        <v>0.995</v>
      </c>
    </row>
    <row r="9" spans="1:35" ht="18" x14ac:dyDescent="0.35">
      <c r="A9" s="16" t="s">
        <v>26</v>
      </c>
      <c r="B9" s="17" t="s">
        <v>27</v>
      </c>
      <c r="C9" s="6">
        <v>1000</v>
      </c>
      <c r="D9" s="14" t="s">
        <v>25</v>
      </c>
      <c r="AE9" s="6">
        <v>0.99999899999999997</v>
      </c>
      <c r="AF9" s="6">
        <v>0.62</v>
      </c>
      <c r="AH9" s="6">
        <v>600</v>
      </c>
      <c r="AI9" s="6">
        <v>0.96299999999999997</v>
      </c>
    </row>
    <row r="10" spans="1:35" ht="18" x14ac:dyDescent="0.35">
      <c r="A10" s="16" t="s">
        <v>29</v>
      </c>
      <c r="B10" s="17" t="s">
        <v>28</v>
      </c>
      <c r="C10" s="64">
        <v>1000000</v>
      </c>
      <c r="D10" s="14" t="s">
        <v>25</v>
      </c>
      <c r="AH10" s="6">
        <v>700</v>
      </c>
      <c r="AI10" s="6">
        <v>0.92700000000000005</v>
      </c>
    </row>
    <row r="11" spans="1:35" ht="18" x14ac:dyDescent="0.35">
      <c r="A11" s="16" t="s">
        <v>10</v>
      </c>
      <c r="B11" s="6" t="s">
        <v>9</v>
      </c>
      <c r="C11" s="6">
        <f>IF(C4&lt;=200,0.5*C4,100)</f>
        <v>46.85</v>
      </c>
      <c r="D11" s="14" t="s">
        <v>8</v>
      </c>
      <c r="AH11" s="6">
        <v>800</v>
      </c>
      <c r="AI11" s="6">
        <v>0.872</v>
      </c>
    </row>
    <row r="12" spans="1:35" ht="18" x14ac:dyDescent="0.35">
      <c r="A12" s="16" t="s">
        <v>15</v>
      </c>
      <c r="B12" s="17" t="s">
        <v>14</v>
      </c>
      <c r="C12" s="6">
        <f>IF(C3&lt;500,C4+50,"Eq 6-11 not valid for steels this hard")</f>
        <v>143.69999999999999</v>
      </c>
      <c r="D12" s="14" t="s">
        <v>8</v>
      </c>
      <c r="AH12" s="6">
        <v>900</v>
      </c>
      <c r="AI12" s="6">
        <v>0.79700000000000004</v>
      </c>
    </row>
    <row r="13" spans="1:35" x14ac:dyDescent="0.25">
      <c r="A13" s="16" t="s">
        <v>19</v>
      </c>
      <c r="B13" s="17" t="s">
        <v>18</v>
      </c>
      <c r="C13" s="6">
        <f>-LOG(C12/C11)/LOG(2*C10)</f>
        <v>-7.7248826500648446E-2</v>
      </c>
      <c r="D13" s="14" t="s">
        <v>25</v>
      </c>
      <c r="AH13" s="6">
        <v>1000</v>
      </c>
      <c r="AI13" s="6">
        <v>0.69799999999999995</v>
      </c>
    </row>
    <row r="14" spans="1:35" ht="18" x14ac:dyDescent="0.35">
      <c r="A14" s="13" t="s">
        <v>13</v>
      </c>
      <c r="B14" s="6" t="s">
        <v>11</v>
      </c>
      <c r="C14" s="6">
        <f>C12*(2*C8)^C13</f>
        <v>57.533979776685207</v>
      </c>
      <c r="D14" s="14" t="s">
        <v>8</v>
      </c>
      <c r="AH14" s="6">
        <v>1100</v>
      </c>
      <c r="AI14" s="6">
        <v>0.56699999999999995</v>
      </c>
    </row>
    <row r="15" spans="1:35" ht="18" x14ac:dyDescent="0.35">
      <c r="A15" s="13" t="s">
        <v>21</v>
      </c>
      <c r="B15" s="6" t="s">
        <v>20</v>
      </c>
      <c r="C15" s="6">
        <f>IF((C12*(2*C9)^C13)&lt;=(C4*0.9),C12*(2*C9)^C13,0.9*C4)</f>
        <v>79.883314225396475</v>
      </c>
      <c r="D15" s="14" t="s">
        <v>8</v>
      </c>
      <c r="AH15" s="6" t="s">
        <v>146</v>
      </c>
      <c r="AI15" s="6">
        <f>INDEX(AH3:AH14,MATCH(C23,AH3:AH14,1))</f>
        <v>70</v>
      </c>
    </row>
    <row r="16" spans="1:35" ht="18" x14ac:dyDescent="0.35">
      <c r="A16" s="13" t="s">
        <v>31</v>
      </c>
      <c r="B16" s="6" t="s">
        <v>30</v>
      </c>
      <c r="C16" s="6">
        <f>C12*(2*C10)^C13</f>
        <v>46.85</v>
      </c>
      <c r="D16" s="14" t="s">
        <v>8</v>
      </c>
      <c r="AH16" s="6" t="s">
        <v>147</v>
      </c>
      <c r="AI16" s="6" cm="1">
        <f t="array" ref="AI16">INDEX(AH3:AH14,MATCH(C23,AH3:AH14,1)+1)</f>
        <v>100</v>
      </c>
    </row>
    <row r="17" spans="1:35" ht="15.75" thickBot="1" x14ac:dyDescent="0.3">
      <c r="A17" s="18" t="s">
        <v>23</v>
      </c>
      <c r="B17" s="19" t="s">
        <v>22</v>
      </c>
      <c r="C17" s="19">
        <f>IF(C4&lt;70,0.9,C15/C4)</f>
        <v>0.85254337487082676</v>
      </c>
      <c r="D17" s="20" t="s">
        <v>25</v>
      </c>
      <c r="AH17" s="6" t="s">
        <v>148</v>
      </c>
      <c r="AI17" s="6">
        <f>INDEX(AI3:AI14,MATCH(C23,AH3:AH14,1))</f>
        <v>1</v>
      </c>
    </row>
    <row r="18" spans="1:35" ht="15.75" thickBot="1" x14ac:dyDescent="0.3">
      <c r="A18" s="21"/>
      <c r="B18" s="21"/>
      <c r="C18" s="21"/>
      <c r="D18" s="21"/>
      <c r="AH18" s="6" t="s">
        <v>149</v>
      </c>
      <c r="AI18" s="6" cm="1">
        <f t="array" ref="AI18">INDEX(AI3:AI14,MATCH(C23,AH3:AH14,1)+1)</f>
        <v>1.008</v>
      </c>
    </row>
    <row r="19" spans="1:35" ht="15.75" thickBot="1" x14ac:dyDescent="0.3">
      <c r="A19" s="84" t="s">
        <v>41</v>
      </c>
      <c r="B19" s="85"/>
      <c r="C19" s="85"/>
      <c r="D19" s="86"/>
    </row>
    <row r="20" spans="1:35" ht="18" x14ac:dyDescent="0.35">
      <c r="A20" s="22" t="s">
        <v>59</v>
      </c>
      <c r="B20" s="23" t="s">
        <v>60</v>
      </c>
      <c r="C20" s="65" t="s">
        <v>55</v>
      </c>
      <c r="D20" s="24" t="s">
        <v>25</v>
      </c>
    </row>
    <row r="21" spans="1:35" ht="18" x14ac:dyDescent="0.35">
      <c r="A21" s="25" t="s">
        <v>101</v>
      </c>
      <c r="B21" s="26" t="s">
        <v>102</v>
      </c>
      <c r="C21" s="66">
        <v>0.75</v>
      </c>
      <c r="D21" s="14" t="s">
        <v>61</v>
      </c>
    </row>
    <row r="22" spans="1:35" x14ac:dyDescent="0.25">
      <c r="A22" s="25" t="s">
        <v>62</v>
      </c>
      <c r="B22" s="26"/>
      <c r="C22" s="66" t="s">
        <v>63</v>
      </c>
      <c r="D22" s="14"/>
    </row>
    <row r="23" spans="1:35" ht="18" x14ac:dyDescent="0.35">
      <c r="A23" s="25" t="s">
        <v>67</v>
      </c>
      <c r="B23" s="26" t="s">
        <v>68</v>
      </c>
      <c r="C23" s="64">
        <v>70</v>
      </c>
      <c r="D23" s="27" t="s">
        <v>69</v>
      </c>
    </row>
    <row r="24" spans="1:35" ht="15.75" thickBot="1" x14ac:dyDescent="0.3">
      <c r="A24" s="28" t="s">
        <v>70</v>
      </c>
      <c r="B24" s="29" t="s">
        <v>71</v>
      </c>
      <c r="C24" s="67">
        <v>0.95</v>
      </c>
      <c r="D24" s="30" t="s">
        <v>25</v>
      </c>
    </row>
    <row r="25" spans="1:35" ht="18" x14ac:dyDescent="0.35">
      <c r="A25" s="31" t="s">
        <v>150</v>
      </c>
      <c r="B25" s="10" t="s">
        <v>145</v>
      </c>
      <c r="C25" s="32">
        <f>IF(C23&lt;=AH3,AI3,AI17+(C23-AI15)*(AI18-AI17)/(AI16-AI15))</f>
        <v>1</v>
      </c>
      <c r="D25" s="33" t="s">
        <v>25</v>
      </c>
    </row>
    <row r="26" spans="1:35" ht="18.75" thickBot="1" x14ac:dyDescent="0.4">
      <c r="A26" s="34" t="s">
        <v>151</v>
      </c>
      <c r="B26" s="6" t="s">
        <v>152</v>
      </c>
      <c r="C26" s="35">
        <f>C25*C4</f>
        <v>93.7</v>
      </c>
      <c r="D26" s="36" t="str">
        <f>D4</f>
        <v>kpsi</v>
      </c>
    </row>
    <row r="27" spans="1:35" ht="18" x14ac:dyDescent="0.35">
      <c r="A27" s="37" t="s">
        <v>48</v>
      </c>
      <c r="B27" s="38" t="s">
        <v>42</v>
      </c>
      <c r="C27" s="38">
        <f>IF(C20="Ground",1.34*C26^-0.085,IF(C20="Machined/Cold-Drawn",2.7*C26^-0.265,IF(C20="Hot-Rolled",14.4*C26^-0.718,IF(C20="As-Forged",39.9*C26^-0.995))))</f>
        <v>0.81068618566728323</v>
      </c>
      <c r="D27" s="39" t="s">
        <v>25</v>
      </c>
    </row>
    <row r="28" spans="1:35" ht="18" x14ac:dyDescent="0.35">
      <c r="A28" s="40" t="s">
        <v>49</v>
      </c>
      <c r="B28" s="6" t="s">
        <v>43</v>
      </c>
      <c r="C28" s="6">
        <f>IF(C22="Pure Axial",1,IF(AND(C21&gt;=0.11,C21&lt;=2),(C21/0.3)^(-0.107),IF(C21&lt;=10,0.91*C21^(-0.157),"Error…")))</f>
        <v>0.90660982049384464</v>
      </c>
      <c r="D28" s="14" t="s">
        <v>25</v>
      </c>
    </row>
    <row r="29" spans="1:35" ht="18" x14ac:dyDescent="0.35">
      <c r="A29" s="40" t="s">
        <v>50</v>
      </c>
      <c r="B29" s="6" t="s">
        <v>44</v>
      </c>
      <c r="C29" s="6">
        <f>IF(C22="Bending",1,IF(C22="Pure Axial",0.85,IF(C22="Torsion",0.59,"Error…")))</f>
        <v>1</v>
      </c>
      <c r="D29" s="14" t="s">
        <v>25</v>
      </c>
    </row>
    <row r="30" spans="1:35" ht="18" x14ac:dyDescent="0.35">
      <c r="A30" s="40" t="s">
        <v>51</v>
      </c>
      <c r="B30" s="6" t="s">
        <v>45</v>
      </c>
      <c r="C30" s="6">
        <f>IF(C23&lt;=70,1,0.975+0.432*10^(-3)*C23-0.115*10^(-5)*C23^2+0.104*10^(-8)*C23^3-0.595*10^(-12)*C23^4)</f>
        <v>1</v>
      </c>
      <c r="D30" s="14" t="s">
        <v>25</v>
      </c>
    </row>
    <row r="31" spans="1:35" ht="18" x14ac:dyDescent="0.35">
      <c r="A31" s="40" t="s">
        <v>52</v>
      </c>
      <c r="B31" s="6" t="s">
        <v>46</v>
      </c>
      <c r="C31" s="6">
        <f>IF($C$24&lt;AE2,"No known K_e factor for this low of reliability, try slightly above 1?",IF($C$24&gt;=1,0.62,IF(AND($C$24&lt;AE3,$C$24&gt;=AE2),AF2+($C$24-AE2)*(AF3-AF2)/(AE3-AE2),IF(AND($C$24&lt;AE4,$C$24&gt;=AE3),AF3+($C$24-AE3)*(AF4-AF3)/(AE4-AE3),IF(AND($C$24&lt;AE5,$C$24&gt;=AE4),AF4+($C$24-AE4)*(AF5-AF4)/(AE5-AE4),IF(AND($C$24&lt;AE6,$C$24&gt;=AE5),AF5+($C$24-AE5)*(AF6-AF5)/(AE6-AE5),IF(AND($C$24&lt;AE7,$C$24&gt;=AE6),AF6+($C$24-AE6)*(AF7-AF6)/(AE7-AE6),IF(AND($C$24&lt;AE8,$C$24&gt;=AE7),AF7+($C$24-AE7)*(AF8-AF7)/(AE8-AE7),IF($C$24&gt;=AE8,AF8+($C$24-AE8)*(AF9-AF8)/(AE9-AE8))))))))))</f>
        <v>0.86799999999999999</v>
      </c>
      <c r="D31" s="14" t="s">
        <v>25</v>
      </c>
    </row>
    <row r="32" spans="1:35" ht="18" x14ac:dyDescent="0.35">
      <c r="A32" s="40" t="s">
        <v>53</v>
      </c>
      <c r="B32" s="6" t="s">
        <v>47</v>
      </c>
      <c r="C32" s="64">
        <v>1</v>
      </c>
      <c r="D32" s="14" t="s">
        <v>25</v>
      </c>
    </row>
    <row r="33" spans="1:5" ht="15.75" thickBot="1" x14ac:dyDescent="0.3">
      <c r="A33" s="18" t="s">
        <v>73</v>
      </c>
      <c r="B33" s="19"/>
      <c r="C33" s="19">
        <f>PRODUCT(C27:C32)</f>
        <v>0.63795921770572084</v>
      </c>
      <c r="D33" s="20" t="s">
        <v>25</v>
      </c>
    </row>
    <row r="34" spans="1:5" ht="18.75" thickBot="1" x14ac:dyDescent="0.4">
      <c r="A34" s="41" t="s">
        <v>37</v>
      </c>
      <c r="B34" s="42" t="s">
        <v>36</v>
      </c>
      <c r="C34" s="43">
        <f>C11*C27*C28*C29*C30*C31*C32</f>
        <v>29.88838934951302</v>
      </c>
      <c r="D34" s="44" t="str">
        <f>D11</f>
        <v>kpsi</v>
      </c>
    </row>
    <row r="35" spans="1:5" ht="15.75" thickBot="1" x14ac:dyDescent="0.3">
      <c r="A35" s="21"/>
      <c r="B35" s="21"/>
      <c r="C35" s="21"/>
      <c r="D35" s="45"/>
    </row>
    <row r="36" spans="1:5" x14ac:dyDescent="0.25">
      <c r="A36" s="90" t="s">
        <v>85</v>
      </c>
      <c r="B36" s="91"/>
      <c r="C36" s="91"/>
      <c r="D36" s="92"/>
    </row>
    <row r="37" spans="1:5" ht="18" x14ac:dyDescent="0.35">
      <c r="A37" s="40" t="s">
        <v>93</v>
      </c>
      <c r="B37" s="6" t="s">
        <v>94</v>
      </c>
      <c r="C37" s="64">
        <v>0.04</v>
      </c>
      <c r="D37" s="14" t="s">
        <v>61</v>
      </c>
    </row>
    <row r="38" spans="1:5" ht="18" x14ac:dyDescent="0.35">
      <c r="A38" s="40" t="s">
        <v>89</v>
      </c>
      <c r="B38" s="6" t="s">
        <v>88</v>
      </c>
      <c r="C38" s="64">
        <v>2.2000000000000002</v>
      </c>
      <c r="D38" s="14"/>
    </row>
    <row r="39" spans="1:5" x14ac:dyDescent="0.25">
      <c r="A39" s="40" t="s">
        <v>90</v>
      </c>
      <c r="B39" s="6" t="s">
        <v>91</v>
      </c>
      <c r="C39" s="15">
        <f>IF(C22="Torsion",0.19-2.51*10^-3*C4+1.35*10^-5*C4^2-2.67*10^-8*C4^3,0.246-3.08*10^-3*C4+1.51*10^-5*C4^2-2.67*10^-8*C4^3)</f>
        <v>6.8012378354899997E-2</v>
      </c>
      <c r="D39" s="14" t="s">
        <v>92</v>
      </c>
    </row>
    <row r="40" spans="1:5" x14ac:dyDescent="0.25">
      <c r="A40" s="40" t="s">
        <v>83</v>
      </c>
      <c r="B40" s="6" t="s">
        <v>84</v>
      </c>
      <c r="C40" s="15">
        <f>1/(1+C39/SQRT(C37))</f>
        <v>0.74623418973269018</v>
      </c>
      <c r="D40" s="14"/>
    </row>
    <row r="41" spans="1:5" x14ac:dyDescent="0.25">
      <c r="A41" s="40" t="s">
        <v>95</v>
      </c>
      <c r="B41" s="6" t="s">
        <v>84</v>
      </c>
      <c r="C41" s="15">
        <f>(C42-1)/(C38-1)</f>
        <v>0.74623418973269029</v>
      </c>
      <c r="D41" s="14" t="s">
        <v>25</v>
      </c>
    </row>
    <row r="42" spans="1:5" ht="18.75" thickBot="1" x14ac:dyDescent="0.4">
      <c r="A42" s="46" t="s">
        <v>86</v>
      </c>
      <c r="B42" s="19" t="s">
        <v>87</v>
      </c>
      <c r="C42" s="47">
        <f>1+C40*(C38-1)</f>
        <v>1.8954810276792284</v>
      </c>
      <c r="D42" s="20" t="s">
        <v>25</v>
      </c>
      <c r="E42" s="5" t="s">
        <v>96</v>
      </c>
    </row>
    <row r="43" spans="1:5" ht="15.75" thickBot="1" x14ac:dyDescent="0.3"/>
    <row r="44" spans="1:5" x14ac:dyDescent="0.25">
      <c r="A44" s="73" t="s">
        <v>32</v>
      </c>
      <c r="B44" s="74"/>
      <c r="C44" s="74"/>
      <c r="D44" s="75"/>
    </row>
    <row r="45" spans="1:5" x14ac:dyDescent="0.25">
      <c r="A45" s="13" t="s">
        <v>17</v>
      </c>
      <c r="B45" s="6" t="s">
        <v>16</v>
      </c>
      <c r="C45" s="6" t="e">
        <f>IF(C8&lt;=C9,C8,NA())</f>
        <v>#N/A</v>
      </c>
      <c r="D45" s="48" t="s">
        <v>25</v>
      </c>
    </row>
    <row r="46" spans="1:5" x14ac:dyDescent="0.25">
      <c r="A46" s="13"/>
      <c r="B46" s="6" t="s">
        <v>35</v>
      </c>
      <c r="C46" s="6">
        <f>C4</f>
        <v>93.7</v>
      </c>
      <c r="D46" s="48" t="str">
        <f>D4</f>
        <v>kpsi</v>
      </c>
    </row>
    <row r="47" spans="1:5" x14ac:dyDescent="0.25">
      <c r="A47" s="13"/>
      <c r="B47" s="6" t="s">
        <v>18</v>
      </c>
      <c r="C47" s="6">
        <f>-1/3*LOG(C17*C4/C11)</f>
        <v>-7.7248826500648432E-2</v>
      </c>
      <c r="D47" s="48" t="s">
        <v>25</v>
      </c>
    </row>
    <row r="48" spans="1:5" ht="18.75" thickBot="1" x14ac:dyDescent="0.4">
      <c r="A48" s="18" t="s">
        <v>12</v>
      </c>
      <c r="B48" s="19" t="s">
        <v>33</v>
      </c>
      <c r="C48" s="19" t="e">
        <f>C46*C45^(LOG(C17)/3)</f>
        <v>#N/A</v>
      </c>
      <c r="D48" s="49" t="str">
        <f>D4</f>
        <v>kpsi</v>
      </c>
      <c r="E48" s="5" t="s">
        <v>38</v>
      </c>
    </row>
    <row r="49" spans="1:5" x14ac:dyDescent="0.25">
      <c r="A49" s="87" t="s">
        <v>34</v>
      </c>
      <c r="B49" s="83"/>
      <c r="C49" s="83"/>
      <c r="D49" s="88"/>
    </row>
    <row r="50" spans="1:5" x14ac:dyDescent="0.25">
      <c r="A50" s="13" t="s">
        <v>17</v>
      </c>
      <c r="B50" s="6" t="s">
        <v>16</v>
      </c>
      <c r="C50" s="6">
        <f>IF(AND(C8&gt;C9,C8&lt;=C10),C8,NA())</f>
        <v>70000</v>
      </c>
      <c r="D50" s="14" t="s">
        <v>25</v>
      </c>
    </row>
    <row r="51" spans="1:5" x14ac:dyDescent="0.25">
      <c r="A51" s="13"/>
      <c r="B51" s="6" t="s">
        <v>35</v>
      </c>
      <c r="C51" s="6">
        <f>(C17*C26)^2/C34</f>
        <v>213.50578035538754</v>
      </c>
      <c r="D51" s="48" t="str">
        <f>D4</f>
        <v>kpsi</v>
      </c>
    </row>
    <row r="52" spans="1:5" x14ac:dyDescent="0.25">
      <c r="A52" s="13"/>
      <c r="B52" s="6" t="s">
        <v>18</v>
      </c>
      <c r="C52" s="6">
        <f>-1/3*LOG(C17*C26/C34)</f>
        <v>-0.14231785422654514</v>
      </c>
      <c r="D52" s="48" t="s">
        <v>25</v>
      </c>
    </row>
    <row r="53" spans="1:5" ht="18.75" thickBot="1" x14ac:dyDescent="0.4">
      <c r="A53" s="18" t="s">
        <v>12</v>
      </c>
      <c r="B53" s="19" t="s">
        <v>39</v>
      </c>
      <c r="C53" s="19">
        <f>C51*C50^C52</f>
        <v>43.638084692662439</v>
      </c>
      <c r="D53" s="49" t="str">
        <f>D4</f>
        <v>kpsi</v>
      </c>
      <c r="E53" s="5" t="s">
        <v>38</v>
      </c>
    </row>
    <row r="54" spans="1:5" x14ac:dyDescent="0.25">
      <c r="A54" s="73" t="s">
        <v>142</v>
      </c>
      <c r="B54" s="74"/>
      <c r="C54" s="74"/>
      <c r="D54" s="75"/>
    </row>
    <row r="55" spans="1:5" x14ac:dyDescent="0.25">
      <c r="A55" s="13" t="s">
        <v>17</v>
      </c>
      <c r="B55" s="6" t="s">
        <v>16</v>
      </c>
      <c r="C55" s="6" t="e">
        <f>IF(AND(ISNA(C48),ISNA(C53)),C8,NA())</f>
        <v>#N/A</v>
      </c>
      <c r="D55" s="50" t="s">
        <v>25</v>
      </c>
    </row>
    <row r="56" spans="1:5" ht="18.75" thickBot="1" x14ac:dyDescent="0.4">
      <c r="A56" s="18" t="s">
        <v>12</v>
      </c>
      <c r="B56" s="19" t="s">
        <v>141</v>
      </c>
      <c r="C56" s="51" t="e">
        <f>IF(ISNA(C55),NA(),C34)</f>
        <v>#N/A</v>
      </c>
      <c r="D56" s="49" t="str">
        <f>D7</f>
        <v>kpsi</v>
      </c>
    </row>
    <row r="57" spans="1:5" ht="15.75" thickBot="1" x14ac:dyDescent="0.3">
      <c r="A57" s="21"/>
      <c r="B57" s="21"/>
      <c r="C57" s="52"/>
      <c r="D57" s="21"/>
    </row>
    <row r="58" spans="1:5" x14ac:dyDescent="0.25">
      <c r="A58" s="73" t="s">
        <v>154</v>
      </c>
      <c r="B58" s="74"/>
      <c r="C58" s="74"/>
      <c r="D58" s="75"/>
    </row>
    <row r="59" spans="1:5" x14ac:dyDescent="0.25">
      <c r="A59" s="40" t="s">
        <v>17</v>
      </c>
      <c r="B59" s="15" t="s">
        <v>16</v>
      </c>
      <c r="C59" s="53">
        <f>C8</f>
        <v>70000</v>
      </c>
      <c r="D59" s="48" t="s">
        <v>25</v>
      </c>
    </row>
    <row r="60" spans="1:5" ht="18.75" thickBot="1" x14ac:dyDescent="0.4">
      <c r="A60" s="46" t="s">
        <v>12</v>
      </c>
      <c r="B60" s="19" t="s">
        <v>153</v>
      </c>
      <c r="C60" s="54">
        <f>IF(ISNUMBER(C48),C48,IF(ISNUMBER(C53),C53,C56))</f>
        <v>43.638084692662439</v>
      </c>
      <c r="D60" s="49" t="str">
        <f>D48</f>
        <v>kpsi</v>
      </c>
    </row>
    <row r="62" spans="1:5" ht="49.5" customHeight="1" x14ac:dyDescent="0.25">
      <c r="A62" s="89" t="s">
        <v>103</v>
      </c>
      <c r="B62" s="89"/>
      <c r="C62" s="89"/>
      <c r="D62" s="89"/>
    </row>
    <row r="63" spans="1:5" ht="18" x14ac:dyDescent="0.35">
      <c r="A63" s="6" t="s">
        <v>78</v>
      </c>
      <c r="B63" s="17" t="s">
        <v>77</v>
      </c>
      <c r="C63" s="64">
        <v>48.9</v>
      </c>
      <c r="D63" s="6" t="s">
        <v>8</v>
      </c>
    </row>
    <row r="64" spans="1:5" ht="18" x14ac:dyDescent="0.35">
      <c r="A64" s="6" t="s">
        <v>79</v>
      </c>
      <c r="B64" s="17" t="s">
        <v>76</v>
      </c>
      <c r="C64" s="64">
        <v>39.5</v>
      </c>
      <c r="D64" s="6" t="s">
        <v>8</v>
      </c>
    </row>
    <row r="65" spans="1:4" ht="18" x14ac:dyDescent="0.35">
      <c r="A65" s="6" t="s">
        <v>75</v>
      </c>
      <c r="B65" s="17" t="s">
        <v>74</v>
      </c>
      <c r="C65" s="6">
        <f>(C63+C64)/2</f>
        <v>44.2</v>
      </c>
      <c r="D65" s="6" t="s">
        <v>8</v>
      </c>
    </row>
    <row r="66" spans="1:4" ht="18" x14ac:dyDescent="0.35">
      <c r="A66" s="6" t="s">
        <v>107</v>
      </c>
      <c r="B66" s="17" t="s">
        <v>80</v>
      </c>
      <c r="C66" s="6">
        <f>ABS((C63-C64)/2)</f>
        <v>4.6999999999999993</v>
      </c>
      <c r="D66" s="6" t="s">
        <v>8</v>
      </c>
    </row>
    <row r="67" spans="1:4" ht="15.75" thickBot="1" x14ac:dyDescent="0.3"/>
    <row r="68" spans="1:4" ht="15.75" thickBot="1" x14ac:dyDescent="0.3">
      <c r="A68" s="80" t="s">
        <v>131</v>
      </c>
      <c r="B68" s="81"/>
      <c r="C68" s="81"/>
      <c r="D68" s="82"/>
    </row>
    <row r="69" spans="1:4" ht="18" x14ac:dyDescent="0.35">
      <c r="A69" s="9" t="s">
        <v>98</v>
      </c>
      <c r="B69" s="10" t="s">
        <v>99</v>
      </c>
      <c r="C69" s="10">
        <f>C34/C63</f>
        <v>0.6112145061250106</v>
      </c>
      <c r="D69" s="55" t="s">
        <v>25</v>
      </c>
    </row>
    <row r="70" spans="1:4" ht="18" x14ac:dyDescent="0.35">
      <c r="A70" s="13" t="s">
        <v>100</v>
      </c>
      <c r="B70" s="6" t="s">
        <v>97</v>
      </c>
      <c r="C70" s="56">
        <f>C34/(C42*C63)</f>
        <v>0.32245878339039025</v>
      </c>
      <c r="D70" s="48" t="s">
        <v>25</v>
      </c>
    </row>
    <row r="71" spans="1:4" ht="18" x14ac:dyDescent="0.35">
      <c r="A71" s="13" t="s">
        <v>104</v>
      </c>
      <c r="B71" s="6" t="s">
        <v>120</v>
      </c>
      <c r="C71" s="56">
        <f>1/(C66/C34+C65/IF(C22="Torsion",C5,C4))</f>
        <v>1.5899010792346475</v>
      </c>
      <c r="D71" s="48" t="s">
        <v>25</v>
      </c>
    </row>
    <row r="72" spans="1:4" ht="18" x14ac:dyDescent="0.35">
      <c r="A72" s="13" t="s">
        <v>105</v>
      </c>
      <c r="B72" s="6" t="s">
        <v>121</v>
      </c>
      <c r="C72" s="56">
        <f>IF(C22="Torsion",C7,C6)/(C66+C65)</f>
        <v>1.0633946830265848</v>
      </c>
      <c r="D72" s="48" t="s">
        <v>25</v>
      </c>
    </row>
    <row r="73" spans="1:4" ht="18" x14ac:dyDescent="0.35">
      <c r="A73" s="40" t="s">
        <v>123</v>
      </c>
      <c r="B73" s="6" t="s">
        <v>122</v>
      </c>
      <c r="C73" s="56">
        <f>(1/2)*(IF(C22="Torsion",C5,C4)/C65)^2*(C66/C34)*(SQRT(1+((2*C65*C34)/(IF(C22="Torsion",C5,C4)*C66))^2)-1)</f>
        <v>1.7958097033062286</v>
      </c>
      <c r="D73" s="48" t="s">
        <v>25</v>
      </c>
    </row>
    <row r="74" spans="1:4" ht="18.75" thickBot="1" x14ac:dyDescent="0.4">
      <c r="A74" s="46" t="s">
        <v>126</v>
      </c>
      <c r="B74" s="19" t="s">
        <v>127</v>
      </c>
      <c r="C74" s="47">
        <f>SQRT(1/((C66/C34)^2+(C65/IF(C22="Torsion",C7,C6))^2))</f>
        <v>1.1568402834696128</v>
      </c>
      <c r="D74" s="49" t="s">
        <v>25</v>
      </c>
    </row>
    <row r="164" spans="1:9" ht="15.75" thickBot="1" x14ac:dyDescent="0.3"/>
    <row r="165" spans="1:9" x14ac:dyDescent="0.25">
      <c r="B165" s="69" t="s">
        <v>139</v>
      </c>
      <c r="C165" s="72"/>
      <c r="D165" s="70"/>
    </row>
    <row r="166" spans="1:9" x14ac:dyDescent="0.25">
      <c r="B166" s="13" t="s">
        <v>16</v>
      </c>
      <c r="C166" s="6" t="s">
        <v>137</v>
      </c>
      <c r="D166" s="48" t="s">
        <v>138</v>
      </c>
      <c r="E166" s="23" t="s">
        <v>140</v>
      </c>
    </row>
    <row r="167" spans="1:9" x14ac:dyDescent="0.25">
      <c r="B167" s="13">
        <v>1</v>
      </c>
      <c r="C167" s="6">
        <f>C4</f>
        <v>93.7</v>
      </c>
      <c r="D167" s="48">
        <f>C167</f>
        <v>93.7</v>
      </c>
      <c r="E167" s="5">
        <f>C8-0.001</f>
        <v>69999.998999999996</v>
      </c>
      <c r="F167" s="5">
        <v>0</v>
      </c>
    </row>
    <row r="168" spans="1:9" x14ac:dyDescent="0.25">
      <c r="B168" s="13">
        <f>C9</f>
        <v>1000</v>
      </c>
      <c r="C168" s="6">
        <f>C15</f>
        <v>79.883314225396475</v>
      </c>
      <c r="D168" s="48">
        <f>C168</f>
        <v>79.883314225396475</v>
      </c>
      <c r="E168" s="5">
        <f>C8+0.001</f>
        <v>70000.001000000004</v>
      </c>
      <c r="F168" s="5">
        <f>IF(AND(ISNA(C48),ISNA(C53)),C56,IF(ISNA(C48),C53,C48))</f>
        <v>43.638084692662439</v>
      </c>
    </row>
    <row r="169" spans="1:9" x14ac:dyDescent="0.25">
      <c r="B169" s="13">
        <f>C10</f>
        <v>1000000</v>
      </c>
      <c r="C169" s="6">
        <f>C16</f>
        <v>46.85</v>
      </c>
      <c r="D169" s="48">
        <f>C169*C33</f>
        <v>29.888389349513023</v>
      </c>
    </row>
    <row r="170" spans="1:9" ht="15.75" thickBot="1" x14ac:dyDescent="0.3">
      <c r="B170" s="18">
        <f>B169*10^3</f>
        <v>1000000000</v>
      </c>
      <c r="C170" s="19">
        <f>C169</f>
        <v>46.85</v>
      </c>
      <c r="D170" s="49">
        <f>D169</f>
        <v>29.888389349513023</v>
      </c>
    </row>
    <row r="175" spans="1:9" ht="15.75" thickBot="1" x14ac:dyDescent="0.3"/>
    <row r="176" spans="1:9" x14ac:dyDescent="0.25">
      <c r="A176" s="9"/>
      <c r="B176" s="10" t="s">
        <v>106</v>
      </c>
      <c r="C176" s="10"/>
      <c r="D176" s="10"/>
      <c r="E176" s="10"/>
      <c r="F176" s="10"/>
      <c r="G176" s="10"/>
      <c r="H176" s="10"/>
      <c r="I176" s="55"/>
    </row>
    <row r="177" spans="1:9" x14ac:dyDescent="0.25">
      <c r="A177" s="13" t="s">
        <v>110</v>
      </c>
      <c r="B177" s="76" t="s">
        <v>112</v>
      </c>
      <c r="C177" s="76"/>
      <c r="D177" s="76" t="s">
        <v>111</v>
      </c>
      <c r="E177" s="76"/>
      <c r="F177" s="76" t="s">
        <v>109</v>
      </c>
      <c r="G177" s="76"/>
      <c r="H177" s="76" t="s">
        <v>134</v>
      </c>
      <c r="I177" s="79"/>
    </row>
    <row r="178" spans="1:9" x14ac:dyDescent="0.25">
      <c r="A178" s="13" t="s">
        <v>108</v>
      </c>
      <c r="B178" s="6" t="s">
        <v>75</v>
      </c>
      <c r="C178" s="6" t="s">
        <v>107</v>
      </c>
      <c r="D178" s="6" t="s">
        <v>75</v>
      </c>
      <c r="E178" s="6" t="s">
        <v>107</v>
      </c>
      <c r="F178" s="6" t="s">
        <v>75</v>
      </c>
      <c r="G178" s="6" t="s">
        <v>107</v>
      </c>
      <c r="H178" s="6" t="s">
        <v>75</v>
      </c>
      <c r="I178" s="48" t="s">
        <v>107</v>
      </c>
    </row>
    <row r="179" spans="1:9" x14ac:dyDescent="0.25">
      <c r="A179" s="13">
        <v>1</v>
      </c>
      <c r="B179" s="6">
        <v>0</v>
      </c>
      <c r="C179" s="6">
        <v>0</v>
      </c>
      <c r="D179" s="6">
        <v>0</v>
      </c>
      <c r="E179" s="57">
        <f>C34</f>
        <v>29.88838934951302</v>
      </c>
      <c r="F179" s="6">
        <v>0</v>
      </c>
      <c r="G179" s="6">
        <f>IF(C22="Torsion",C7,C6)</f>
        <v>52</v>
      </c>
      <c r="H179" s="6">
        <v>0</v>
      </c>
      <c r="I179" s="58">
        <f>C34</f>
        <v>29.88838934951302</v>
      </c>
    </row>
    <row r="180" spans="1:9" ht="15.75" thickBot="1" x14ac:dyDescent="0.3">
      <c r="A180" s="18">
        <v>2</v>
      </c>
      <c r="B180" s="19">
        <f>C65</f>
        <v>44.2</v>
      </c>
      <c r="C180" s="19">
        <f>C66</f>
        <v>4.6999999999999993</v>
      </c>
      <c r="D180" s="19">
        <f>IF(C22="Torsion",C5,C4)</f>
        <v>93.7</v>
      </c>
      <c r="E180" s="19">
        <v>0</v>
      </c>
      <c r="F180" s="19">
        <f>IF(C22="Torsion",C7,C6)</f>
        <v>52</v>
      </c>
      <c r="G180" s="19">
        <v>0</v>
      </c>
      <c r="H180" s="19">
        <f>IF(C22="Torsion",C7,C6)</f>
        <v>52</v>
      </c>
      <c r="I180" s="49">
        <v>0</v>
      </c>
    </row>
    <row r="185" spans="1:9" ht="15.75" thickBot="1" x14ac:dyDescent="0.3"/>
    <row r="186" spans="1:9" x14ac:dyDescent="0.25">
      <c r="A186" s="9" t="s">
        <v>118</v>
      </c>
      <c r="B186" s="10" t="s">
        <v>108</v>
      </c>
      <c r="C186" s="10" t="s">
        <v>113</v>
      </c>
      <c r="D186" s="55" t="s">
        <v>114</v>
      </c>
    </row>
    <row r="187" spans="1:9" x14ac:dyDescent="0.25">
      <c r="A187" s="77" t="s">
        <v>119</v>
      </c>
      <c r="B187" s="6">
        <v>1</v>
      </c>
      <c r="C187" s="6">
        <v>0</v>
      </c>
      <c r="D187" s="58">
        <f>C34</f>
        <v>29.88838934951302</v>
      </c>
    </row>
    <row r="188" spans="1:9" x14ac:dyDescent="0.25">
      <c r="A188" s="77"/>
      <c r="B188" s="6">
        <v>2</v>
      </c>
      <c r="C188" s="6">
        <f>IF(C22="Torsion",C5,C4)</f>
        <v>93.7</v>
      </c>
      <c r="D188" s="48">
        <f>IF(C22="Torsion",C5,C4)</f>
        <v>93.7</v>
      </c>
    </row>
    <row r="189" spans="1:9" x14ac:dyDescent="0.25">
      <c r="A189" s="77"/>
      <c r="B189" s="6">
        <v>3</v>
      </c>
      <c r="C189" s="6">
        <v>0</v>
      </c>
      <c r="D189" s="58">
        <f>-C34</f>
        <v>-29.88838934951302</v>
      </c>
    </row>
    <row r="190" spans="1:9" x14ac:dyDescent="0.25">
      <c r="A190" s="77" t="s">
        <v>115</v>
      </c>
      <c r="B190" s="6">
        <v>1</v>
      </c>
      <c r="C190" s="6">
        <f>C187</f>
        <v>0</v>
      </c>
      <c r="D190" s="58">
        <f>D187</f>
        <v>29.88838934951302</v>
      </c>
    </row>
    <row r="191" spans="1:9" x14ac:dyDescent="0.25">
      <c r="A191" s="77"/>
      <c r="B191" s="6">
        <v>2</v>
      </c>
      <c r="C191" s="6">
        <f>(IF(C22="Torsion",C7,C6)-C34)/((IF(C22="Torsion",C5,C4)-C34)/IF(C22="Torsion",C5,C4))</f>
        <v>32.468353279761928</v>
      </c>
      <c r="D191" s="48">
        <f>IF(C22="Torsion",C7,C6)</f>
        <v>52</v>
      </c>
    </row>
    <row r="192" spans="1:9" x14ac:dyDescent="0.25">
      <c r="A192" s="77"/>
      <c r="B192" s="6">
        <v>3</v>
      </c>
      <c r="C192" s="6">
        <f>IF(C22="Torsion",C7,C6)</f>
        <v>52</v>
      </c>
      <c r="D192" s="48">
        <f>IF(C22="Torsion",C7,C6)</f>
        <v>52</v>
      </c>
    </row>
    <row r="193" spans="1:5" x14ac:dyDescent="0.25">
      <c r="A193" s="77"/>
      <c r="B193" s="6">
        <v>4</v>
      </c>
      <c r="C193" s="6">
        <f>C191</f>
        <v>32.468353279761928</v>
      </c>
      <c r="D193" s="48">
        <f>-C34+((D189-D188)/(C189-C188))*(C193-0)</f>
        <v>12.936706559523856</v>
      </c>
    </row>
    <row r="194" spans="1:5" x14ac:dyDescent="0.25">
      <c r="A194" s="77"/>
      <c r="B194" s="6">
        <v>5</v>
      </c>
      <c r="C194" s="57">
        <v>0</v>
      </c>
      <c r="D194" s="58">
        <f>-C34</f>
        <v>-29.88838934951302</v>
      </c>
    </row>
    <row r="195" spans="1:5" x14ac:dyDescent="0.25">
      <c r="A195" s="77" t="s">
        <v>116</v>
      </c>
      <c r="B195" s="6">
        <v>1</v>
      </c>
      <c r="C195" s="6">
        <v>0</v>
      </c>
      <c r="D195" s="48">
        <v>0</v>
      </c>
    </row>
    <row r="196" spans="1:5" x14ac:dyDescent="0.25">
      <c r="A196" s="77"/>
      <c r="B196" s="6">
        <v>2</v>
      </c>
      <c r="C196" s="6">
        <f>IF(C22="Torsion",C5,C4)</f>
        <v>93.7</v>
      </c>
      <c r="D196" s="48">
        <f>IF(C22="Torsion",C5,C4)</f>
        <v>93.7</v>
      </c>
    </row>
    <row r="197" spans="1:5" x14ac:dyDescent="0.25">
      <c r="A197" s="77" t="s">
        <v>117</v>
      </c>
      <c r="B197" s="6">
        <v>1</v>
      </c>
      <c r="C197" s="6">
        <f>C65-0.00001</f>
        <v>44.19999</v>
      </c>
      <c r="D197" s="48">
        <f>C64</f>
        <v>39.5</v>
      </c>
    </row>
    <row r="198" spans="1:5" ht="15.75" thickBot="1" x14ac:dyDescent="0.3">
      <c r="A198" s="78"/>
      <c r="B198" s="19">
        <v>2</v>
      </c>
      <c r="C198" s="19">
        <f>C65+0.00001</f>
        <v>44.200010000000006</v>
      </c>
      <c r="D198" s="49">
        <f>C63</f>
        <v>48.9</v>
      </c>
    </row>
    <row r="200" spans="1:5" ht="15.75" thickBot="1" x14ac:dyDescent="0.3"/>
    <row r="201" spans="1:5" x14ac:dyDescent="0.25">
      <c r="A201" s="59"/>
      <c r="B201" s="69" t="s">
        <v>132</v>
      </c>
      <c r="C201" s="70"/>
      <c r="D201" s="71" t="s">
        <v>133</v>
      </c>
      <c r="E201" s="70"/>
    </row>
    <row r="202" spans="1:5" x14ac:dyDescent="0.25">
      <c r="A202" s="60" t="s">
        <v>108</v>
      </c>
      <c r="B202" s="13" t="s">
        <v>113</v>
      </c>
      <c r="C202" s="48" t="s">
        <v>114</v>
      </c>
      <c r="D202" s="61" t="s">
        <v>113</v>
      </c>
      <c r="E202" s="48" t="s">
        <v>114</v>
      </c>
    </row>
    <row r="203" spans="1:5" x14ac:dyDescent="0.25">
      <c r="A203" s="60">
        <v>0</v>
      </c>
      <c r="B203" s="13">
        <f t="shared" ref="B203:B234" si="0">IF($C$22="Torsion",$C$5,$C$4)*A203/$A$253</f>
        <v>0</v>
      </c>
      <c r="C203" s="48">
        <f t="shared" ref="C203:C234" si="1">(1-(B203/IF($C$22="Torsion",$C$5,$C$4))^2)*$C$34</f>
        <v>29.88838934951302</v>
      </c>
      <c r="D203" s="61">
        <f t="shared" ref="D203:D234" si="2">IF($C$22="Torsion",$C$7,$C$6)*A203/$A$253</f>
        <v>0</v>
      </c>
      <c r="E203" s="48">
        <f t="shared" ref="E203:E234" si="3">SQRT((1-(D203/IF($C$22="Torsion",$C$7,$C$6))^2)*$C$34^2)</f>
        <v>29.88838934951302</v>
      </c>
    </row>
    <row r="204" spans="1:5" x14ac:dyDescent="0.25">
      <c r="A204" s="60">
        <v>1</v>
      </c>
      <c r="B204" s="13">
        <f t="shared" si="0"/>
        <v>1.8740000000000001</v>
      </c>
      <c r="C204" s="48">
        <f t="shared" si="1"/>
        <v>29.876433993773215</v>
      </c>
      <c r="D204" s="61">
        <f t="shared" si="2"/>
        <v>1.04</v>
      </c>
      <c r="E204" s="48">
        <f t="shared" si="3"/>
        <v>29.882411073755748</v>
      </c>
    </row>
    <row r="205" spans="1:5" x14ac:dyDescent="0.25">
      <c r="A205" s="60">
        <v>2</v>
      </c>
      <c r="B205" s="13">
        <f t="shared" si="0"/>
        <v>3.7480000000000002</v>
      </c>
      <c r="C205" s="48">
        <f t="shared" si="1"/>
        <v>29.840567926553799</v>
      </c>
      <c r="D205" s="61">
        <f t="shared" si="2"/>
        <v>2.08</v>
      </c>
      <c r="E205" s="48">
        <f t="shared" si="3"/>
        <v>29.864469066089729</v>
      </c>
    </row>
    <row r="206" spans="1:5" x14ac:dyDescent="0.25">
      <c r="A206" s="60">
        <v>3</v>
      </c>
      <c r="B206" s="13">
        <f t="shared" si="0"/>
        <v>5.6220000000000008</v>
      </c>
      <c r="C206" s="48">
        <f t="shared" si="1"/>
        <v>29.780791147854771</v>
      </c>
      <c r="D206" s="61">
        <f t="shared" si="2"/>
        <v>3.12</v>
      </c>
      <c r="E206" s="48">
        <f t="shared" si="3"/>
        <v>29.834541742142012</v>
      </c>
    </row>
    <row r="207" spans="1:5" x14ac:dyDescent="0.25">
      <c r="A207" s="60">
        <v>4</v>
      </c>
      <c r="B207" s="13">
        <f t="shared" si="0"/>
        <v>7.4960000000000004</v>
      </c>
      <c r="C207" s="48">
        <f t="shared" si="1"/>
        <v>29.697103657676138</v>
      </c>
      <c r="D207" s="61">
        <f t="shared" si="2"/>
        <v>4.16</v>
      </c>
      <c r="E207" s="48">
        <f t="shared" si="3"/>
        <v>29.792592983382157</v>
      </c>
    </row>
    <row r="208" spans="1:5" x14ac:dyDescent="0.25">
      <c r="A208" s="60">
        <v>5</v>
      </c>
      <c r="B208" s="13">
        <f t="shared" si="0"/>
        <v>9.3699999999999992</v>
      </c>
      <c r="C208" s="48">
        <f t="shared" si="1"/>
        <v>29.589505456017889</v>
      </c>
      <c r="D208" s="61">
        <f t="shared" si="2"/>
        <v>5.2</v>
      </c>
      <c r="E208" s="48">
        <f t="shared" si="3"/>
        <v>29.738571918116754</v>
      </c>
    </row>
    <row r="209" spans="1:5" x14ac:dyDescent="0.25">
      <c r="A209" s="60">
        <v>6</v>
      </c>
      <c r="B209" s="13">
        <f t="shared" si="0"/>
        <v>11.244000000000002</v>
      </c>
      <c r="C209" s="48">
        <f t="shared" si="1"/>
        <v>29.457996542880032</v>
      </c>
      <c r="D209" s="61">
        <f t="shared" si="2"/>
        <v>6.24</v>
      </c>
      <c r="E209" s="48">
        <f t="shared" si="3"/>
        <v>29.672412610541244</v>
      </c>
    </row>
    <row r="210" spans="1:5" x14ac:dyDescent="0.25">
      <c r="A210" s="60">
        <v>7</v>
      </c>
      <c r="B210" s="13">
        <f t="shared" si="0"/>
        <v>13.118</v>
      </c>
      <c r="C210" s="48">
        <f t="shared" si="1"/>
        <v>29.302576918262567</v>
      </c>
      <c r="D210" s="61">
        <f t="shared" si="2"/>
        <v>7.28</v>
      </c>
      <c r="E210" s="48">
        <f t="shared" si="3"/>
        <v>29.594033653374879</v>
      </c>
    </row>
    <row r="211" spans="1:5" x14ac:dyDescent="0.25">
      <c r="A211" s="60">
        <v>8</v>
      </c>
      <c r="B211" s="13">
        <f t="shared" si="0"/>
        <v>14.992000000000001</v>
      </c>
      <c r="C211" s="48">
        <f t="shared" si="1"/>
        <v>29.123246582165489</v>
      </c>
      <c r="D211" s="61">
        <f t="shared" si="2"/>
        <v>8.32</v>
      </c>
      <c r="E211" s="48">
        <f t="shared" si="3"/>
        <v>29.503337658130079</v>
      </c>
    </row>
    <row r="212" spans="1:5" x14ac:dyDescent="0.25">
      <c r="A212" s="60">
        <v>9</v>
      </c>
      <c r="B212" s="13">
        <f t="shared" si="0"/>
        <v>16.866</v>
      </c>
      <c r="C212" s="48">
        <f t="shared" si="1"/>
        <v>28.9200055345888</v>
      </c>
      <c r="D212" s="61">
        <f t="shared" si="2"/>
        <v>9.36</v>
      </c>
      <c r="E212" s="48">
        <f t="shared" si="3"/>
        <v>29.400210635433574</v>
      </c>
    </row>
    <row r="213" spans="1:5" x14ac:dyDescent="0.25">
      <c r="A213" s="60">
        <v>10</v>
      </c>
      <c r="B213" s="13">
        <f t="shared" si="0"/>
        <v>18.739999999999998</v>
      </c>
      <c r="C213" s="48">
        <f t="shared" si="1"/>
        <v>28.692853775532498</v>
      </c>
      <c r="D213" s="61">
        <f t="shared" si="2"/>
        <v>10.4</v>
      </c>
      <c r="E213" s="48">
        <f t="shared" si="3"/>
        <v>29.284521255976852</v>
      </c>
    </row>
    <row r="214" spans="1:5" x14ac:dyDescent="0.25">
      <c r="A214" s="60">
        <v>11</v>
      </c>
      <c r="B214" s="13">
        <f t="shared" si="0"/>
        <v>20.614000000000001</v>
      </c>
      <c r="C214" s="48">
        <f t="shared" si="1"/>
        <v>28.441791304996588</v>
      </c>
      <c r="D214" s="61">
        <f t="shared" si="2"/>
        <v>11.44</v>
      </c>
      <c r="E214" s="48">
        <f t="shared" si="3"/>
        <v>29.156119980568953</v>
      </c>
    </row>
    <row r="215" spans="1:5" x14ac:dyDescent="0.25">
      <c r="A215" s="60">
        <v>12</v>
      </c>
      <c r="B215" s="13">
        <f t="shared" si="0"/>
        <v>22.488000000000003</v>
      </c>
      <c r="C215" s="48">
        <f t="shared" si="1"/>
        <v>28.16681812298107</v>
      </c>
      <c r="D215" s="61">
        <f t="shared" si="2"/>
        <v>12.48</v>
      </c>
      <c r="E215" s="48">
        <f t="shared" si="3"/>
        <v>29.014838045327391</v>
      </c>
    </row>
    <row r="216" spans="1:5" x14ac:dyDescent="0.25">
      <c r="A216" s="60">
        <v>13</v>
      </c>
      <c r="B216" s="13">
        <f t="shared" si="0"/>
        <v>24.362000000000002</v>
      </c>
      <c r="C216" s="48">
        <f t="shared" si="1"/>
        <v>27.86793422948594</v>
      </c>
      <c r="D216" s="61">
        <f t="shared" si="2"/>
        <v>13.52</v>
      </c>
      <c r="E216" s="48">
        <f t="shared" si="3"/>
        <v>28.86048628518752</v>
      </c>
    </row>
    <row r="217" spans="1:5" x14ac:dyDescent="0.25">
      <c r="A217" s="60">
        <v>14</v>
      </c>
      <c r="B217" s="13">
        <f t="shared" si="0"/>
        <v>26.236000000000001</v>
      </c>
      <c r="C217" s="48">
        <f t="shared" si="1"/>
        <v>27.545139624511197</v>
      </c>
      <c r="D217" s="61">
        <f t="shared" si="2"/>
        <v>14.56</v>
      </c>
      <c r="E217" s="48">
        <f t="shared" si="3"/>
        <v>28.692853775532498</v>
      </c>
    </row>
    <row r="218" spans="1:5" x14ac:dyDescent="0.25">
      <c r="A218" s="60">
        <v>15</v>
      </c>
      <c r="B218" s="13">
        <f t="shared" si="0"/>
        <v>28.11</v>
      </c>
      <c r="C218" s="48">
        <f t="shared" si="1"/>
        <v>27.19843430805685</v>
      </c>
      <c r="D218" s="61">
        <f t="shared" si="2"/>
        <v>15.6</v>
      </c>
      <c r="E218" s="48">
        <f t="shared" si="3"/>
        <v>28.511706267713194</v>
      </c>
    </row>
    <row r="219" spans="1:5" x14ac:dyDescent="0.25">
      <c r="A219" s="60">
        <v>16</v>
      </c>
      <c r="B219" s="13">
        <f t="shared" si="0"/>
        <v>29.984000000000002</v>
      </c>
      <c r="C219" s="48">
        <f t="shared" si="1"/>
        <v>26.827818280122884</v>
      </c>
      <c r="D219" s="61">
        <f t="shared" si="2"/>
        <v>16.64</v>
      </c>
      <c r="E219" s="48">
        <f t="shared" si="3"/>
        <v>28.316784389374011</v>
      </c>
    </row>
    <row r="220" spans="1:5" x14ac:dyDescent="0.25">
      <c r="A220" s="60">
        <v>17</v>
      </c>
      <c r="B220" s="13">
        <f t="shared" si="0"/>
        <v>31.858000000000001</v>
      </c>
      <c r="C220" s="48">
        <f t="shared" si="1"/>
        <v>26.433291540709316</v>
      </c>
      <c r="D220" s="61">
        <f t="shared" si="2"/>
        <v>17.68</v>
      </c>
      <c r="E220" s="48">
        <f t="shared" si="3"/>
        <v>28.107801574614637</v>
      </c>
    </row>
    <row r="221" spans="1:5" x14ac:dyDescent="0.25">
      <c r="A221" s="60">
        <v>18</v>
      </c>
      <c r="B221" s="13">
        <f t="shared" si="0"/>
        <v>33.731999999999999</v>
      </c>
      <c r="C221" s="48">
        <f t="shared" si="1"/>
        <v>26.014854089816133</v>
      </c>
      <c r="D221" s="61">
        <f t="shared" si="2"/>
        <v>18.72</v>
      </c>
      <c r="E221" s="48">
        <f t="shared" si="3"/>
        <v>27.884441681826726</v>
      </c>
    </row>
    <row r="222" spans="1:5" x14ac:dyDescent="0.25">
      <c r="A222" s="60">
        <v>19</v>
      </c>
      <c r="B222" s="13">
        <f t="shared" si="0"/>
        <v>35.606000000000002</v>
      </c>
      <c r="C222" s="48">
        <f t="shared" si="1"/>
        <v>25.572505927443341</v>
      </c>
      <c r="D222" s="61">
        <f t="shared" si="2"/>
        <v>19.760000000000002</v>
      </c>
      <c r="E222" s="48">
        <f t="shared" si="3"/>
        <v>27.646356248195822</v>
      </c>
    </row>
    <row r="223" spans="1:5" x14ac:dyDescent="0.25">
      <c r="A223" s="60">
        <v>20</v>
      </c>
      <c r="B223" s="13">
        <f t="shared" si="0"/>
        <v>37.479999999999997</v>
      </c>
      <c r="C223" s="48">
        <f t="shared" si="1"/>
        <v>25.106247053590938</v>
      </c>
      <c r="D223" s="61">
        <f t="shared" si="2"/>
        <v>20.8</v>
      </c>
      <c r="E223" s="48">
        <f t="shared" si="3"/>
        <v>27.393161318891071</v>
      </c>
    </row>
    <row r="224" spans="1:5" x14ac:dyDescent="0.25">
      <c r="A224" s="60">
        <v>21</v>
      </c>
      <c r="B224" s="13">
        <f t="shared" si="0"/>
        <v>39.353999999999999</v>
      </c>
      <c r="C224" s="48">
        <f t="shared" si="1"/>
        <v>24.616077468258922</v>
      </c>
      <c r="D224" s="61">
        <f t="shared" si="2"/>
        <v>21.84</v>
      </c>
      <c r="E224" s="48">
        <f t="shared" si="3"/>
        <v>27.124433775271648</v>
      </c>
    </row>
    <row r="225" spans="1:5" x14ac:dyDescent="0.25">
      <c r="A225" s="60">
        <v>22</v>
      </c>
      <c r="B225" s="13">
        <f t="shared" si="0"/>
        <v>41.228000000000002</v>
      </c>
      <c r="C225" s="48">
        <f t="shared" si="1"/>
        <v>24.101997171447298</v>
      </c>
      <c r="D225" s="61">
        <f t="shared" si="2"/>
        <v>22.88</v>
      </c>
      <c r="E225" s="48">
        <f t="shared" si="3"/>
        <v>26.839707069211439</v>
      </c>
    </row>
    <row r="226" spans="1:5" x14ac:dyDescent="0.25">
      <c r="A226" s="60">
        <v>23</v>
      </c>
      <c r="B226" s="13">
        <f t="shared" si="0"/>
        <v>43.101999999999997</v>
      </c>
      <c r="C226" s="48">
        <f t="shared" si="1"/>
        <v>23.564006163156066</v>
      </c>
      <c r="D226" s="61">
        <f t="shared" si="2"/>
        <v>23.92</v>
      </c>
      <c r="E226" s="48">
        <f t="shared" si="3"/>
        <v>26.538466248800681</v>
      </c>
    </row>
    <row r="227" spans="1:5" x14ac:dyDescent="0.25">
      <c r="A227" s="60">
        <v>24</v>
      </c>
      <c r="B227" s="13">
        <f t="shared" si="0"/>
        <v>44.976000000000006</v>
      </c>
      <c r="C227" s="48">
        <f t="shared" si="1"/>
        <v>23.002104443385218</v>
      </c>
      <c r="D227" s="61">
        <f t="shared" si="2"/>
        <v>24.96</v>
      </c>
      <c r="E227" s="48">
        <f t="shared" si="3"/>
        <v>26.220142132758564</v>
      </c>
    </row>
    <row r="228" spans="1:5" x14ac:dyDescent="0.25">
      <c r="A228" s="60">
        <v>25</v>
      </c>
      <c r="B228" s="13">
        <f t="shared" si="0"/>
        <v>46.85</v>
      </c>
      <c r="C228" s="48">
        <f t="shared" si="1"/>
        <v>22.416292012134765</v>
      </c>
      <c r="D228" s="61">
        <f t="shared" si="2"/>
        <v>26</v>
      </c>
      <c r="E228" s="48">
        <f t="shared" si="3"/>
        <v>25.884104454878528</v>
      </c>
    </row>
    <row r="229" spans="1:5" x14ac:dyDescent="0.25">
      <c r="A229" s="60">
        <v>26</v>
      </c>
      <c r="B229" s="13">
        <f t="shared" si="0"/>
        <v>48.724000000000004</v>
      </c>
      <c r="C229" s="48">
        <f t="shared" si="1"/>
        <v>21.8065688694047</v>
      </c>
      <c r="D229" s="61">
        <f t="shared" si="2"/>
        <v>27.04</v>
      </c>
      <c r="E229" s="48">
        <f t="shared" si="3"/>
        <v>25.529653752954378</v>
      </c>
    </row>
    <row r="230" spans="1:5" x14ac:dyDescent="0.25">
      <c r="A230" s="60">
        <v>27</v>
      </c>
      <c r="B230" s="13">
        <f t="shared" si="0"/>
        <v>50.597999999999999</v>
      </c>
      <c r="C230" s="48">
        <f t="shared" si="1"/>
        <v>21.172935015195026</v>
      </c>
      <c r="D230" s="61">
        <f t="shared" si="2"/>
        <v>28.08</v>
      </c>
      <c r="E230" s="48">
        <f t="shared" si="3"/>
        <v>25.156011715017275</v>
      </c>
    </row>
    <row r="231" spans="1:5" x14ac:dyDescent="0.25">
      <c r="A231" s="60">
        <v>28</v>
      </c>
      <c r="B231" s="13">
        <f t="shared" si="0"/>
        <v>52.472000000000001</v>
      </c>
      <c r="C231" s="48">
        <f t="shared" si="1"/>
        <v>20.515390449505741</v>
      </c>
      <c r="D231" s="61">
        <f t="shared" si="2"/>
        <v>29.12</v>
      </c>
      <c r="E231" s="48">
        <f t="shared" si="3"/>
        <v>24.762309613848792</v>
      </c>
    </row>
    <row r="232" spans="1:5" x14ac:dyDescent="0.25">
      <c r="A232" s="60">
        <v>29</v>
      </c>
      <c r="B232" s="13">
        <f t="shared" si="0"/>
        <v>54.346000000000004</v>
      </c>
      <c r="C232" s="48">
        <f t="shared" si="1"/>
        <v>19.83393517233684</v>
      </c>
      <c r="D232" s="61">
        <f t="shared" si="2"/>
        <v>30.16</v>
      </c>
      <c r="E232" s="48">
        <f t="shared" si="3"/>
        <v>24.347574350719295</v>
      </c>
    </row>
    <row r="233" spans="1:5" x14ac:dyDescent="0.25">
      <c r="A233" s="60">
        <v>30</v>
      </c>
      <c r="B233" s="13">
        <f t="shared" si="0"/>
        <v>56.22</v>
      </c>
      <c r="C233" s="48">
        <f t="shared" si="1"/>
        <v>19.128569183688334</v>
      </c>
      <c r="D233" s="61">
        <f t="shared" si="2"/>
        <v>31.2</v>
      </c>
      <c r="E233" s="48">
        <f t="shared" si="3"/>
        <v>23.910711479610416</v>
      </c>
    </row>
    <row r="234" spans="1:5" x14ac:dyDescent="0.25">
      <c r="A234" s="60">
        <v>31</v>
      </c>
      <c r="B234" s="13">
        <f t="shared" si="0"/>
        <v>58.094000000000008</v>
      </c>
      <c r="C234" s="48">
        <f t="shared" si="1"/>
        <v>18.399292483560213</v>
      </c>
      <c r="D234" s="61">
        <f t="shared" si="2"/>
        <v>32.24</v>
      </c>
      <c r="E234" s="48">
        <f t="shared" si="3"/>
        <v>23.450484376750431</v>
      </c>
    </row>
    <row r="235" spans="1:5" x14ac:dyDescent="0.25">
      <c r="A235" s="60">
        <v>32</v>
      </c>
      <c r="B235" s="13">
        <f t="shared" ref="B235:B253" si="4">IF($C$22="Torsion",$C$5,$C$4)*A235/$A$253</f>
        <v>59.968000000000004</v>
      </c>
      <c r="C235" s="48">
        <f t="shared" ref="C235:C253" si="5">(1-(B235/IF($C$22="Torsion",$C$5,$C$4))^2)*$C$34</f>
        <v>17.646105071952487</v>
      </c>
      <c r="D235" s="61">
        <f t="shared" ref="D235:D253" si="6">IF($C$22="Torsion",$C$7,$C$6)*A235/$A$253</f>
        <v>33.28</v>
      </c>
      <c r="E235" s="48">
        <f t="shared" ref="E235:E253" si="7">SQRT((1-(D235/IF($C$22="Torsion",$C$7,$C$6))^2)*$C$34^2)</f>
        <v>22.965488431403596</v>
      </c>
    </row>
    <row r="236" spans="1:5" x14ac:dyDescent="0.25">
      <c r="A236" s="60">
        <v>33</v>
      </c>
      <c r="B236" s="13">
        <f t="shared" si="4"/>
        <v>61.841999999999999</v>
      </c>
      <c r="C236" s="48">
        <f t="shared" si="5"/>
        <v>16.869006948865152</v>
      </c>
      <c r="D236" s="61">
        <f t="shared" si="6"/>
        <v>34.32</v>
      </c>
      <c r="E236" s="48">
        <f t="shared" si="7"/>
        <v>22.454118723016546</v>
      </c>
    </row>
    <row r="237" spans="1:5" x14ac:dyDescent="0.25">
      <c r="A237" s="60">
        <v>34</v>
      </c>
      <c r="B237" s="13">
        <f t="shared" si="4"/>
        <v>63.716000000000001</v>
      </c>
      <c r="C237" s="48">
        <f t="shared" si="5"/>
        <v>16.067998114298202</v>
      </c>
      <c r="D237" s="61">
        <f t="shared" si="6"/>
        <v>35.36</v>
      </c>
      <c r="E237" s="48">
        <f t="shared" si="7"/>
        <v>21.914529055112858</v>
      </c>
    </row>
    <row r="238" spans="1:5" x14ac:dyDescent="0.25">
      <c r="A238" s="60">
        <v>35</v>
      </c>
      <c r="B238" s="13">
        <f t="shared" si="4"/>
        <v>65.59</v>
      </c>
      <c r="C238" s="48">
        <f t="shared" si="5"/>
        <v>15.243078568251637</v>
      </c>
      <c r="D238" s="61">
        <f t="shared" si="6"/>
        <v>36.4</v>
      </c>
      <c r="E238" s="48">
        <f t="shared" si="7"/>
        <v>21.344579338396962</v>
      </c>
    </row>
    <row r="239" spans="1:5" x14ac:dyDescent="0.25">
      <c r="A239" s="60">
        <v>36</v>
      </c>
      <c r="B239" s="13">
        <f t="shared" si="4"/>
        <v>67.463999999999999</v>
      </c>
      <c r="C239" s="48">
        <f t="shared" si="5"/>
        <v>14.394248310725471</v>
      </c>
      <c r="D239" s="61">
        <f t="shared" si="6"/>
        <v>37.44</v>
      </c>
      <c r="E239" s="48">
        <f t="shared" si="7"/>
        <v>20.741766990893829</v>
      </c>
    </row>
    <row r="240" spans="1:5" x14ac:dyDescent="0.25">
      <c r="A240" s="60">
        <v>37</v>
      </c>
      <c r="B240" s="13">
        <f t="shared" si="4"/>
        <v>69.338000000000008</v>
      </c>
      <c r="C240" s="48">
        <f t="shared" si="5"/>
        <v>13.521507341719683</v>
      </c>
      <c r="D240" s="61">
        <f t="shared" si="6"/>
        <v>38.479999999999997</v>
      </c>
      <c r="E240" s="48">
        <f t="shared" si="7"/>
        <v>20.103135974807934</v>
      </c>
    </row>
    <row r="241" spans="1:5" x14ac:dyDescent="0.25">
      <c r="A241" s="60">
        <v>38</v>
      </c>
      <c r="B241" s="13">
        <f t="shared" si="4"/>
        <v>71.212000000000003</v>
      </c>
      <c r="C241" s="48">
        <f t="shared" si="5"/>
        <v>12.624855661234299</v>
      </c>
      <c r="D241" s="61">
        <f t="shared" si="6"/>
        <v>39.520000000000003</v>
      </c>
      <c r="E241" s="48">
        <f t="shared" si="7"/>
        <v>19.425153834252495</v>
      </c>
    </row>
    <row r="242" spans="1:5" x14ac:dyDescent="0.25">
      <c r="A242" s="60">
        <v>39</v>
      </c>
      <c r="B242" s="13">
        <f t="shared" si="4"/>
        <v>73.085999999999999</v>
      </c>
      <c r="C242" s="48">
        <f t="shared" si="5"/>
        <v>11.704293269269304</v>
      </c>
      <c r="D242" s="61">
        <f t="shared" si="6"/>
        <v>40.56</v>
      </c>
      <c r="E242" s="48">
        <f t="shared" si="7"/>
        <v>18.703541757988123</v>
      </c>
    </row>
    <row r="243" spans="1:5" x14ac:dyDescent="0.25">
      <c r="A243" s="60">
        <v>40</v>
      </c>
      <c r="B243" s="13">
        <f t="shared" si="4"/>
        <v>74.959999999999994</v>
      </c>
      <c r="C243" s="48">
        <f t="shared" si="5"/>
        <v>10.75982016582469</v>
      </c>
      <c r="D243" s="61">
        <f t="shared" si="6"/>
        <v>41.6</v>
      </c>
      <c r="E243" s="48">
        <f t="shared" si="7"/>
        <v>17.93303360970781</v>
      </c>
    </row>
    <row r="244" spans="1:5" x14ac:dyDescent="0.25">
      <c r="A244" s="60">
        <v>41</v>
      </c>
      <c r="B244" s="13">
        <f t="shared" si="4"/>
        <v>76.834000000000003</v>
      </c>
      <c r="C244" s="48">
        <f t="shared" si="5"/>
        <v>9.7914363509004616</v>
      </c>
      <c r="D244" s="61">
        <f t="shared" si="6"/>
        <v>42.64</v>
      </c>
      <c r="E244" s="48">
        <f t="shared" si="7"/>
        <v>17.107023760627914</v>
      </c>
    </row>
    <row r="245" spans="1:5" x14ac:dyDescent="0.25">
      <c r="A245" s="60">
        <v>42</v>
      </c>
      <c r="B245" s="13">
        <f t="shared" si="4"/>
        <v>78.707999999999998</v>
      </c>
      <c r="C245" s="48">
        <f t="shared" si="5"/>
        <v>8.7991418244966368</v>
      </c>
      <c r="D245" s="61">
        <f t="shared" si="6"/>
        <v>43.68</v>
      </c>
      <c r="E245" s="48">
        <f t="shared" si="7"/>
        <v>16.217033538601932</v>
      </c>
    </row>
    <row r="246" spans="1:5" x14ac:dyDescent="0.25">
      <c r="A246" s="60">
        <v>43</v>
      </c>
      <c r="B246" s="13">
        <f t="shared" si="4"/>
        <v>80.581999999999994</v>
      </c>
      <c r="C246" s="48">
        <f t="shared" si="5"/>
        <v>7.7829365866131957</v>
      </c>
      <c r="D246" s="61">
        <f t="shared" si="6"/>
        <v>44.72</v>
      </c>
      <c r="E246" s="48">
        <f t="shared" si="7"/>
        <v>15.251866737657556</v>
      </c>
    </row>
    <row r="247" spans="1:5" x14ac:dyDescent="0.25">
      <c r="A247" s="60">
        <v>44</v>
      </c>
      <c r="B247" s="13">
        <f t="shared" si="4"/>
        <v>82.456000000000003</v>
      </c>
      <c r="C247" s="48">
        <f t="shared" si="5"/>
        <v>6.742820637250138</v>
      </c>
      <c r="D247" s="61">
        <f t="shared" si="6"/>
        <v>45.76</v>
      </c>
      <c r="E247" s="48">
        <f t="shared" si="7"/>
        <v>14.196198382667932</v>
      </c>
    </row>
    <row r="248" spans="1:5" x14ac:dyDescent="0.25">
      <c r="A248" s="60">
        <v>45</v>
      </c>
      <c r="B248" s="13">
        <f t="shared" si="4"/>
        <v>84.33</v>
      </c>
      <c r="C248" s="48">
        <f t="shared" si="5"/>
        <v>5.6787939764074791</v>
      </c>
      <c r="D248" s="61">
        <f t="shared" si="6"/>
        <v>46.8</v>
      </c>
      <c r="E248" s="48">
        <f t="shared" si="7"/>
        <v>13.028046875972468</v>
      </c>
    </row>
    <row r="249" spans="1:5" x14ac:dyDescent="0.25">
      <c r="A249" s="60">
        <v>46</v>
      </c>
      <c r="B249" s="13">
        <f t="shared" si="4"/>
        <v>86.203999999999994</v>
      </c>
      <c r="C249" s="48">
        <f t="shared" si="5"/>
        <v>4.5908566040852055</v>
      </c>
      <c r="D249" s="61">
        <f t="shared" si="6"/>
        <v>47.84</v>
      </c>
      <c r="E249" s="48">
        <f t="shared" si="7"/>
        <v>11.713808502390739</v>
      </c>
    </row>
    <row r="250" spans="1:5" x14ac:dyDescent="0.25">
      <c r="A250" s="60">
        <v>47</v>
      </c>
      <c r="B250" s="13">
        <f t="shared" si="4"/>
        <v>88.078000000000017</v>
      </c>
      <c r="C250" s="48">
        <f t="shared" si="5"/>
        <v>3.4790085202833074</v>
      </c>
      <c r="D250" s="61">
        <f t="shared" si="6"/>
        <v>48.88</v>
      </c>
      <c r="E250" s="48">
        <f t="shared" si="7"/>
        <v>10.197154564117421</v>
      </c>
    </row>
    <row r="251" spans="1:5" x14ac:dyDescent="0.25">
      <c r="A251" s="60">
        <v>48</v>
      </c>
      <c r="B251" s="13">
        <f t="shared" si="4"/>
        <v>89.952000000000012</v>
      </c>
      <c r="C251" s="48">
        <f t="shared" si="5"/>
        <v>2.3432497250018147</v>
      </c>
      <c r="D251" s="61">
        <f t="shared" si="6"/>
        <v>49.92</v>
      </c>
      <c r="E251" s="48">
        <f t="shared" si="7"/>
        <v>8.3687490178636352</v>
      </c>
    </row>
    <row r="252" spans="1:5" x14ac:dyDescent="0.25">
      <c r="A252" s="60">
        <v>49</v>
      </c>
      <c r="B252" s="13">
        <f t="shared" si="4"/>
        <v>91.826000000000008</v>
      </c>
      <c r="C252" s="48">
        <f t="shared" si="5"/>
        <v>1.1835802182407114</v>
      </c>
      <c r="D252" s="61">
        <f t="shared" si="6"/>
        <v>50.96</v>
      </c>
      <c r="E252" s="48">
        <f t="shared" si="7"/>
        <v>5.9477143836233575</v>
      </c>
    </row>
    <row r="253" spans="1:5" ht="15.75" thickBot="1" x14ac:dyDescent="0.3">
      <c r="A253" s="62">
        <v>50</v>
      </c>
      <c r="B253" s="18">
        <f t="shared" si="4"/>
        <v>93.7</v>
      </c>
      <c r="C253" s="48">
        <f t="shared" si="5"/>
        <v>0</v>
      </c>
      <c r="D253" s="63">
        <f t="shared" si="6"/>
        <v>52</v>
      </c>
      <c r="E253" s="48">
        <f t="shared" si="7"/>
        <v>0</v>
      </c>
    </row>
  </sheetData>
  <sheetProtection algorithmName="SHA-512" hashValue="rz8UtMLmkBxBioXIvbqa9RcF3NhEQoHSX1v7HgRzfwfQxwV4GqzFt+stoxT6Nkxtp+zA2coHdPUZEJu32vaJUA==" saltValue="Ca2zY2ZNceuu1ZFksLsJmA==" spinCount="100000" sheet="1" objects="1" scenarios="1"/>
  <mergeCells count="21">
    <mergeCell ref="A49:D49"/>
    <mergeCell ref="A62:D62"/>
    <mergeCell ref="A36:D36"/>
    <mergeCell ref="A187:A189"/>
    <mergeCell ref="A190:A194"/>
    <mergeCell ref="B201:C201"/>
    <mergeCell ref="D201:E201"/>
    <mergeCell ref="B165:D165"/>
    <mergeCell ref="A54:D54"/>
    <mergeCell ref="AH1:AI1"/>
    <mergeCell ref="A58:D58"/>
    <mergeCell ref="A195:A196"/>
    <mergeCell ref="A197:A198"/>
    <mergeCell ref="H177:I177"/>
    <mergeCell ref="A68:D68"/>
    <mergeCell ref="D177:E177"/>
    <mergeCell ref="F177:G177"/>
    <mergeCell ref="B177:C177"/>
    <mergeCell ref="A1:D1"/>
    <mergeCell ref="A19:D19"/>
    <mergeCell ref="A44:D44"/>
  </mergeCells>
  <conditionalFormatting sqref="C15">
    <cfRule type="cellIs" dxfId="0" priority="1" operator="equal">
      <formula>$C$4</formula>
    </cfRule>
  </conditionalFormatting>
  <dataValidations disablePrompts="1" count="2">
    <dataValidation type="list" allowBlank="1" showInputMessage="1" showErrorMessage="1" sqref="C22" xr:uid="{10C6E95F-9928-4FAC-AAA0-B09CCEEF600D}">
      <formula1>StressType</formula1>
    </dataValidation>
    <dataValidation type="list" allowBlank="1" showInputMessage="1" showErrorMessage="1" sqref="C20" xr:uid="{9A056E5B-B7CF-4552-A321-53B61017B5E0}">
      <formula1>SurfaceFinish</formula1>
    </dataValidation>
  </dataValidations>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54781-1DBE-4534-90F7-A4DF2DF4E0B3}">
  <dimension ref="A2:E90"/>
  <sheetViews>
    <sheetView workbookViewId="0">
      <selection activeCell="R14" sqref="R14"/>
    </sheetView>
  </sheetViews>
  <sheetFormatPr defaultRowHeight="15" x14ac:dyDescent="0.25"/>
  <sheetData>
    <row r="2" spans="2:2" x14ac:dyDescent="0.25">
      <c r="B2" t="s">
        <v>225</v>
      </c>
    </row>
    <row r="21" spans="2:4" x14ac:dyDescent="0.25">
      <c r="B21" t="s">
        <v>156</v>
      </c>
    </row>
    <row r="28" spans="2:4" x14ac:dyDescent="0.25">
      <c r="B28" t="s">
        <v>157</v>
      </c>
    </row>
    <row r="30" spans="2:4" x14ac:dyDescent="0.25">
      <c r="B30" t="s">
        <v>167</v>
      </c>
      <c r="C30">
        <v>100</v>
      </c>
      <c r="D30" t="s">
        <v>168</v>
      </c>
    </row>
    <row r="31" spans="2:4" x14ac:dyDescent="0.25">
      <c r="B31" t="s">
        <v>169</v>
      </c>
      <c r="C31">
        <v>80</v>
      </c>
      <c r="D31" t="s">
        <v>168</v>
      </c>
    </row>
    <row r="32" spans="2:4" x14ac:dyDescent="0.25">
      <c r="B32" t="s">
        <v>170</v>
      </c>
      <c r="C32">
        <v>30000</v>
      </c>
      <c r="D32" t="s">
        <v>168</v>
      </c>
    </row>
    <row r="33" spans="1:5" x14ac:dyDescent="0.25">
      <c r="B33" t="s">
        <v>171</v>
      </c>
      <c r="C33">
        <v>11500</v>
      </c>
      <c r="D33" t="s">
        <v>168</v>
      </c>
    </row>
    <row r="34" spans="1:5" x14ac:dyDescent="0.25">
      <c r="B34" t="s">
        <v>158</v>
      </c>
      <c r="C34" t="s">
        <v>163</v>
      </c>
      <c r="D34" t="s">
        <v>61</v>
      </c>
    </row>
    <row r="35" spans="1:5" x14ac:dyDescent="0.25">
      <c r="B35" t="s">
        <v>159</v>
      </c>
      <c r="C35">
        <v>0.4</v>
      </c>
      <c r="D35" t="s">
        <v>61</v>
      </c>
    </row>
    <row r="36" spans="1:5" x14ac:dyDescent="0.25">
      <c r="B36" t="s">
        <v>161</v>
      </c>
      <c r="C36">
        <v>0.03</v>
      </c>
      <c r="D36" t="s">
        <v>61</v>
      </c>
    </row>
    <row r="37" spans="1:5" x14ac:dyDescent="0.25">
      <c r="B37" t="s">
        <v>160</v>
      </c>
      <c r="C37">
        <v>3</v>
      </c>
      <c r="D37" t="s">
        <v>25</v>
      </c>
    </row>
    <row r="38" spans="1:5" x14ac:dyDescent="0.25">
      <c r="B38" t="s">
        <v>164</v>
      </c>
      <c r="C38">
        <f>C36/C35</f>
        <v>7.4999999999999997E-2</v>
      </c>
      <c r="D38" t="s">
        <v>25</v>
      </c>
    </row>
    <row r="39" spans="1:5" x14ac:dyDescent="0.25">
      <c r="A39" t="s">
        <v>165</v>
      </c>
      <c r="B39" t="s">
        <v>162</v>
      </c>
      <c r="C39">
        <v>2</v>
      </c>
    </row>
    <row r="40" spans="1:5" x14ac:dyDescent="0.25">
      <c r="A40" t="s">
        <v>178</v>
      </c>
      <c r="B40" t="s">
        <v>84</v>
      </c>
      <c r="C40">
        <v>0.73</v>
      </c>
    </row>
    <row r="41" spans="1:5" x14ac:dyDescent="0.25">
      <c r="A41" t="s">
        <v>172</v>
      </c>
      <c r="B41" t="s">
        <v>166</v>
      </c>
      <c r="C41">
        <f>1+C40*(C39-1)</f>
        <v>1.73</v>
      </c>
    </row>
    <row r="42" spans="1:5" x14ac:dyDescent="0.25">
      <c r="A42" t="s">
        <v>173</v>
      </c>
      <c r="B42" t="s">
        <v>174</v>
      </c>
      <c r="C42">
        <v>1.58</v>
      </c>
    </row>
    <row r="43" spans="1:5" x14ac:dyDescent="0.25">
      <c r="A43" t="s">
        <v>179</v>
      </c>
      <c r="B43" t="s">
        <v>177</v>
      </c>
      <c r="C43">
        <v>0.78</v>
      </c>
    </row>
    <row r="44" spans="1:5" x14ac:dyDescent="0.25">
      <c r="A44" t="s">
        <v>175</v>
      </c>
      <c r="B44" t="s">
        <v>176</v>
      </c>
      <c r="C44">
        <f>1+C43*(C42-1)</f>
        <v>1.4524000000000001</v>
      </c>
    </row>
    <row r="46" spans="1:5" x14ac:dyDescent="0.25">
      <c r="A46" t="s">
        <v>180</v>
      </c>
      <c r="B46" t="s">
        <v>181</v>
      </c>
      <c r="C46">
        <f>PI()/64*C35^4</f>
        <v>1.2566370614359179E-3</v>
      </c>
      <c r="D46" t="s">
        <v>182</v>
      </c>
    </row>
    <row r="47" spans="1:5" x14ac:dyDescent="0.25">
      <c r="A47" t="s">
        <v>184</v>
      </c>
      <c r="B47" t="s">
        <v>183</v>
      </c>
      <c r="C47">
        <f>PI()/32*C35^4</f>
        <v>2.5132741228718358E-3</v>
      </c>
      <c r="D47" t="s">
        <v>182</v>
      </c>
    </row>
    <row r="48" spans="1:5" x14ac:dyDescent="0.25">
      <c r="E48" t="s">
        <v>185</v>
      </c>
    </row>
    <row r="50" spans="1:5" x14ac:dyDescent="0.25">
      <c r="A50" t="s">
        <v>188</v>
      </c>
      <c r="B50" t="s">
        <v>186</v>
      </c>
      <c r="C50">
        <v>0.1</v>
      </c>
      <c r="D50" t="s">
        <v>61</v>
      </c>
    </row>
    <row r="51" spans="1:5" x14ac:dyDescent="0.25">
      <c r="A51" t="s">
        <v>189</v>
      </c>
      <c r="B51" t="s">
        <v>187</v>
      </c>
      <c r="C51">
        <v>-0.02</v>
      </c>
      <c r="D51" t="s">
        <v>61</v>
      </c>
    </row>
    <row r="53" spans="1:5" x14ac:dyDescent="0.25">
      <c r="B53" t="s">
        <v>190</v>
      </c>
      <c r="C53">
        <v>3</v>
      </c>
      <c r="D53" t="s">
        <v>61</v>
      </c>
    </row>
    <row r="54" spans="1:5" x14ac:dyDescent="0.25">
      <c r="B54" t="s">
        <v>191</v>
      </c>
      <c r="C54">
        <v>3</v>
      </c>
      <c r="D54" t="s">
        <v>61</v>
      </c>
    </row>
    <row r="55" spans="1:5" x14ac:dyDescent="0.25">
      <c r="B55" t="s">
        <v>194</v>
      </c>
      <c r="C55">
        <v>70.83</v>
      </c>
      <c r="D55" t="s">
        <v>192</v>
      </c>
      <c r="E55" t="s">
        <v>193</v>
      </c>
    </row>
    <row r="56" spans="1:5" x14ac:dyDescent="0.25">
      <c r="B56" t="s">
        <v>186</v>
      </c>
      <c r="C56">
        <f>C55*C53^3/(3*C32*1000*C46)+((C55*C53)*C54)/(C47*C33*1000)*C53+C55*C54^3/(3*C32*1000*C46)</f>
        <v>9.9986117492025392E-2</v>
      </c>
      <c r="D56" t="s">
        <v>61</v>
      </c>
      <c r="E56" t="s">
        <v>193</v>
      </c>
    </row>
    <row r="57" spans="1:5" x14ac:dyDescent="0.25">
      <c r="B57" t="s">
        <v>195</v>
      </c>
      <c r="C57">
        <v>-14.167966869130442</v>
      </c>
      <c r="D57" t="s">
        <v>192</v>
      </c>
      <c r="E57" t="s">
        <v>193</v>
      </c>
    </row>
    <row r="58" spans="1:5" x14ac:dyDescent="0.25">
      <c r="B58" t="s">
        <v>196</v>
      </c>
      <c r="C58">
        <f>C57*C53^3/(3*C32*1000*C46)+((C57*C53)*C54)/(C47*C33*1000)*C53+C57*C54^3/(3*C32*1000*C46)</f>
        <v>-1.9999999999999993E-2</v>
      </c>
      <c r="D58" t="s">
        <v>61</v>
      </c>
      <c r="E58" t="s">
        <v>193</v>
      </c>
    </row>
    <row r="60" spans="1:5" x14ac:dyDescent="0.25">
      <c r="A60" t="s">
        <v>201</v>
      </c>
      <c r="B60" t="s">
        <v>200</v>
      </c>
      <c r="C60">
        <f>C55*C54</f>
        <v>212.49</v>
      </c>
      <c r="D60" t="s">
        <v>197</v>
      </c>
    </row>
    <row r="61" spans="1:5" x14ac:dyDescent="0.25">
      <c r="B61" t="s">
        <v>198</v>
      </c>
      <c r="C61">
        <f>C60*(C35/2)/(C46)/1000</f>
        <v>33.818833857596829</v>
      </c>
      <c r="D61" t="s">
        <v>168</v>
      </c>
    </row>
    <row r="62" spans="1:5" x14ac:dyDescent="0.25">
      <c r="A62" t="s">
        <v>201</v>
      </c>
      <c r="B62" t="s">
        <v>200</v>
      </c>
      <c r="C62">
        <f>C57*C54</f>
        <v>-42.50390060739133</v>
      </c>
      <c r="D62" t="s">
        <v>197</v>
      </c>
    </row>
    <row r="63" spans="1:5" x14ac:dyDescent="0.25">
      <c r="B63" t="s">
        <v>199</v>
      </c>
      <c r="C63">
        <f>C62*(C35/2)/(C46)/1000</f>
        <v>-6.7647058823529393</v>
      </c>
      <c r="D63" t="s">
        <v>168</v>
      </c>
    </row>
    <row r="64" spans="1:5" x14ac:dyDescent="0.25">
      <c r="B64" t="s">
        <v>205</v>
      </c>
      <c r="C64">
        <f>(C55*C54)*(C35/2)/C47/1000</f>
        <v>16.909416928798414</v>
      </c>
      <c r="D64" t="s">
        <v>168</v>
      </c>
    </row>
    <row r="65" spans="1:4" x14ac:dyDescent="0.25">
      <c r="B65" t="s">
        <v>206</v>
      </c>
      <c r="C65">
        <f>(C57*C54)*(C35/2)/C47/1000</f>
        <v>-3.3823529411764697</v>
      </c>
      <c r="D65" t="s">
        <v>168</v>
      </c>
    </row>
    <row r="68" spans="1:4" x14ac:dyDescent="0.25">
      <c r="A68" s="93" t="s">
        <v>204</v>
      </c>
      <c r="B68" s="1" t="s">
        <v>202</v>
      </c>
      <c r="C68" s="1">
        <f>MAX(C63,C61)</f>
        <v>33.818833857596829</v>
      </c>
      <c r="D68" s="1" t="s">
        <v>168</v>
      </c>
    </row>
    <row r="69" spans="1:4" x14ac:dyDescent="0.25">
      <c r="A69" s="93"/>
      <c r="B69" s="1" t="s">
        <v>203</v>
      </c>
      <c r="C69" s="1">
        <f>MIN(C63,C61)</f>
        <v>-6.7647058823529393</v>
      </c>
      <c r="D69" s="1" t="s">
        <v>168</v>
      </c>
    </row>
    <row r="70" spans="1:4" x14ac:dyDescent="0.25">
      <c r="A70" s="94" t="s">
        <v>64</v>
      </c>
      <c r="B70" s="1" t="s">
        <v>207</v>
      </c>
      <c r="C70" s="1">
        <f>MAX(C64:C65)</f>
        <v>16.909416928798414</v>
      </c>
      <c r="D70" s="1" t="s">
        <v>168</v>
      </c>
    </row>
    <row r="71" spans="1:4" x14ac:dyDescent="0.25">
      <c r="A71" s="94"/>
      <c r="B71" s="1" t="s">
        <v>208</v>
      </c>
      <c r="C71" s="1">
        <f>MIN(C64:C65)</f>
        <v>-3.3823529411764697</v>
      </c>
      <c r="D71" s="1" t="s">
        <v>168</v>
      </c>
    </row>
    <row r="73" spans="1:4" x14ac:dyDescent="0.25">
      <c r="A73" s="95" t="s">
        <v>213</v>
      </c>
      <c r="B73" s="1" t="s">
        <v>209</v>
      </c>
      <c r="C73" s="1">
        <f>(C68+C69)/2</f>
        <v>13.527063987621945</v>
      </c>
      <c r="D73" s="1" t="s">
        <v>168</v>
      </c>
    </row>
    <row r="74" spans="1:4" x14ac:dyDescent="0.25">
      <c r="A74" s="95"/>
      <c r="B74" s="1" t="s">
        <v>210</v>
      </c>
      <c r="C74" s="1">
        <f>(C68-C69)/2</f>
        <v>20.291769869974885</v>
      </c>
      <c r="D74" s="1" t="s">
        <v>168</v>
      </c>
    </row>
    <row r="75" spans="1:4" x14ac:dyDescent="0.25">
      <c r="A75" s="95"/>
      <c r="B75" s="1" t="s">
        <v>211</v>
      </c>
      <c r="C75" s="1">
        <f>(C70+C71)/2</f>
        <v>6.7635319938109726</v>
      </c>
      <c r="D75" s="1" t="s">
        <v>168</v>
      </c>
    </row>
    <row r="76" spans="1:4" x14ac:dyDescent="0.25">
      <c r="A76" s="95"/>
      <c r="B76" s="1" t="s">
        <v>212</v>
      </c>
      <c r="C76" s="1">
        <f>(C70-C71)/2</f>
        <v>10.145884934987443</v>
      </c>
      <c r="D76" s="1" t="s">
        <v>168</v>
      </c>
    </row>
    <row r="78" spans="1:4" x14ac:dyDescent="0.25">
      <c r="B78" s="1" t="s">
        <v>215</v>
      </c>
      <c r="C78" s="1">
        <f>SQRT((C41*C74)^2+3*(C44*C76)^2)</f>
        <v>43.402569905390003</v>
      </c>
      <c r="D78" s="1" t="s">
        <v>168</v>
      </c>
    </row>
    <row r="79" spans="1:4" x14ac:dyDescent="0.25">
      <c r="B79" s="1" t="s">
        <v>214</v>
      </c>
      <c r="C79" s="1">
        <f>SQRT((C41*C73)^2+3*(C44*C75)^2)</f>
        <v>28.933372697379784</v>
      </c>
      <c r="D79" s="1" t="s">
        <v>168</v>
      </c>
    </row>
    <row r="81" spans="1:5" x14ac:dyDescent="0.25">
      <c r="A81" t="s">
        <v>219</v>
      </c>
      <c r="B81" t="s">
        <v>218</v>
      </c>
      <c r="C81">
        <v>38.659999999999997</v>
      </c>
      <c r="D81" t="s">
        <v>168</v>
      </c>
      <c r="E81" t="s">
        <v>220</v>
      </c>
    </row>
    <row r="84" spans="1:5" x14ac:dyDescent="0.25">
      <c r="A84" t="s">
        <v>216</v>
      </c>
      <c r="B84" t="s">
        <v>217</v>
      </c>
      <c r="C84" s="3">
        <f>SQRT(1/(((C78/C81)^2+(C79/C31)^2)))</f>
        <v>0.84782315117663654</v>
      </c>
      <c r="D84" t="s">
        <v>25</v>
      </c>
    </row>
    <row r="85" spans="1:5" x14ac:dyDescent="0.25">
      <c r="A85" t="s">
        <v>221</v>
      </c>
    </row>
    <row r="86" spans="1:5" x14ac:dyDescent="0.25">
      <c r="B86" t="s">
        <v>223</v>
      </c>
      <c r="C86">
        <f>C78/SQRT(1-(C79/C31)^2)</f>
        <v>46.553932150293669</v>
      </c>
      <c r="D86" t="s">
        <v>168</v>
      </c>
      <c r="E86" t="s">
        <v>222</v>
      </c>
    </row>
    <row r="87" spans="1:5" x14ac:dyDescent="0.25">
      <c r="B87" t="s">
        <v>22</v>
      </c>
      <c r="C87">
        <v>0.84499999999999997</v>
      </c>
      <c r="D87" t="s">
        <v>25</v>
      </c>
    </row>
    <row r="88" spans="1:5" x14ac:dyDescent="0.25">
      <c r="B88" t="s">
        <v>35</v>
      </c>
      <c r="C88">
        <f>(C87*C30)^2/C81</f>
        <v>184.69348163476462</v>
      </c>
    </row>
    <row r="89" spans="1:5" x14ac:dyDescent="0.25">
      <c r="B89" t="s">
        <v>18</v>
      </c>
      <c r="C89">
        <f>(-1/3)*LOG10(C87*C30/C81)</f>
        <v>-0.11319828641905272</v>
      </c>
    </row>
    <row r="90" spans="1:5" x14ac:dyDescent="0.25">
      <c r="B90" t="s">
        <v>224</v>
      </c>
      <c r="C90" s="3">
        <f>(C86/C88)^(1/C89)</f>
        <v>193704.67210260732</v>
      </c>
      <c r="D90" t="s">
        <v>25</v>
      </c>
    </row>
  </sheetData>
  <sheetProtection algorithmName="SHA-512" hashValue="xvjXCKpezDb0HVTkzKYiGeVAIV5d2lyD/CVZTuJ4a7viMubS+rfrHL51VHDtT+ZXl0JL7gkg3hrsia+LBANodA==" saltValue="R/fHKRlLgGwJXoMd2UzomA==" spinCount="100000" sheet="1" objects="1" scenarios="1"/>
  <mergeCells count="3">
    <mergeCell ref="A68:A69"/>
    <mergeCell ref="A70:A71"/>
    <mergeCell ref="A73:A76"/>
  </mergeCells>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5E773-0495-4A22-B1AB-12234F179212}">
  <dimension ref="A1:I29"/>
  <sheetViews>
    <sheetView workbookViewId="0">
      <selection activeCell="F11" sqref="F11"/>
    </sheetView>
  </sheetViews>
  <sheetFormatPr defaultRowHeight="15" x14ac:dyDescent="0.25"/>
  <sheetData>
    <row r="1" spans="1:9" x14ac:dyDescent="0.25">
      <c r="A1" t="s">
        <v>226</v>
      </c>
      <c r="B1" t="s">
        <v>227</v>
      </c>
      <c r="C1">
        <f>8/2</f>
        <v>4</v>
      </c>
      <c r="D1" t="s">
        <v>61</v>
      </c>
    </row>
    <row r="2" spans="1:9" x14ac:dyDescent="0.25">
      <c r="A2" t="s">
        <v>228</v>
      </c>
      <c r="B2" t="s">
        <v>229</v>
      </c>
      <c r="C2">
        <f>2/2</f>
        <v>1</v>
      </c>
      <c r="D2" t="s">
        <v>61</v>
      </c>
    </row>
    <row r="3" spans="1:9" x14ac:dyDescent="0.25">
      <c r="A3" t="s">
        <v>230</v>
      </c>
      <c r="B3" t="s">
        <v>231</v>
      </c>
      <c r="C3">
        <v>70</v>
      </c>
      <c r="D3" t="s">
        <v>192</v>
      </c>
      <c r="F3" t="s">
        <v>232</v>
      </c>
      <c r="G3" t="s">
        <v>169</v>
      </c>
      <c r="H3">
        <v>52</v>
      </c>
      <c r="I3" t="s">
        <v>168</v>
      </c>
    </row>
    <row r="4" spans="1:9" x14ac:dyDescent="0.25">
      <c r="A4" t="s">
        <v>233</v>
      </c>
      <c r="B4" t="s">
        <v>234</v>
      </c>
      <c r="C4">
        <f>(C3*C1)/C2</f>
        <v>280</v>
      </c>
      <c r="D4" t="s">
        <v>192</v>
      </c>
      <c r="F4" t="s">
        <v>235</v>
      </c>
      <c r="G4" t="s">
        <v>167</v>
      </c>
      <c r="H4">
        <v>93.7</v>
      </c>
      <c r="I4" t="s">
        <v>168</v>
      </c>
    </row>
    <row r="5" spans="1:9" x14ac:dyDescent="0.25">
      <c r="A5" t="s">
        <v>236</v>
      </c>
      <c r="B5" t="s">
        <v>237</v>
      </c>
      <c r="C5">
        <v>9</v>
      </c>
      <c r="D5" t="s">
        <v>61</v>
      </c>
    </row>
    <row r="6" spans="1:9" x14ac:dyDescent="0.25">
      <c r="A6" t="s">
        <v>238</v>
      </c>
      <c r="B6" t="s">
        <v>239</v>
      </c>
      <c r="C6">
        <v>15</v>
      </c>
      <c r="D6" t="s">
        <v>61</v>
      </c>
    </row>
    <row r="7" spans="1:9" x14ac:dyDescent="0.25">
      <c r="A7" t="s">
        <v>240</v>
      </c>
      <c r="B7" t="s">
        <v>241</v>
      </c>
      <c r="C7">
        <v>10</v>
      </c>
      <c r="D7" t="s">
        <v>61</v>
      </c>
    </row>
    <row r="8" spans="1:9" x14ac:dyDescent="0.25">
      <c r="A8" t="s">
        <v>242</v>
      </c>
      <c r="B8" t="s">
        <v>243</v>
      </c>
      <c r="C8">
        <v>0.75</v>
      </c>
      <c r="D8" t="s">
        <v>61</v>
      </c>
    </row>
    <row r="9" spans="1:9" x14ac:dyDescent="0.25">
      <c r="A9" t="s">
        <v>244</v>
      </c>
      <c r="B9" t="s">
        <v>245</v>
      </c>
      <c r="C9">
        <v>1</v>
      </c>
      <c r="D9" t="s">
        <v>61</v>
      </c>
    </row>
    <row r="10" spans="1:9" x14ac:dyDescent="0.25">
      <c r="A10" t="s">
        <v>246</v>
      </c>
      <c r="B10" t="s">
        <v>247</v>
      </c>
      <c r="C10">
        <v>0.75</v>
      </c>
      <c r="D10" t="s">
        <v>61</v>
      </c>
    </row>
    <row r="11" spans="1:9" x14ac:dyDescent="0.25">
      <c r="A11" t="s">
        <v>248</v>
      </c>
      <c r="B11" t="s">
        <v>249</v>
      </c>
      <c r="C11">
        <f>(C4*(C5+C6)-C3*(C5))/(C5+C6+C7)</f>
        <v>179.11764705882354</v>
      </c>
      <c r="D11" t="s">
        <v>192</v>
      </c>
    </row>
    <row r="12" spans="1:9" x14ac:dyDescent="0.25">
      <c r="A12" t="s">
        <v>250</v>
      </c>
      <c r="B12" t="s">
        <v>251</v>
      </c>
      <c r="C12">
        <f>C3-C4+C11</f>
        <v>-30.882352941176464</v>
      </c>
      <c r="D12" t="s">
        <v>192</v>
      </c>
    </row>
    <row r="13" spans="1:9" x14ac:dyDescent="0.25">
      <c r="A13" t="s">
        <v>252</v>
      </c>
    </row>
    <row r="14" spans="1:9" x14ac:dyDescent="0.25">
      <c r="A14" t="s">
        <v>253</v>
      </c>
    </row>
    <row r="15" spans="1:9" x14ac:dyDescent="0.25">
      <c r="A15" t="s">
        <v>254</v>
      </c>
    </row>
    <row r="17" spans="1:5" x14ac:dyDescent="0.25">
      <c r="A17" t="s">
        <v>255</v>
      </c>
    </row>
    <row r="18" spans="1:5" x14ac:dyDescent="0.25">
      <c r="A18" t="s">
        <v>256</v>
      </c>
    </row>
    <row r="20" spans="1:5" x14ac:dyDescent="0.25">
      <c r="A20" t="s">
        <v>258</v>
      </c>
      <c r="B20" t="s">
        <v>159</v>
      </c>
      <c r="C20" s="4">
        <v>0.75</v>
      </c>
      <c r="D20" t="s">
        <v>61</v>
      </c>
    </row>
    <row r="21" spans="1:5" ht="18" x14ac:dyDescent="0.35">
      <c r="A21" t="s">
        <v>262</v>
      </c>
      <c r="B21" s="2" t="s">
        <v>87</v>
      </c>
      <c r="C21">
        <v>1.9</v>
      </c>
      <c r="D21" t="s">
        <v>25</v>
      </c>
      <c r="E21" t="s">
        <v>259</v>
      </c>
    </row>
    <row r="22" spans="1:5" ht="18" x14ac:dyDescent="0.35">
      <c r="A22" t="s">
        <v>261</v>
      </c>
      <c r="B22" s="2" t="s">
        <v>260</v>
      </c>
      <c r="C22">
        <v>1.68</v>
      </c>
      <c r="D22" t="s">
        <v>25</v>
      </c>
      <c r="E22" t="s">
        <v>259</v>
      </c>
    </row>
    <row r="23" spans="1:5" ht="18" x14ac:dyDescent="0.35">
      <c r="A23" t="s">
        <v>37</v>
      </c>
      <c r="B23" t="s">
        <v>36</v>
      </c>
      <c r="C23">
        <v>29.885000000000002</v>
      </c>
      <c r="D23" t="s">
        <v>8</v>
      </c>
      <c r="E23" t="s">
        <v>259</v>
      </c>
    </row>
    <row r="24" spans="1:5" x14ac:dyDescent="0.25">
      <c r="A24" t="s">
        <v>265</v>
      </c>
      <c r="B24" t="s">
        <v>263</v>
      </c>
      <c r="C24">
        <v>1790</v>
      </c>
      <c r="D24" t="s">
        <v>271</v>
      </c>
    </row>
    <row r="25" spans="1:5" x14ac:dyDescent="0.25">
      <c r="A25" t="s">
        <v>266</v>
      </c>
      <c r="B25" t="s">
        <v>264</v>
      </c>
      <c r="C25">
        <v>0</v>
      </c>
      <c r="D25" t="s">
        <v>271</v>
      </c>
    </row>
    <row r="26" spans="1:5" x14ac:dyDescent="0.25">
      <c r="A26" t="s">
        <v>267</v>
      </c>
      <c r="B26" t="s">
        <v>269</v>
      </c>
      <c r="C26">
        <v>0</v>
      </c>
      <c r="D26" t="s">
        <v>271</v>
      </c>
    </row>
    <row r="27" spans="1:5" x14ac:dyDescent="0.25">
      <c r="A27" t="s">
        <v>268</v>
      </c>
      <c r="B27" t="s">
        <v>270</v>
      </c>
      <c r="C27">
        <v>0</v>
      </c>
      <c r="D27" t="s">
        <v>271</v>
      </c>
    </row>
    <row r="29" spans="1:5" x14ac:dyDescent="0.25">
      <c r="A29" t="s">
        <v>257</v>
      </c>
      <c r="B29" t="s">
        <v>272</v>
      </c>
      <c r="C29" s="3">
        <f>1/((16/(PI()*C20^3))*SQRT(4*(C21*C24/(1000*C23))^2+3*(C22*C25/(1000*C23))^2+4*(C21*C26/(1000*C23))^2+3*(C22*C27/(1000*C23))^2))</f>
        <v>0.36394043747162136</v>
      </c>
    </row>
  </sheetData>
  <sheetProtection algorithmName="SHA-512" hashValue="M3BL2TyqDoQgqxp77DbMFKURXcJqnpj66HRV/j68E8vLLFfdcltG60Mw5X0syvjQDzGoidyyL81VuqU6AgLKQA==" saltValue="lIVZsADMUmBsGUsA1KFqUg==" spinCount="100000" sheet="1" objects="1" scenarios="1"/>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DA52BA5C730F14B92EB9ECBFB2C7418" ma:contentTypeVersion="14" ma:contentTypeDescription="Create a new document." ma:contentTypeScope="" ma:versionID="108d213f8868efb736a2df9a8f5be34d">
  <xsd:schema xmlns:xsd="http://www.w3.org/2001/XMLSchema" xmlns:xs="http://www.w3.org/2001/XMLSchema" xmlns:p="http://schemas.microsoft.com/office/2006/metadata/properties" xmlns:ns3="bca9a786-588e-41dd-a678-26a01561a81d" xmlns:ns4="73b8247c-57e8-4f2c-a684-da9afdc3115a" targetNamespace="http://schemas.microsoft.com/office/2006/metadata/properties" ma:root="true" ma:fieldsID="a19839b27257a07a54d9ebe9f36aa622" ns3:_="" ns4:_="">
    <xsd:import namespace="bca9a786-588e-41dd-a678-26a01561a81d"/>
    <xsd:import namespace="73b8247c-57e8-4f2c-a684-da9afdc3115a"/>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DateTaken" minOccurs="0"/>
                <xsd:element ref="ns4:MediaServiceLocation" minOccurs="0"/>
                <xsd:element ref="ns4:MediaServiceGenerationTime" minOccurs="0"/>
                <xsd:element ref="ns4:MediaServiceEventHashCode" minOccurs="0"/>
                <xsd:element ref="ns4:MediaServiceAutoKeyPoints" minOccurs="0"/>
                <xsd:element ref="ns4:MediaServiceKeyPoints" minOccurs="0"/>
                <xsd:element ref="ns4: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ca9a786-588e-41dd-a678-26a01561a81d"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3b8247c-57e8-4f2c-a684-da9afdc3115a"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LengthInSeconds" ma:index="21"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F967178-4AA7-4AEB-9D70-8167C02B96A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ca9a786-588e-41dd-a678-26a01561a81d"/>
    <ds:schemaRef ds:uri="73b8247c-57e8-4f2c-a684-da9afdc311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A86F33E-CC64-4234-8BDD-510C35D88EFF}">
  <ds:schemaRefs>
    <ds:schemaRef ds:uri="http://schemas.microsoft.com/sharepoint/v3/contenttype/forms"/>
  </ds:schemaRefs>
</ds:datastoreItem>
</file>

<file path=customXml/itemProps3.xml><?xml version="1.0" encoding="utf-8"?>
<ds:datastoreItem xmlns:ds="http://schemas.openxmlformats.org/officeDocument/2006/customXml" ds:itemID="{A02BC316-7C35-420A-85FD-9698235915C3}">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Ref</vt:lpstr>
      <vt:lpstr>Calc Fatigue</vt:lpstr>
      <vt:lpstr>Combined Loading Example Draft</vt:lpstr>
      <vt:lpstr>Shaft Fatigue Draft</vt:lpstr>
      <vt:lpstr>'Calc Fatigue'!StressType</vt:lpstr>
      <vt:lpstr>'Calc Fatigue'!SurfaceFinish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Williams, Justin</dc:creator>
  <cp:lastModifiedBy>Justin</cp:lastModifiedBy>
  <dcterms:created xsi:type="dcterms:W3CDTF">2021-09-14T18:12:52Z</dcterms:created>
  <dcterms:modified xsi:type="dcterms:W3CDTF">2022-04-16T00:29:52Z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0x0101005DA52BA5C730F14B92EB9ECBFB2C7418</vt:lpwstr>
  </property>
</Properties>
</file>