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U:\Departments\Engineering\Users\Justin Williams\Spreadsheets\"/>
    </mc:Choice>
  </mc:AlternateContent>
  <xr:revisionPtr revIDLastSave="0" documentId="13_ncr:1_{078D5EE2-067A-4775-AAA6-40DA5AC001E4}" xr6:coauthVersionLast="47" xr6:coauthVersionMax="47" xr10:uidLastSave="{00000000-0000-0000-0000-000000000000}"/>
  <bookViews>
    <workbookView xWindow="-28920" yWindow="-120" windowWidth="29040" windowHeight="15840" xr2:uid="{B861AF50-5DFF-435B-A834-7E32714C20FA}"/>
  </bookViews>
  <sheets>
    <sheet name="Shaft Fatigue" sheetId="1" r:id="rId1"/>
  </sheets>
  <externalReferences>
    <externalReference r:id="rId2"/>
  </externalReferences>
  <definedNames>
    <definedName name="StressType" localSheetId="0">'Shaft Fatigue'!$AB$2:$AB$5</definedName>
    <definedName name="StressType">#REF!</definedName>
    <definedName name="SurfaceFinish" localSheetId="0">'Shaft Fatigue'!$AA$2:$AA$5</definedName>
    <definedName name="SurfaceFinish">#REF!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88" i="1" l="1"/>
  <c r="A190" i="1"/>
  <c r="C83" i="1"/>
  <c r="D267" i="1"/>
  <c r="B267" i="1"/>
  <c r="D266" i="1"/>
  <c r="B266" i="1"/>
  <c r="D265" i="1"/>
  <c r="B265" i="1"/>
  <c r="D264" i="1"/>
  <c r="B264" i="1"/>
  <c r="D263" i="1"/>
  <c r="B263" i="1"/>
  <c r="D262" i="1"/>
  <c r="B262" i="1"/>
  <c r="D261" i="1"/>
  <c r="B261" i="1"/>
  <c r="D260" i="1"/>
  <c r="B260" i="1"/>
  <c r="D259" i="1"/>
  <c r="B259" i="1"/>
  <c r="D258" i="1"/>
  <c r="B258" i="1"/>
  <c r="D257" i="1"/>
  <c r="B257" i="1"/>
  <c r="D256" i="1"/>
  <c r="B256" i="1"/>
  <c r="D255" i="1"/>
  <c r="B255" i="1"/>
  <c r="D254" i="1"/>
  <c r="B254" i="1"/>
  <c r="D253" i="1"/>
  <c r="B253" i="1"/>
  <c r="D252" i="1"/>
  <c r="B252" i="1"/>
  <c r="D251" i="1"/>
  <c r="B251" i="1"/>
  <c r="D250" i="1"/>
  <c r="B250" i="1"/>
  <c r="D249" i="1"/>
  <c r="B249" i="1"/>
  <c r="D248" i="1"/>
  <c r="B248" i="1"/>
  <c r="D247" i="1"/>
  <c r="B247" i="1"/>
  <c r="D246" i="1"/>
  <c r="B246" i="1"/>
  <c r="D245" i="1"/>
  <c r="B245" i="1"/>
  <c r="D244" i="1"/>
  <c r="B244" i="1"/>
  <c r="D243" i="1"/>
  <c r="B243" i="1"/>
  <c r="D242" i="1"/>
  <c r="B242" i="1"/>
  <c r="D241" i="1"/>
  <c r="B241" i="1"/>
  <c r="D240" i="1"/>
  <c r="B240" i="1"/>
  <c r="D239" i="1"/>
  <c r="B239" i="1"/>
  <c r="D238" i="1"/>
  <c r="B238" i="1"/>
  <c r="D237" i="1"/>
  <c r="B237" i="1"/>
  <c r="D236" i="1"/>
  <c r="B236" i="1"/>
  <c r="D235" i="1"/>
  <c r="B235" i="1"/>
  <c r="D234" i="1"/>
  <c r="B234" i="1"/>
  <c r="D233" i="1"/>
  <c r="B233" i="1"/>
  <c r="D232" i="1"/>
  <c r="B232" i="1"/>
  <c r="D231" i="1"/>
  <c r="B231" i="1"/>
  <c r="D230" i="1"/>
  <c r="B230" i="1"/>
  <c r="D229" i="1"/>
  <c r="B229" i="1"/>
  <c r="D228" i="1"/>
  <c r="B228" i="1"/>
  <c r="D227" i="1"/>
  <c r="B227" i="1"/>
  <c r="D226" i="1"/>
  <c r="B226" i="1"/>
  <c r="D225" i="1"/>
  <c r="B225" i="1"/>
  <c r="D224" i="1"/>
  <c r="B224" i="1"/>
  <c r="D223" i="1"/>
  <c r="B223" i="1"/>
  <c r="D222" i="1"/>
  <c r="B222" i="1"/>
  <c r="D221" i="1"/>
  <c r="B221" i="1"/>
  <c r="D220" i="1"/>
  <c r="B220" i="1"/>
  <c r="D219" i="1"/>
  <c r="B219" i="1"/>
  <c r="D218" i="1"/>
  <c r="B218" i="1"/>
  <c r="D217" i="1"/>
  <c r="B217" i="1"/>
  <c r="D208" i="1"/>
  <c r="C208" i="1"/>
  <c r="D204" i="1"/>
  <c r="C204" i="1"/>
  <c r="D203" i="1"/>
  <c r="C202" i="1"/>
  <c r="D200" i="1"/>
  <c r="C200" i="1"/>
  <c r="K196" i="1"/>
  <c r="H196" i="1"/>
  <c r="F196" i="1"/>
  <c r="D196" i="1"/>
  <c r="G195" i="1"/>
  <c r="J194" i="1"/>
  <c r="A188" i="1"/>
  <c r="B187" i="1"/>
  <c r="C187" i="1" s="1"/>
  <c r="D109" i="1"/>
  <c r="D106" i="1"/>
  <c r="D104" i="1"/>
  <c r="D101" i="1"/>
  <c r="D113" i="1" s="1"/>
  <c r="D99" i="1"/>
  <c r="C99" i="1"/>
  <c r="C89" i="1"/>
  <c r="A189" i="1" s="1"/>
  <c r="C112" i="1"/>
  <c r="C54" i="1"/>
  <c r="E53" i="1"/>
  <c r="E55" i="1" s="1"/>
  <c r="C55" i="1" s="1"/>
  <c r="C45" i="1"/>
  <c r="C48" i="1" s="1"/>
  <c r="C50" i="1" s="1"/>
  <c r="C44" i="1"/>
  <c r="C46" i="1" s="1"/>
  <c r="C49" i="1" s="1"/>
  <c r="D38" i="1"/>
  <c r="C35" i="1"/>
  <c r="C34" i="1"/>
  <c r="C33" i="1"/>
  <c r="C32" i="1"/>
  <c r="D30" i="1"/>
  <c r="C21" i="1"/>
  <c r="C20" i="1"/>
  <c r="AI19" i="1" a="1"/>
  <c r="AI19" i="1" s="1"/>
  <c r="C19" i="1"/>
  <c r="C18" i="1"/>
  <c r="AI17" i="1"/>
  <c r="C29" i="1" s="1"/>
  <c r="C30" i="1" s="1"/>
  <c r="C31" i="1" s="1"/>
  <c r="AI16" i="1" a="1"/>
  <c r="AI16" i="1" s="1"/>
  <c r="AI15" i="1"/>
  <c r="C12" i="1"/>
  <c r="C11" i="1"/>
  <c r="C10" i="1"/>
  <c r="C9" i="1"/>
  <c r="C98" i="1" l="1"/>
  <c r="D188" i="1"/>
  <c r="C37" i="1"/>
  <c r="C38" i="1" s="1"/>
  <c r="C79" i="1"/>
  <c r="C63" i="1"/>
  <c r="C62" i="1"/>
  <c r="C72" i="1" s="1"/>
  <c r="C47" i="1"/>
  <c r="C80" i="1"/>
  <c r="C67" i="1"/>
  <c r="C66" i="1"/>
  <c r="C65" i="1"/>
  <c r="C64" i="1"/>
  <c r="C69" i="1"/>
  <c r="C68" i="1"/>
  <c r="C91" i="1"/>
  <c r="C93" i="1" s="1"/>
  <c r="D189" i="1"/>
  <c r="J196" i="1"/>
  <c r="C103" i="1"/>
  <c r="C210" i="1" l="1"/>
  <c r="C209" i="1"/>
  <c r="B196" i="1"/>
  <c r="C73" i="1"/>
  <c r="C77" i="1" s="1"/>
  <c r="C71" i="1"/>
  <c r="C92" i="1"/>
  <c r="E220" i="1"/>
  <c r="C225" i="1"/>
  <c r="C227" i="1"/>
  <c r="C241" i="1"/>
  <c r="C218" i="1"/>
  <c r="E248" i="1"/>
  <c r="C239" i="1"/>
  <c r="C257" i="1"/>
  <c r="E252" i="1"/>
  <c r="E253" i="1"/>
  <c r="C223" i="1"/>
  <c r="C253" i="1"/>
  <c r="E249" i="1"/>
  <c r="C221" i="1"/>
  <c r="C95" i="1"/>
  <c r="B188" i="1"/>
  <c r="C188" i="1" s="1"/>
  <c r="E231" i="1"/>
  <c r="D199" i="1"/>
  <c r="C234" i="1"/>
  <c r="E225" i="1"/>
  <c r="C224" i="1"/>
  <c r="E223" i="1"/>
  <c r="E217" i="1"/>
  <c r="C203" i="1"/>
  <c r="C205" i="1" s="1"/>
  <c r="I195" i="1"/>
  <c r="C266" i="1"/>
  <c r="C258" i="1"/>
  <c r="C246" i="1"/>
  <c r="C240" i="1"/>
  <c r="C230" i="1"/>
  <c r="C222" i="1"/>
  <c r="E221" i="1"/>
  <c r="C81" i="1"/>
  <c r="C262" i="1"/>
  <c r="C254" i="1"/>
  <c r="C250" i="1"/>
  <c r="C242" i="1"/>
  <c r="C236" i="1"/>
  <c r="C228" i="1"/>
  <c r="D201" i="1"/>
  <c r="D206" i="1"/>
  <c r="E195" i="1"/>
  <c r="C264" i="1"/>
  <c r="C260" i="1"/>
  <c r="C256" i="1"/>
  <c r="C252" i="1"/>
  <c r="C248" i="1"/>
  <c r="C244" i="1"/>
  <c r="C238" i="1"/>
  <c r="C232" i="1"/>
  <c r="C226" i="1"/>
  <c r="E227" i="1"/>
  <c r="E219" i="1"/>
  <c r="E229" i="1"/>
  <c r="E247" i="1"/>
  <c r="C231" i="1"/>
  <c r="E222" i="1"/>
  <c r="E258" i="1"/>
  <c r="C245" i="1"/>
  <c r="E245" i="1"/>
  <c r="C237" i="1"/>
  <c r="E244" i="1"/>
  <c r="C220" i="1"/>
  <c r="E239" i="1"/>
  <c r="C219" i="1"/>
  <c r="E243" i="1"/>
  <c r="E240" i="1"/>
  <c r="E246" i="1"/>
  <c r="C233" i="1"/>
  <c r="E235" i="1"/>
  <c r="E266" i="1"/>
  <c r="C255" i="1"/>
  <c r="E234" i="1"/>
  <c r="C94" i="1"/>
  <c r="B189" i="1" s="1"/>
  <c r="E237" i="1"/>
  <c r="C217" i="1"/>
  <c r="E236" i="1"/>
  <c r="E267" i="1"/>
  <c r="C267" i="1"/>
  <c r="E262" i="1"/>
  <c r="E241" i="1"/>
  <c r="C229" i="1"/>
  <c r="C247" i="1"/>
  <c r="E226" i="1"/>
  <c r="E265" i="1"/>
  <c r="E233" i="1"/>
  <c r="E264" i="1"/>
  <c r="E232" i="1"/>
  <c r="E263" i="1"/>
  <c r="C263" i="1"/>
  <c r="E254" i="1"/>
  <c r="E218" i="1"/>
  <c r="E238" i="1"/>
  <c r="E261" i="1"/>
  <c r="C265" i="1"/>
  <c r="E260" i="1"/>
  <c r="E228" i="1"/>
  <c r="C70" i="1"/>
  <c r="E259" i="1"/>
  <c r="C259" i="1"/>
  <c r="E250" i="1"/>
  <c r="C235" i="1"/>
  <c r="C249" i="1"/>
  <c r="E257" i="1"/>
  <c r="C261" i="1"/>
  <c r="E256" i="1"/>
  <c r="E224" i="1"/>
  <c r="E255" i="1"/>
  <c r="C251" i="1"/>
  <c r="E242" i="1"/>
  <c r="C84" i="1"/>
  <c r="C85" i="1"/>
  <c r="E251" i="1"/>
  <c r="C243" i="1"/>
  <c r="E230" i="1"/>
  <c r="D210" i="1" l="1"/>
  <c r="C82" i="1"/>
  <c r="C196" i="1"/>
  <c r="D209" i="1"/>
  <c r="C74" i="1"/>
  <c r="C78" i="1" s="1"/>
  <c r="D205" i="1"/>
  <c r="C211" i="1"/>
  <c r="C212" i="1" s="1"/>
  <c r="D212" i="1" s="1"/>
  <c r="D202" i="1"/>
  <c r="B190" i="1"/>
  <c r="C189" i="1"/>
  <c r="C190" i="1" s="1"/>
  <c r="K194" i="1"/>
  <c r="J195" i="1"/>
  <c r="K195" i="1" s="1"/>
  <c r="C104" i="1"/>
  <c r="C100" i="1"/>
  <c r="C105" i="1"/>
  <c r="C101" i="1"/>
  <c r="C106" i="1" l="1"/>
  <c r="C108" i="1" s="1"/>
  <c r="C109" i="1" s="1"/>
  <c r="C113" i="1" s="1"/>
  <c r="E189"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Williams, Justin</author>
  </authors>
  <commentList>
    <comment ref="A5" authorId="0" shapeId="0" xr:uid="{B0DD9626-E30A-46D2-84E9-2677D38F4F0D}">
      <text>
        <r>
          <rPr>
            <b/>
            <sz val="9"/>
            <color indexed="81"/>
            <rFont val="Tahoma"/>
            <family val="2"/>
          </rPr>
          <t>Williams, Justin:</t>
        </r>
        <r>
          <rPr>
            <sz val="9"/>
            <color indexed="81"/>
            <rFont val="Tahoma"/>
            <family val="2"/>
          </rPr>
          <t xml:space="preserve">
Used for Fatigue Strength Coefficient.
Just used to ensure material soft enough for equation to be valid.</t>
        </r>
      </text>
    </comment>
    <comment ref="A8" authorId="0" shapeId="0" xr:uid="{F9AC6A4A-4C1F-469B-BBA5-52174860152E}">
      <text>
        <r>
          <rPr>
            <b/>
            <sz val="9"/>
            <color indexed="81"/>
            <rFont val="Tahoma"/>
            <family val="2"/>
          </rPr>
          <t>Williams, Justin:</t>
        </r>
        <r>
          <rPr>
            <sz val="9"/>
            <color indexed="81"/>
            <rFont val="Tahoma"/>
            <family val="2"/>
          </rPr>
          <t xml:space="preserve">
Used for DE-Morrow Factor of Safety</t>
        </r>
      </text>
    </comment>
    <comment ref="A9" authorId="0" shapeId="0" xr:uid="{68DD6F0A-CDBD-4492-906D-33FB8EB91B7C}">
      <text>
        <r>
          <rPr>
            <b/>
            <sz val="9"/>
            <color indexed="81"/>
            <rFont val="Tahoma"/>
            <family val="2"/>
          </rPr>
          <t>Williams, Justin:</t>
        </r>
        <r>
          <rPr>
            <sz val="9"/>
            <color indexed="81"/>
            <rFont val="Tahoma"/>
            <family val="2"/>
          </rPr>
          <t xml:space="preserve">
Eq 6-54</t>
        </r>
      </text>
    </comment>
    <comment ref="A10" authorId="0" shapeId="0" xr:uid="{8258B939-AAC8-4743-A621-61D057EEB4A4}">
      <text>
        <r>
          <rPr>
            <b/>
            <sz val="9"/>
            <color indexed="81"/>
            <rFont val="Tahoma"/>
            <family val="2"/>
          </rPr>
          <t>Williams, Justin:</t>
        </r>
        <r>
          <rPr>
            <sz val="9"/>
            <color indexed="81"/>
            <rFont val="Tahoma"/>
            <family val="2"/>
          </rPr>
          <t xml:space="preserve">
Eq 5-20</t>
        </r>
      </text>
    </comment>
    <comment ref="A11" authorId="0" shapeId="0" xr:uid="{965BF4AC-408A-4097-9828-B37F47CFEECA}">
      <text>
        <r>
          <rPr>
            <b/>
            <sz val="9"/>
            <color indexed="81"/>
            <rFont val="Tahoma"/>
            <family val="2"/>
          </rPr>
          <t>Williams, Justin:</t>
        </r>
        <r>
          <rPr>
            <sz val="9"/>
            <color indexed="81"/>
            <rFont val="Tahoma"/>
            <family val="2"/>
          </rPr>
          <t xml:space="preserve">
Eq 6-8
Note this is for highly polished, room temp, etc.</t>
        </r>
      </text>
    </comment>
    <comment ref="A12" authorId="0" shapeId="0" xr:uid="{C1E9DDCA-43CD-4809-B0D5-E31610473713}">
      <text>
        <r>
          <rPr>
            <b/>
            <sz val="9"/>
            <color indexed="81"/>
            <rFont val="Tahoma"/>
            <family val="2"/>
          </rPr>
          <t>Williams, Justin:</t>
        </r>
        <r>
          <rPr>
            <sz val="9"/>
            <color indexed="81"/>
            <rFont val="Tahoma"/>
            <family val="2"/>
          </rPr>
          <t xml:space="preserve">
SAE Approximation for steels with H_B &lt;=500 : S_ut + 50 kpsi</t>
        </r>
      </text>
    </comment>
    <comment ref="A16" authorId="0" shapeId="0" xr:uid="{6F47DBCD-A80D-4A9B-A9D7-8B2C863427B4}">
      <text>
        <r>
          <rPr>
            <b/>
            <sz val="9"/>
            <color indexed="81"/>
            <rFont val="Tahoma"/>
            <family val="2"/>
          </rPr>
          <t>Williams, Justin:</t>
        </r>
        <r>
          <rPr>
            <sz val="9"/>
            <color indexed="81"/>
            <rFont val="Tahoma"/>
            <family val="2"/>
          </rPr>
          <t xml:space="preserve">
If diameter of rotating part is not applicable, use an equivalent diameter. The diameter that would be needed for a rotating bending speciment so its amount of area at the critical cross-section that experieinces 95% of the max stress or higher is equal to the amount of area for the actual part's critical cross sectino that experieinces 95% of the max stress or higher.
See Table 6-3, Eq 6-24, Eq 6-25 for more info.</t>
        </r>
      </text>
    </comment>
    <comment ref="C18" authorId="0" shapeId="0" xr:uid="{E81C73C1-E5D4-403D-9DEB-C6979FEAC924}">
      <text>
        <r>
          <rPr>
            <b/>
            <sz val="9"/>
            <color indexed="81"/>
            <rFont val="Tahoma"/>
            <family val="2"/>
          </rPr>
          <t>Williams, Justin:</t>
        </r>
        <r>
          <rPr>
            <sz val="9"/>
            <color indexed="81"/>
            <rFont val="Tahoma"/>
            <family val="2"/>
          </rPr>
          <t xml:space="preserve">
Generally half of the outer diameter.</t>
        </r>
      </text>
    </comment>
    <comment ref="A24" authorId="0" shapeId="0" xr:uid="{154E1CB4-A0ED-420A-BB8A-F5C0AB4D86E8}">
      <text>
        <r>
          <rPr>
            <b/>
            <sz val="9"/>
            <color indexed="81"/>
            <rFont val="Tahoma"/>
            <family val="2"/>
          </rPr>
          <t>Williams, Justin:</t>
        </r>
        <r>
          <rPr>
            <sz val="9"/>
            <color indexed="81"/>
            <rFont val="Tahoma"/>
            <family val="2"/>
          </rPr>
          <t xml:space="preserve">
If combined load for shaft, use "Bending" to ste k_c = 1 as this will be handled with Distortion-Energy method instead.</t>
        </r>
      </text>
    </comment>
    <comment ref="C25" authorId="0" shapeId="0" xr:uid="{615AB373-6C7D-4282-9219-F148FF310CFB}">
      <text>
        <r>
          <rPr>
            <b/>
            <sz val="9"/>
            <color indexed="81"/>
            <rFont val="Tahoma"/>
            <family val="2"/>
          </rPr>
          <t>Williams, Justin:</t>
        </r>
        <r>
          <rPr>
            <sz val="9"/>
            <color indexed="81"/>
            <rFont val="Tahoma"/>
            <family val="2"/>
          </rPr>
          <t xml:space="preserve">
Below 70 deg F and above 1100 deg F will use constants.</t>
        </r>
      </text>
    </comment>
    <comment ref="A26" authorId="0" shapeId="0" xr:uid="{821753A3-76C0-4C91-83F5-3F747718DC53}">
      <text>
        <r>
          <rPr>
            <b/>
            <sz val="9"/>
            <color indexed="81"/>
            <rFont val="Tahoma"/>
            <family val="2"/>
          </rPr>
          <t>Williams, Justin:</t>
        </r>
        <r>
          <rPr>
            <sz val="9"/>
            <color indexed="81"/>
            <rFont val="Tahoma"/>
            <family val="2"/>
          </rPr>
          <t xml:space="preserve">
Atte</t>
        </r>
      </text>
    </comment>
    <comment ref="A30" authorId="0" shapeId="0" xr:uid="{4E93581B-30EF-4047-939D-DAC2A8F5E4CA}">
      <text>
        <r>
          <rPr>
            <b/>
            <sz val="9"/>
            <color indexed="81"/>
            <rFont val="Tahoma"/>
            <family val="2"/>
          </rPr>
          <t>Williams, Justin:</t>
        </r>
        <r>
          <rPr>
            <sz val="9"/>
            <color indexed="81"/>
            <rFont val="Tahoma"/>
            <family val="2"/>
          </rPr>
          <t xml:space="preserve">
Marin Factor will take this into account as well. This is not used for any calculations, but just for reference.</t>
        </r>
      </text>
    </comment>
    <comment ref="A31" authorId="0" shapeId="0" xr:uid="{1689B0DB-7AA9-4626-823C-7E5C9F6F633A}">
      <text>
        <r>
          <rPr>
            <b/>
            <sz val="9"/>
            <color indexed="81"/>
            <rFont val="Tahoma"/>
            <family val="2"/>
          </rPr>
          <t>Williams, Justin:</t>
        </r>
        <r>
          <rPr>
            <sz val="9"/>
            <color indexed="81"/>
            <rFont val="Tahoma"/>
            <family val="2"/>
          </rPr>
          <t xml:space="preserve">
Used to account for the roughness of a part that are microscopic 'stress concentrations' that may develop micro-cracks then propogate.</t>
        </r>
      </text>
    </comment>
    <comment ref="A32" authorId="0" shapeId="0" xr:uid="{8AD1409C-19E2-4073-B1FB-5045E9544B43}">
      <text>
        <r>
          <rPr>
            <b/>
            <sz val="9"/>
            <color indexed="81"/>
            <rFont val="Tahoma"/>
            <family val="2"/>
          </rPr>
          <t>Williams, Justin:</t>
        </r>
        <r>
          <rPr>
            <sz val="9"/>
            <color indexed="81"/>
            <rFont val="Tahoma"/>
            <family val="2"/>
          </rPr>
          <t xml:space="preserve">
Changes based on how much material is being utilized to carry the stress IE what the stress shape looks like</t>
        </r>
      </text>
    </comment>
    <comment ref="A33" authorId="0" shapeId="0" xr:uid="{A3885440-367C-4C3B-8064-47B33F8CEFD7}">
      <text>
        <r>
          <rPr>
            <b/>
            <sz val="9"/>
            <color indexed="81"/>
            <rFont val="Tahoma"/>
            <family val="2"/>
          </rPr>
          <t>Williams, Justin:</t>
        </r>
        <r>
          <rPr>
            <sz val="9"/>
            <color indexed="81"/>
            <rFont val="Tahoma"/>
            <family val="2"/>
          </rPr>
          <t xml:space="preserve">
If combined loading, this should be set to 1 as this is handled elsewhere.</t>
        </r>
      </text>
    </comment>
    <comment ref="A35" authorId="0" shapeId="0" xr:uid="{4A5CC7AE-322A-4A5D-A360-EB6EB9CD1DAE}">
      <text>
        <r>
          <rPr>
            <b/>
            <sz val="9"/>
            <color indexed="81"/>
            <rFont val="Tahoma"/>
            <family val="2"/>
          </rPr>
          <t>Williams, Justin:</t>
        </r>
        <r>
          <rPr>
            <sz val="9"/>
            <color indexed="81"/>
            <rFont val="Tahoma"/>
            <family val="2"/>
          </rPr>
          <t xml:space="preserve">
Will change the slope of the line in the endurance strength vs tensile strength chart to try to skew away from 'average' at 0.5, to capture more of possible data if using 0.9999, etc.</t>
        </r>
      </text>
    </comment>
    <comment ref="A36" authorId="0" shapeId="0" xr:uid="{54CD5FC7-A911-4D0E-8681-642D4F50B3C8}">
      <text>
        <r>
          <rPr>
            <b/>
            <sz val="9"/>
            <color indexed="81"/>
            <rFont val="Tahoma"/>
            <family val="2"/>
          </rPr>
          <t>Williams, Justin:</t>
        </r>
        <r>
          <rPr>
            <sz val="9"/>
            <color indexed="81"/>
            <rFont val="Tahoma"/>
            <family val="2"/>
          </rPr>
          <t xml:space="preserve">
Usually leave at '1'. Probably only use this if historical data dictates so.</t>
        </r>
      </text>
    </comment>
    <comment ref="A38" authorId="0" shapeId="0" xr:uid="{226891E0-2039-415A-BDBB-8A63188E83BD}">
      <text>
        <r>
          <rPr>
            <b/>
            <sz val="9"/>
            <color indexed="81"/>
            <rFont val="Tahoma"/>
            <family val="2"/>
          </rPr>
          <t>Williams, Justin:</t>
        </r>
        <r>
          <rPr>
            <sz val="9"/>
            <color indexed="81"/>
            <rFont val="Tahoma"/>
            <family val="2"/>
          </rPr>
          <t xml:space="preserve">
Note that torsion will be lower than a combined bending and torsion. This SHOULD be handled elsewhere due to the load factor factor being handled elsewhere, but looking into it to be sure.</t>
        </r>
      </text>
    </comment>
    <comment ref="B38" authorId="0" shapeId="0" xr:uid="{313504A5-6D79-4DB9-AACB-F748B3DF7660}">
      <text>
        <r>
          <rPr>
            <b/>
            <sz val="9"/>
            <color indexed="81"/>
            <rFont val="Tahoma"/>
            <family val="2"/>
          </rPr>
          <t>Williams, Justin:</t>
        </r>
        <r>
          <rPr>
            <sz val="9"/>
            <color indexed="81"/>
            <rFont val="Tahoma"/>
            <family val="2"/>
          </rPr>
          <t xml:space="preserve">
S_se for shearing endurance if Torsional Stress Type</t>
        </r>
      </text>
    </comment>
    <comment ref="A42" authorId="0" shapeId="0" xr:uid="{0D763D85-8E2C-4B71-9815-4E1C20CD3968}">
      <text>
        <r>
          <rPr>
            <b/>
            <sz val="9"/>
            <color indexed="81"/>
            <rFont val="Tahoma"/>
            <family val="2"/>
          </rPr>
          <t>Williams, Justin:</t>
        </r>
        <r>
          <rPr>
            <sz val="9"/>
            <color indexed="81"/>
            <rFont val="Tahoma"/>
            <family val="2"/>
          </rPr>
          <t xml:space="preserve">
Fig A-15 etc</t>
        </r>
      </text>
    </comment>
    <comment ref="A43" authorId="0" shapeId="0" xr:uid="{2D6E5DCC-9EAA-4E12-B40A-9A9D1C02DA6D}">
      <text>
        <r>
          <rPr>
            <b/>
            <sz val="9"/>
            <color indexed="81"/>
            <rFont val="Tahoma"/>
            <family val="2"/>
          </rPr>
          <t>Williams, Justin:</t>
        </r>
        <r>
          <rPr>
            <sz val="9"/>
            <color indexed="81"/>
            <rFont val="Tahoma"/>
            <family val="2"/>
          </rPr>
          <t xml:space="preserve">
Fig A-15-8 for example</t>
        </r>
      </text>
    </comment>
    <comment ref="A47" authorId="0" shapeId="0" xr:uid="{13D09BC6-4BB6-4CB9-B704-28A31D53056B}">
      <text>
        <r>
          <rPr>
            <b/>
            <sz val="9"/>
            <color indexed="81"/>
            <rFont val="Tahoma"/>
            <family val="2"/>
          </rPr>
          <t>Williams, Justin:</t>
        </r>
        <r>
          <rPr>
            <sz val="9"/>
            <color indexed="81"/>
            <rFont val="Tahoma"/>
            <family val="2"/>
          </rPr>
          <t xml:space="preserve">
Figure 6-20</t>
        </r>
      </text>
    </comment>
    <comment ref="A49" authorId="0" shapeId="0" xr:uid="{72B9B7E3-7B8C-404C-B64B-D4FC9A969DD0}">
      <text>
        <r>
          <rPr>
            <b/>
            <sz val="9"/>
            <color indexed="81"/>
            <rFont val="Tahoma"/>
            <family val="2"/>
          </rPr>
          <t>Williams, Justin:</t>
        </r>
        <r>
          <rPr>
            <sz val="9"/>
            <color indexed="81"/>
            <rFont val="Tahoma"/>
            <family val="2"/>
          </rPr>
          <t xml:space="preserve">
Fig A-15-12 can be used as well, if wanting to estimate without formulas
</t>
        </r>
      </text>
    </comment>
    <comment ref="E55" authorId="0" shapeId="0" xr:uid="{B41FA9D8-38BC-4CD3-A2AA-445623487550}">
      <text>
        <r>
          <rPr>
            <b/>
            <sz val="9"/>
            <color indexed="81"/>
            <rFont val="Tahoma"/>
            <family val="2"/>
          </rPr>
          <t>Williams, Justin:</t>
        </r>
        <r>
          <rPr>
            <sz val="9"/>
            <color indexed="81"/>
            <rFont val="Tahoma"/>
            <family val="2"/>
          </rPr>
          <t xml:space="preserve">
If this is a steady-state condition, then this is the number to input for T_m below.</t>
        </r>
      </text>
    </comment>
    <comment ref="A73" authorId="0" shapeId="0" xr:uid="{F9BE5D77-9D25-4DC6-BF88-89CA092157E6}">
      <text>
        <r>
          <rPr>
            <b/>
            <sz val="9"/>
            <color indexed="81"/>
            <rFont val="Tahoma"/>
            <family val="2"/>
          </rPr>
          <t>Williams, Justin:</t>
        </r>
        <r>
          <rPr>
            <sz val="9"/>
            <color indexed="81"/>
            <rFont val="Tahoma"/>
            <family val="2"/>
          </rPr>
          <t xml:space="preserve">
This</t>
        </r>
      </text>
    </comment>
    <comment ref="A77" authorId="0" shapeId="0" xr:uid="{99D8B74C-684D-4AD5-BDCE-4619419A0719}">
      <text>
        <r>
          <rPr>
            <b/>
            <sz val="9"/>
            <color indexed="81"/>
            <rFont val="Tahoma"/>
            <family val="2"/>
          </rPr>
          <t>Williams, Justin:</t>
        </r>
        <r>
          <rPr>
            <sz val="9"/>
            <color indexed="81"/>
            <rFont val="Tahoma"/>
            <family val="2"/>
          </rPr>
          <t xml:space="preserve">
Eq 6-49
Langer Static Yield</t>
        </r>
      </text>
    </comment>
    <comment ref="A81" authorId="0" shapeId="0" xr:uid="{C9974AA5-EC96-4BB9-8AC0-D5E95341B063}">
      <text>
        <r>
          <rPr>
            <b/>
            <sz val="9"/>
            <color indexed="81"/>
            <rFont val="Tahoma"/>
            <family val="2"/>
          </rPr>
          <t>Williams, Justin:</t>
        </r>
        <r>
          <rPr>
            <sz val="9"/>
            <color indexed="81"/>
            <rFont val="Tahoma"/>
            <family val="2"/>
          </rPr>
          <t xml:space="preserve">
Believe the MODIFIED Goodman is generally the most widely used criteria for steel fatigue. This is simply the area inscribed under the goodman AND langer lines on the chart.</t>
        </r>
      </text>
    </comment>
    <comment ref="C81" authorId="0" shapeId="0" xr:uid="{A808AA81-B142-44EA-B0F3-7BD3AFDD8C7B}">
      <text>
        <r>
          <rPr>
            <b/>
            <sz val="9"/>
            <color indexed="81"/>
            <rFont val="Tahoma"/>
            <family val="2"/>
          </rPr>
          <t>Williams, Justin:</t>
        </r>
        <r>
          <rPr>
            <sz val="9"/>
            <color indexed="81"/>
            <rFont val="Tahoma"/>
            <family val="2"/>
          </rPr>
          <t xml:space="preserve">
Be sure to check for first cycle yield as well!</t>
        </r>
      </text>
    </comment>
    <comment ref="A82" authorId="0" shapeId="0" xr:uid="{E60793CC-C73C-49C4-95B7-C0CAA7672B1D}">
      <text>
        <r>
          <rPr>
            <b/>
            <sz val="9"/>
            <color indexed="81"/>
            <rFont val="Tahoma"/>
            <family val="2"/>
          </rPr>
          <t>Williams, Justin:</t>
        </r>
        <r>
          <rPr>
            <sz val="9"/>
            <color indexed="81"/>
            <rFont val="Tahoma"/>
            <family val="2"/>
          </rPr>
          <t xml:space="preserve">
This is the most conservative…not sure when it is typically used though. I tend to lean towards the modified Goodman (Goodman and Langer combo).</t>
        </r>
      </text>
    </comment>
    <comment ref="A83" authorId="0" shapeId="0" xr:uid="{6DE1D13D-EB3F-43C8-A532-6EF4518632DA}">
      <text>
        <r>
          <rPr>
            <b/>
            <sz val="9"/>
            <color indexed="81"/>
            <rFont val="Tahoma"/>
            <family val="2"/>
          </rPr>
          <t>Williams, Justin:</t>
        </r>
        <r>
          <rPr>
            <sz val="9"/>
            <color indexed="81"/>
            <rFont val="Tahoma"/>
            <family val="2"/>
          </rPr>
          <t xml:space="preserve">
Table 6-7</t>
        </r>
      </text>
    </comment>
    <comment ref="A84" authorId="0" shapeId="0" xr:uid="{06607481-6A02-4145-96EA-1DFC10D8E890}">
      <text>
        <r>
          <rPr>
            <b/>
            <sz val="9"/>
            <color indexed="81"/>
            <rFont val="Tahoma"/>
            <family val="2"/>
          </rPr>
          <t>Williams, Justin:</t>
        </r>
        <r>
          <rPr>
            <sz val="9"/>
            <color indexed="81"/>
            <rFont val="Tahoma"/>
            <family val="2"/>
          </rPr>
          <t xml:space="preserve">
Table 6-7</t>
        </r>
      </text>
    </comment>
    <comment ref="C89" authorId="0" shapeId="0" xr:uid="{E2DFE09E-E2F8-48D3-8675-84A7B339584E}">
      <text>
        <r>
          <rPr>
            <b/>
            <sz val="9"/>
            <color indexed="81"/>
            <rFont val="Tahoma"/>
            <family val="2"/>
          </rPr>
          <t>Williams, Justin:</t>
        </r>
        <r>
          <rPr>
            <sz val="9"/>
            <color indexed="81"/>
            <rFont val="Tahoma"/>
            <family val="2"/>
          </rPr>
          <t xml:space="preserve">
Typically 10^6
Sometimes 10^7
Rarely other values</t>
        </r>
      </text>
    </comment>
    <comment ref="A93" authorId="0" shapeId="0" xr:uid="{F0124AF8-2956-4AD0-90EB-8DA6FF44660E}">
      <text>
        <r>
          <rPr>
            <b/>
            <sz val="9"/>
            <color indexed="81"/>
            <rFont val="Tahoma"/>
            <family val="2"/>
          </rPr>
          <t>Williams, Justin:</t>
        </r>
        <r>
          <rPr>
            <sz val="9"/>
            <color indexed="81"/>
            <rFont val="Tahoma"/>
            <family val="2"/>
          </rPr>
          <t xml:space="preserve">
Found other info out there other than Shigley's that stated that 0.9*S_ut was a good approximation. Am using a combination of both, whichever is lower. Doing this because the SAE approximation of S_ut+50ksi for the Fatigue Strength Coefficient can result in this value being even higher than S_ut for low S_ut values, which does not make sense to 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<sst xmlns="http://schemas.openxmlformats.org/spreadsheetml/2006/main" count="333" uniqueCount="235">
  <si>
    <t>This sheet only to be used for steel shafts and assumes effects of axial loading is negligible.
-Justin Williams 2022-06-02</t>
  </si>
  <si>
    <t>Recall S-N Curve only valid for fully reversed stresses.</t>
  </si>
  <si>
    <t>SurfaceFinish</t>
  </si>
  <si>
    <t>StressType</t>
  </si>
  <si>
    <t>Reliability</t>
  </si>
  <si>
    <t>K_e</t>
  </si>
  <si>
    <t>Table 6-4</t>
  </si>
  <si>
    <t>For other stress conditions, generally should use Modified Goodman, or some other failure criteria such as ASME Elliptical, Soderberg, Gerber, etc.</t>
  </si>
  <si>
    <t>Ground</t>
  </si>
  <si>
    <t>Bending</t>
  </si>
  <si>
    <t>Temperature</t>
  </si>
  <si>
    <r>
      <t>S</t>
    </r>
    <r>
      <rPr>
        <b/>
        <vertAlign val="subscript"/>
        <sz val="11"/>
        <color theme="1"/>
        <rFont val="Calibri"/>
        <family val="2"/>
        <scheme val="minor"/>
      </rPr>
      <t>T</t>
    </r>
    <r>
      <rPr>
        <b/>
        <sz val="11"/>
        <color theme="1"/>
        <rFont val="Calibri"/>
        <family val="2"/>
        <scheme val="minor"/>
      </rPr>
      <t>/S</t>
    </r>
    <r>
      <rPr>
        <b/>
        <vertAlign val="subscript"/>
        <sz val="11"/>
        <color theme="1"/>
        <rFont val="Calibri"/>
        <family val="2"/>
        <scheme val="minor"/>
      </rPr>
      <t>RT</t>
    </r>
  </si>
  <si>
    <t>Material Properties</t>
  </si>
  <si>
    <t>Recall sigma = M*c/I for bending moment --- M = F*d ---  this spreadsheet does not have forces currently and instead works on stresses.</t>
  </si>
  <si>
    <t>Machined/Cold-Drawn</t>
  </si>
  <si>
    <t>Pure Axial</t>
  </si>
  <si>
    <t>Description</t>
  </si>
  <si>
    <t>Symbol</t>
  </si>
  <si>
    <t>Value</t>
  </si>
  <si>
    <t>Unit</t>
  </si>
  <si>
    <t>Hot-Rolled</t>
  </si>
  <si>
    <t>Torsion</t>
  </si>
  <si>
    <t>Brinell's Hardness</t>
  </si>
  <si>
    <r>
      <t>H</t>
    </r>
    <r>
      <rPr>
        <vertAlign val="subscript"/>
        <sz val="11"/>
        <color theme="1"/>
        <rFont val="Calibri"/>
        <family val="2"/>
        <scheme val="minor"/>
      </rPr>
      <t>B</t>
    </r>
  </si>
  <si>
    <t>-</t>
  </si>
  <si>
    <t>As-Forged</t>
  </si>
  <si>
    <t>Combined Bending/Torsion</t>
  </si>
  <si>
    <t>Ultimate Tensile Strength</t>
  </si>
  <si>
    <r>
      <t>S</t>
    </r>
    <r>
      <rPr>
        <vertAlign val="subscript"/>
        <sz val="11"/>
        <color theme="1"/>
        <rFont val="Calibri"/>
        <family val="2"/>
        <scheme val="minor"/>
      </rPr>
      <t>ut</t>
    </r>
  </si>
  <si>
    <t>ksi</t>
  </si>
  <si>
    <t>Yield Strength (Tensile)</t>
  </si>
  <si>
    <r>
      <t>S</t>
    </r>
    <r>
      <rPr>
        <vertAlign val="subscript"/>
        <sz val="11"/>
        <color theme="1"/>
        <rFont val="Calibri"/>
        <family val="2"/>
        <scheme val="minor"/>
      </rPr>
      <t>y</t>
    </r>
  </si>
  <si>
    <t>True Fracture Strength</t>
  </si>
  <si>
    <r>
      <t>S</t>
    </r>
    <r>
      <rPr>
        <vertAlign val="subscript"/>
        <sz val="11"/>
        <color theme="1"/>
        <rFont val="Calibri"/>
        <family val="2"/>
        <scheme val="minor"/>
      </rPr>
      <t>ft</t>
    </r>
  </si>
  <si>
    <t>Ultimate Shearing Strength</t>
  </si>
  <si>
    <r>
      <t>S</t>
    </r>
    <r>
      <rPr>
        <vertAlign val="subscript"/>
        <sz val="11"/>
        <color theme="1"/>
        <rFont val="Calibri"/>
        <family val="2"/>
        <scheme val="minor"/>
      </rPr>
      <t>su</t>
    </r>
  </si>
  <si>
    <t>Yield Strength (Shear)</t>
  </si>
  <si>
    <r>
      <t>S</t>
    </r>
    <r>
      <rPr>
        <vertAlign val="subscript"/>
        <sz val="11"/>
        <color theme="1"/>
        <rFont val="Calibri"/>
        <family val="2"/>
        <scheme val="minor"/>
      </rPr>
      <t>sy</t>
    </r>
  </si>
  <si>
    <t>Ideal Endurance Limit Estimate</t>
  </si>
  <si>
    <r>
      <t>S</t>
    </r>
    <r>
      <rPr>
        <vertAlign val="subscript"/>
        <sz val="11"/>
        <color theme="1"/>
        <rFont val="Calibri"/>
        <family val="2"/>
        <scheme val="minor"/>
      </rPr>
      <t>e</t>
    </r>
    <r>
      <rPr>
        <sz val="11"/>
        <color theme="1"/>
        <rFont val="Calibri"/>
        <family val="2"/>
        <scheme val="minor"/>
      </rPr>
      <t>'</t>
    </r>
  </si>
  <si>
    <t>Fatigue Strength Coefficient</t>
  </si>
  <si>
    <r>
      <rPr>
        <sz val="11"/>
        <color theme="1"/>
        <rFont val="Calibri"/>
        <family val="2"/>
      </rPr>
      <t>σ</t>
    </r>
    <r>
      <rPr>
        <vertAlign val="subscript"/>
        <sz val="11"/>
        <color theme="1"/>
        <rFont val="Calibri"/>
        <family val="2"/>
      </rPr>
      <t>f</t>
    </r>
    <r>
      <rPr>
        <sz val="11"/>
        <color theme="1"/>
        <rFont val="Calibri"/>
        <family val="2"/>
      </rPr>
      <t>'</t>
    </r>
  </si>
  <si>
    <t>Shaft Geometry &amp; Use</t>
  </si>
  <si>
    <t>Surface Finish</t>
  </si>
  <si>
    <r>
      <t>Finish</t>
    </r>
    <r>
      <rPr>
        <vertAlign val="subscript"/>
        <sz val="11"/>
        <color theme="1"/>
        <rFont val="Calibri"/>
        <family val="2"/>
        <scheme val="minor"/>
      </rPr>
      <t>Surface</t>
    </r>
  </si>
  <si>
    <t>x1</t>
  </si>
  <si>
    <t>Outer Diameter (Equivalent)</t>
  </si>
  <si>
    <r>
      <t>d</t>
    </r>
    <r>
      <rPr>
        <vertAlign val="subscript"/>
        <sz val="11"/>
        <color theme="1"/>
        <rFont val="Calibri"/>
        <family val="2"/>
        <scheme val="minor"/>
      </rPr>
      <t>eq</t>
    </r>
  </si>
  <si>
    <t>in</t>
  </si>
  <si>
    <t>x2</t>
  </si>
  <si>
    <t>Inner Diameter</t>
  </si>
  <si>
    <t>d_i</t>
  </si>
  <si>
    <t>y1</t>
  </si>
  <si>
    <t>Distance from Neutral Axis to Surface of Shaft</t>
  </si>
  <si>
    <t>c</t>
  </si>
  <si>
    <t>Cross Sectional Area of Shaft</t>
  </si>
  <si>
    <t>A_cs</t>
  </si>
  <si>
    <t>in^2</t>
  </si>
  <si>
    <t>y2</t>
  </si>
  <si>
    <t>Polar Moment of Inertia of Shaft</t>
  </si>
  <si>
    <t>J</t>
  </si>
  <si>
    <t>in^4</t>
  </si>
  <si>
    <t>Moment of Inertia of Shaft</t>
  </si>
  <si>
    <t>I_0</t>
  </si>
  <si>
    <t>Shaft Usage</t>
  </si>
  <si>
    <t>Stress Loading Type</t>
  </si>
  <si>
    <t>Loading</t>
  </si>
  <si>
    <t>Temperature to be used at</t>
  </si>
  <si>
    <r>
      <t>T</t>
    </r>
    <r>
      <rPr>
        <vertAlign val="subscript"/>
        <sz val="11"/>
        <color theme="1"/>
        <rFont val="Calibri"/>
        <family val="2"/>
        <scheme val="minor"/>
      </rPr>
      <t>F</t>
    </r>
  </si>
  <si>
    <t>°F</t>
  </si>
  <si>
    <t>R</t>
  </si>
  <si>
    <t>Marin Correction Factors</t>
  </si>
  <si>
    <t>Strength Ratio for Elevated Temp vs Room Temp</t>
  </si>
  <si>
    <r>
      <t>S</t>
    </r>
    <r>
      <rPr>
        <vertAlign val="subscript"/>
        <sz val="11"/>
        <color theme="1"/>
        <rFont val="Calibri"/>
        <family val="2"/>
        <scheme val="minor"/>
      </rPr>
      <t>T</t>
    </r>
    <r>
      <rPr>
        <sz val="11"/>
        <color theme="1"/>
        <rFont val="Calibri"/>
        <family val="2"/>
        <scheme val="minor"/>
      </rPr>
      <t>/S</t>
    </r>
    <r>
      <rPr>
        <vertAlign val="subscript"/>
        <sz val="11"/>
        <color theme="1"/>
        <rFont val="Calibri"/>
        <family val="2"/>
        <scheme val="minor"/>
      </rPr>
      <t>RT</t>
    </r>
  </si>
  <si>
    <t>Ultimate Tensile Strength at Temp</t>
  </si>
  <si>
    <r>
      <t>S</t>
    </r>
    <r>
      <rPr>
        <vertAlign val="subscript"/>
        <sz val="11"/>
        <color theme="1"/>
        <rFont val="Calibri"/>
        <family val="2"/>
        <scheme val="minor"/>
      </rPr>
      <t>ut @Temp</t>
    </r>
  </si>
  <si>
    <t>Surface Condition Factor</t>
  </si>
  <si>
    <r>
      <t>k</t>
    </r>
    <r>
      <rPr>
        <vertAlign val="subscript"/>
        <sz val="11"/>
        <color theme="1"/>
        <rFont val="Calibri"/>
        <family val="2"/>
        <scheme val="minor"/>
      </rPr>
      <t>a</t>
    </r>
  </si>
  <si>
    <t>Size Factor</t>
  </si>
  <si>
    <r>
      <t>k</t>
    </r>
    <r>
      <rPr>
        <vertAlign val="subscript"/>
        <sz val="11"/>
        <color theme="1"/>
        <rFont val="Calibri"/>
        <family val="2"/>
        <scheme val="minor"/>
      </rPr>
      <t>b</t>
    </r>
  </si>
  <si>
    <t>Load Factor</t>
  </si>
  <si>
    <r>
      <t>k</t>
    </r>
    <r>
      <rPr>
        <vertAlign val="subscript"/>
        <sz val="11"/>
        <color theme="1"/>
        <rFont val="Calibri"/>
        <family val="2"/>
        <scheme val="minor"/>
      </rPr>
      <t>c</t>
    </r>
  </si>
  <si>
    <t>Temperature Factor</t>
  </si>
  <si>
    <r>
      <t>k</t>
    </r>
    <r>
      <rPr>
        <vertAlign val="subscript"/>
        <sz val="11"/>
        <color theme="1"/>
        <rFont val="Calibri"/>
        <family val="2"/>
        <scheme val="minor"/>
      </rPr>
      <t>d</t>
    </r>
  </si>
  <si>
    <t>Reliability Factor</t>
  </si>
  <si>
    <r>
      <t>k</t>
    </r>
    <r>
      <rPr>
        <vertAlign val="subscript"/>
        <sz val="11"/>
        <color theme="1"/>
        <rFont val="Calibri"/>
        <family val="2"/>
        <scheme val="minor"/>
      </rPr>
      <t>e</t>
    </r>
  </si>
  <si>
    <t>Miscellaneous Factor</t>
  </si>
  <si>
    <r>
      <t>k</t>
    </r>
    <r>
      <rPr>
        <vertAlign val="subscript"/>
        <sz val="11"/>
        <color theme="1"/>
        <rFont val="Calibri"/>
        <family val="2"/>
        <scheme val="minor"/>
      </rPr>
      <t>f</t>
    </r>
  </si>
  <si>
    <t>Overall Correction Factor</t>
  </si>
  <si>
    <r>
      <t>k</t>
    </r>
    <r>
      <rPr>
        <vertAlign val="subscript"/>
        <sz val="11"/>
        <color theme="1"/>
        <rFont val="Calibri"/>
        <family val="2"/>
        <scheme val="minor"/>
      </rPr>
      <t>overall</t>
    </r>
  </si>
  <si>
    <t>Endurance Limit (corrected)</t>
  </si>
  <si>
    <r>
      <t>S</t>
    </r>
    <r>
      <rPr>
        <vertAlign val="subscript"/>
        <sz val="11"/>
        <color theme="1"/>
        <rFont val="Calibri"/>
        <family val="2"/>
        <scheme val="minor"/>
      </rPr>
      <t>e</t>
    </r>
  </si>
  <si>
    <t>Theoretical Stress Concentration Factors</t>
  </si>
  <si>
    <t>Radius of Stress Concentration Feature</t>
  </si>
  <si>
    <r>
      <t>r</t>
    </r>
    <r>
      <rPr>
        <vertAlign val="subscript"/>
        <sz val="11"/>
        <color theme="1"/>
        <rFont val="Calibri"/>
        <family val="2"/>
        <scheme val="minor"/>
      </rPr>
      <t>scf</t>
    </r>
  </si>
  <si>
    <t>Stress concentration Factor</t>
  </si>
  <si>
    <r>
      <t>K</t>
    </r>
    <r>
      <rPr>
        <vertAlign val="subscript"/>
        <sz val="11"/>
        <color theme="1"/>
        <rFont val="Calibri"/>
        <family val="2"/>
        <scheme val="minor"/>
      </rPr>
      <t>t</t>
    </r>
  </si>
  <si>
    <t>Stress concentration Factor for Torsion</t>
  </si>
  <si>
    <r>
      <t>K</t>
    </r>
    <r>
      <rPr>
        <vertAlign val="subscript"/>
        <sz val="11"/>
        <color theme="1"/>
        <rFont val="Calibri"/>
        <family val="2"/>
        <scheme val="minor"/>
      </rPr>
      <t>ts</t>
    </r>
  </si>
  <si>
    <t>Neuber Constant</t>
  </si>
  <si>
    <t>sqrt(a)</t>
  </si>
  <si>
    <t>sqrt(in)</t>
  </si>
  <si>
    <t>Neuber Constant for Torsion</t>
  </si>
  <si>
    <t>sqrt(a)_s</t>
  </si>
  <si>
    <t>Notch Sensitivity</t>
  </si>
  <si>
    <t>q</t>
  </si>
  <si>
    <t>Notch Sensitivity Check</t>
  </si>
  <si>
    <t>Notch Sensitivity for Torsion</t>
  </si>
  <si>
    <t>q_s</t>
  </si>
  <si>
    <t>Fatigue Stress Concentration Factor</t>
  </si>
  <si>
    <r>
      <t>K</t>
    </r>
    <r>
      <rPr>
        <vertAlign val="subscript"/>
        <sz val="11"/>
        <color theme="1"/>
        <rFont val="Calibri"/>
        <family val="2"/>
        <scheme val="minor"/>
      </rPr>
      <t>f</t>
    </r>
  </si>
  <si>
    <t>Use this to multiply the nominal stress by to evaluate in the stress concentrated area.</t>
  </si>
  <si>
    <t>Fatigue Stress Concentration Factor for Torsion</t>
  </si>
  <si>
    <r>
      <t>K</t>
    </r>
    <r>
      <rPr>
        <vertAlign val="subscript"/>
        <sz val="11"/>
        <color theme="1"/>
        <rFont val="Calibri"/>
        <family val="2"/>
        <scheme val="minor"/>
      </rPr>
      <t>fs</t>
    </r>
  </si>
  <si>
    <t>Loads</t>
  </si>
  <si>
    <t>Shaft Speed</t>
  </si>
  <si>
    <t>rpm</t>
  </si>
  <si>
    <t>rad/s</t>
  </si>
  <si>
    <t>Shaft Transmitted Power</t>
  </si>
  <si>
    <t>HP</t>
  </si>
  <si>
    <t>W</t>
  </si>
  <si>
    <t>Shaft Torque Transmitted</t>
  </si>
  <si>
    <t>in*lbf</t>
  </si>
  <si>
    <t>N*m</t>
  </si>
  <si>
    <t>Torque that causes a midrange stress</t>
  </si>
  <si>
    <r>
      <t>T</t>
    </r>
    <r>
      <rPr>
        <vertAlign val="subscript"/>
        <sz val="11"/>
        <color theme="1"/>
        <rFont val="Calibri"/>
        <family val="2"/>
        <scheme val="minor"/>
      </rPr>
      <t>m</t>
    </r>
  </si>
  <si>
    <t>Torque that causes an alternating stress</t>
  </si>
  <si>
    <r>
      <t>T</t>
    </r>
    <r>
      <rPr>
        <vertAlign val="subscript"/>
        <sz val="11"/>
        <color theme="1"/>
        <rFont val="Calibri"/>
        <family val="2"/>
        <scheme val="minor"/>
      </rPr>
      <t>a</t>
    </r>
  </si>
  <si>
    <t>Moment that causes a midrange stress</t>
  </si>
  <si>
    <r>
      <t>M</t>
    </r>
    <r>
      <rPr>
        <vertAlign val="subscript"/>
        <sz val="11"/>
        <color theme="1"/>
        <rFont val="Calibri"/>
        <family val="2"/>
        <scheme val="minor"/>
      </rPr>
      <t>m</t>
    </r>
  </si>
  <si>
    <t>Moment that causes alternating stress</t>
  </si>
  <si>
    <r>
      <t>M</t>
    </r>
    <r>
      <rPr>
        <vertAlign val="subscript"/>
        <sz val="11"/>
        <color theme="1"/>
        <rFont val="Calibri"/>
        <family val="2"/>
        <scheme val="minor"/>
      </rPr>
      <t>a</t>
    </r>
  </si>
  <si>
    <t>Shaft Stresses</t>
  </si>
  <si>
    <t>Midrange Bending Stress</t>
  </si>
  <si>
    <r>
      <t>σ</t>
    </r>
    <r>
      <rPr>
        <vertAlign val="subscript"/>
        <sz val="11"/>
        <color theme="1"/>
        <rFont val="Calibri"/>
        <family val="2"/>
      </rPr>
      <t>m</t>
    </r>
  </si>
  <si>
    <t>psi</t>
  </si>
  <si>
    <t>Alternating Bending Stress</t>
  </si>
  <si>
    <r>
      <t>σ</t>
    </r>
    <r>
      <rPr>
        <vertAlign val="subscript"/>
        <sz val="11"/>
        <color theme="1"/>
        <rFont val="Calibri"/>
        <family val="2"/>
      </rPr>
      <t>a</t>
    </r>
  </si>
  <si>
    <t>Midrange Torsional Stress</t>
  </si>
  <si>
    <r>
      <t>τ</t>
    </r>
    <r>
      <rPr>
        <vertAlign val="subscript"/>
        <sz val="11"/>
        <color theme="1"/>
        <rFont val="Calibri"/>
        <family val="2"/>
      </rPr>
      <t>m</t>
    </r>
  </si>
  <si>
    <t>Alternating Torsional Stress</t>
  </si>
  <si>
    <r>
      <t>τ</t>
    </r>
    <r>
      <rPr>
        <vertAlign val="subscript"/>
        <sz val="11"/>
        <color theme="1"/>
        <rFont val="Calibri"/>
        <family val="2"/>
      </rPr>
      <t>a</t>
    </r>
  </si>
  <si>
    <t>Midrange Bending Stress Check</t>
  </si>
  <si>
    <t>Alternating Bending Stress Check</t>
  </si>
  <si>
    <t>Midrange Torsional Stress Check</t>
  </si>
  <si>
    <t>Alternating Torsional Stress Check</t>
  </si>
  <si>
    <t>Stress Calculation Check - Both Methods Same</t>
  </si>
  <si>
    <t>Check</t>
  </si>
  <si>
    <t>Von Mises Stress for Alternating Stresses</t>
  </si>
  <si>
    <r>
      <t>σ</t>
    </r>
    <r>
      <rPr>
        <vertAlign val="subscript"/>
        <sz val="11"/>
        <color theme="1"/>
        <rFont val="Calibri"/>
        <family val="2"/>
      </rPr>
      <t>a</t>
    </r>
    <r>
      <rPr>
        <sz val="11"/>
        <color theme="1"/>
        <rFont val="Calibri"/>
        <family val="2"/>
      </rPr>
      <t>'</t>
    </r>
  </si>
  <si>
    <t>Von Mises Stress for Midrange Stresses</t>
  </si>
  <si>
    <r>
      <t>σ</t>
    </r>
    <r>
      <rPr>
        <vertAlign val="subscript"/>
        <sz val="11"/>
        <color theme="1"/>
        <rFont val="Calibri"/>
        <family val="2"/>
      </rPr>
      <t>m</t>
    </r>
    <r>
      <rPr>
        <sz val="11"/>
        <color theme="1"/>
        <rFont val="Calibri"/>
        <family val="2"/>
      </rPr>
      <t>'</t>
    </r>
  </si>
  <si>
    <t>Von Mises Max Stress</t>
  </si>
  <si>
    <r>
      <t>σ</t>
    </r>
    <r>
      <rPr>
        <vertAlign val="subscript"/>
        <sz val="11"/>
        <color theme="1"/>
        <rFont val="Calibri"/>
        <family val="2"/>
      </rPr>
      <t>max</t>
    </r>
    <r>
      <rPr>
        <sz val="11"/>
        <color theme="1"/>
        <rFont val="Calibri"/>
        <family val="2"/>
      </rPr>
      <t>'</t>
    </r>
  </si>
  <si>
    <t>Factors of Safety</t>
  </si>
  <si>
    <t>First Cycle Yield Factor of Safety</t>
  </si>
  <si>
    <r>
      <t>n</t>
    </r>
    <r>
      <rPr>
        <vertAlign val="subscript"/>
        <sz val="11"/>
        <color theme="1"/>
        <rFont val="Calibri"/>
        <family val="2"/>
        <scheme val="minor"/>
      </rPr>
      <t>y</t>
    </r>
  </si>
  <si>
    <t>First Cylce Yield Factor of Safety (Alternative Conservative Method)</t>
  </si>
  <si>
    <t>Gerber A (alternating) Helper Cell</t>
  </si>
  <si>
    <t>Gerber B (midrange) Helper Cell</t>
  </si>
  <si>
    <t>DE-Goodman Factor of Safety</t>
  </si>
  <si>
    <r>
      <t>n</t>
    </r>
    <r>
      <rPr>
        <vertAlign val="subscript"/>
        <sz val="11"/>
        <color theme="1"/>
        <rFont val="Calibri"/>
        <family val="2"/>
        <scheme val="minor"/>
      </rPr>
      <t>f,Goodman</t>
    </r>
  </si>
  <si>
    <t>DE-Soderberg Factor of Safety</t>
  </si>
  <si>
    <r>
      <t>n</t>
    </r>
    <r>
      <rPr>
        <vertAlign val="subscript"/>
        <sz val="11"/>
        <color theme="1"/>
        <rFont val="Calibri"/>
        <family val="2"/>
        <scheme val="minor"/>
      </rPr>
      <t>f,Soderberg</t>
    </r>
  </si>
  <si>
    <t>DE-ASME Elliptic Factor of Safety</t>
  </si>
  <si>
    <r>
      <t>n</t>
    </r>
    <r>
      <rPr>
        <vertAlign val="subscript"/>
        <sz val="11"/>
        <color theme="1"/>
        <rFont val="Calibri"/>
        <family val="2"/>
        <scheme val="minor"/>
      </rPr>
      <t>f,ASME-Elliptic</t>
    </r>
  </si>
  <si>
    <t>DE-Gerber Factor of Safety</t>
  </si>
  <si>
    <r>
      <t>n</t>
    </r>
    <r>
      <rPr>
        <vertAlign val="subscript"/>
        <sz val="11"/>
        <color theme="1"/>
        <rFont val="Calibri"/>
        <family val="2"/>
        <scheme val="minor"/>
      </rPr>
      <t>f,Gerber</t>
    </r>
  </si>
  <si>
    <t>DE-Morrow Factor of Safety</t>
  </si>
  <si>
    <t>Cycles</t>
  </si>
  <si>
    <t>Number of Cycles (Target)</t>
  </si>
  <si>
    <t>N</t>
  </si>
  <si>
    <t>Number of Cycles to Endurance Limit</t>
  </si>
  <si>
    <r>
      <t>N</t>
    </r>
    <r>
      <rPr>
        <vertAlign val="subscript"/>
        <sz val="11"/>
        <color theme="1"/>
        <rFont val="Calibri"/>
        <family val="2"/>
      </rPr>
      <t>e</t>
    </r>
  </si>
  <si>
    <t>Number of Cycles (1000)</t>
  </si>
  <si>
    <r>
      <t>N</t>
    </r>
    <r>
      <rPr>
        <vertAlign val="subscript"/>
        <sz val="11"/>
        <color theme="1"/>
        <rFont val="Calibri"/>
        <family val="2"/>
      </rPr>
      <t>1000</t>
    </r>
  </si>
  <si>
    <t>Coefficient b</t>
  </si>
  <si>
    <t>b</t>
  </si>
  <si>
    <t>Ideal Fatigue Strength @ Target Cycles</t>
  </si>
  <si>
    <r>
      <t>S</t>
    </r>
    <r>
      <rPr>
        <vertAlign val="subscript"/>
        <sz val="11"/>
        <color theme="1"/>
        <rFont val="Calibri"/>
        <family val="2"/>
        <scheme val="minor"/>
      </rPr>
      <t>f</t>
    </r>
    <r>
      <rPr>
        <sz val="11"/>
        <color theme="1"/>
        <rFont val="Calibri"/>
        <family val="2"/>
        <scheme val="minor"/>
      </rPr>
      <t>'</t>
    </r>
    <r>
      <rPr>
        <vertAlign val="subscript"/>
        <sz val="11"/>
        <color theme="1"/>
        <rFont val="Calibri"/>
        <family val="2"/>
        <scheme val="minor"/>
      </rPr>
      <t>(targetNcycles)</t>
    </r>
  </si>
  <si>
    <t>Ideal Fatigue Strength @ 1000 Cycles</t>
  </si>
  <si>
    <r>
      <t>S</t>
    </r>
    <r>
      <rPr>
        <vertAlign val="subscript"/>
        <sz val="11"/>
        <color theme="1"/>
        <rFont val="Calibri"/>
        <family val="2"/>
        <scheme val="minor"/>
      </rPr>
      <t>f</t>
    </r>
    <r>
      <rPr>
        <sz val="11"/>
        <color theme="1"/>
        <rFont val="Calibri"/>
        <family val="2"/>
        <scheme val="minor"/>
      </rPr>
      <t>'</t>
    </r>
    <r>
      <rPr>
        <vertAlign val="subscript"/>
        <sz val="11"/>
        <color theme="1"/>
        <rFont val="Calibri"/>
        <family val="2"/>
        <scheme val="minor"/>
      </rPr>
      <t>(1000)</t>
    </r>
  </si>
  <si>
    <t>Ideal Fatigue Strength @ Endurance Limit</t>
  </si>
  <si>
    <r>
      <t>S</t>
    </r>
    <r>
      <rPr>
        <vertAlign val="subscript"/>
        <sz val="11"/>
        <color theme="1"/>
        <rFont val="Calibri"/>
        <family val="2"/>
        <scheme val="minor"/>
      </rPr>
      <t>f</t>
    </r>
    <r>
      <rPr>
        <sz val="11"/>
        <color theme="1"/>
        <rFont val="Calibri"/>
        <family val="2"/>
        <scheme val="minor"/>
      </rPr>
      <t>'</t>
    </r>
    <r>
      <rPr>
        <vertAlign val="subscript"/>
        <sz val="11"/>
        <color theme="1"/>
        <rFont val="Calibri"/>
        <family val="2"/>
        <scheme val="minor"/>
      </rPr>
      <t>(Ne)</t>
    </r>
  </si>
  <si>
    <t>Fatigue Strength Fraction</t>
  </si>
  <si>
    <t>f</t>
  </si>
  <si>
    <t>Low Cycle Region</t>
  </si>
  <si>
    <t>Number of Cycles</t>
  </si>
  <si>
    <t>a</t>
  </si>
  <si>
    <t>Fatigue Strength</t>
  </si>
  <si>
    <r>
      <t>S</t>
    </r>
    <r>
      <rPr>
        <vertAlign val="subscript"/>
        <sz val="11"/>
        <color theme="1"/>
        <rFont val="Calibri"/>
        <family val="2"/>
        <scheme val="minor"/>
      </rPr>
      <t>f,low</t>
    </r>
  </si>
  <si>
    <t>High Cycle Region</t>
  </si>
  <si>
    <r>
      <t>S</t>
    </r>
    <r>
      <rPr>
        <vertAlign val="subscript"/>
        <sz val="11"/>
        <color theme="1"/>
        <rFont val="Calibri"/>
        <family val="2"/>
        <scheme val="minor"/>
      </rPr>
      <t>f,high</t>
    </r>
  </si>
  <si>
    <t>Infinite Cycle Region</t>
  </si>
  <si>
    <r>
      <t>S</t>
    </r>
    <r>
      <rPr>
        <vertAlign val="subscript"/>
        <sz val="11"/>
        <color theme="1"/>
        <rFont val="Calibri"/>
        <family val="2"/>
        <scheme val="minor"/>
      </rPr>
      <t>f,inf</t>
    </r>
  </si>
  <si>
    <t>Fatigue Strength @ Cycle</t>
  </si>
  <si>
    <t>N_Cycles</t>
  </si>
  <si>
    <t>Fatigue Strength @ N_Cycles</t>
  </si>
  <si>
    <r>
      <t>S</t>
    </r>
    <r>
      <rPr>
        <vertAlign val="subscript"/>
        <sz val="11"/>
        <color theme="1"/>
        <rFont val="Calibri"/>
        <family val="2"/>
        <scheme val="minor"/>
      </rPr>
      <t>f</t>
    </r>
  </si>
  <si>
    <t>Midrange Stress</t>
  </si>
  <si>
    <t>Alternating Stress</t>
  </si>
  <si>
    <t>S-N Curve Chart Data</t>
  </si>
  <si>
    <t>S-N Curve</t>
  </si>
  <si>
    <t>Sf</t>
  </si>
  <si>
    <t>Sf corrected</t>
  </si>
  <si>
    <t>Load State</t>
  </si>
  <si>
    <t>x</t>
  </si>
  <si>
    <t>y</t>
  </si>
  <si>
    <t>Fatigue Diagram (Alternating Stress vs Midrange Stress)</t>
  </si>
  <si>
    <t>Modified Goodman</t>
  </si>
  <si>
    <t>Type</t>
  </si>
  <si>
    <t>Load Line</t>
  </si>
  <si>
    <t>Goodman</t>
  </si>
  <si>
    <t>Langer (Yield)</t>
  </si>
  <si>
    <t>Soderberg</t>
  </si>
  <si>
    <t>point</t>
  </si>
  <si>
    <t>series</t>
  </si>
  <si>
    <t>Limit</t>
  </si>
  <si>
    <t>Static Fracture</t>
  </si>
  <si>
    <t>pos modified goodman</t>
  </si>
  <si>
    <t>pos midrange</t>
  </si>
  <si>
    <t>stress state</t>
  </si>
  <si>
    <t>Example Max repeated Stress</t>
  </si>
  <si>
    <t>gerber</t>
  </si>
  <si>
    <t>asme</t>
  </si>
  <si>
    <t>* Have not substituted this for d_eq/2 everywhere yet.</t>
  </si>
  <si>
    <t>Conservative Alternative for Von Mises Max Stress</t>
  </si>
  <si>
    <r>
      <t>σ</t>
    </r>
    <r>
      <rPr>
        <vertAlign val="subscript"/>
        <sz val="11"/>
        <color theme="1"/>
        <rFont val="Calibri"/>
        <family val="2"/>
      </rPr>
      <t>max</t>
    </r>
    <r>
      <rPr>
        <sz val="11"/>
        <color theme="1"/>
        <rFont val="Calibri"/>
        <family val="2"/>
      </rPr>
      <t>'</t>
    </r>
    <r>
      <rPr>
        <vertAlign val="subscript"/>
        <sz val="11"/>
        <color theme="1"/>
        <rFont val="Calibri"/>
        <family val="2"/>
      </rPr>
      <t>_cons</t>
    </r>
  </si>
  <si>
    <r>
      <t>n</t>
    </r>
    <r>
      <rPr>
        <vertAlign val="subscript"/>
        <sz val="11"/>
        <color theme="1"/>
        <rFont val="Calibri"/>
        <family val="2"/>
        <scheme val="minor"/>
      </rPr>
      <t>y_cons</t>
    </r>
  </si>
  <si>
    <t>Key</t>
  </si>
  <si>
    <t>Input</t>
  </si>
  <si>
    <t>Output</t>
  </si>
  <si>
    <t>Output (Likely Important)</t>
  </si>
  <si>
    <t>Non-Necesarry Input</t>
  </si>
  <si>
    <t>Helpful Value for inputs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</si>
</sst>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0000"/>
    <numFmt numFmtId="166" formatCode="0.000"/>
    <numFmt numFmtId="167" formatCode="0.0"/>
    <numFmt numFmtId="169" formatCode="0.0000000000000"/>
  </numFmts>
  <fonts count="10"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b/>
      <vertAlign val="subscript"/>
      <sz val="11"/>
      <color theme="1"/>
      <name val="Calibri"/>
      <family val="2"/>
      <scheme val="minor"/>
    </font>
    <font>
      <vertAlign val="subscript"/>
      <sz val="11"/>
      <color theme="1"/>
      <name val="Calibri"/>
      <family val="2"/>
      <scheme val="minor"/>
    </font>
    <font>
      <sz val="11"/>
      <color theme="1"/>
      <name val="Calibri"/>
      <family val="2"/>
    </font>
    <font>
      <vertAlign val="subscript"/>
      <sz val="11"/>
      <color theme="1"/>
      <name val="Calibri"/>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s>
  <borders count="4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medium">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top style="thin">
        <color indexed="64"/>
      </top>
      <bottom/>
      <diagonal/>
    </border>
    <border>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s>
  <cellStyleXfs count="2">
    <xf numFmtId="0" fontId="0" fillId="0" borderId="0"/>
    <xf numFmtId="9" fontId="1" fillId="0" borderId="0" applyFont="0" applyFill="0" applyBorder="0" applyAlignment="0" applyProtection="0"/>
  </cellStyleXfs>
  <cellXfs count="150">
    <xf numFmtId="0" fontId="0" fillId="0" borderId="0" xfId="0"/>
    <xf numFmtId="0" fontId="3" fillId="2" borderId="0" xfId="0" applyFont="1" applyFill="1" applyAlignment="1">
      <alignment horizontal="center" wrapText="1"/>
    </xf>
    <xf numFmtId="0" fontId="3" fillId="2" borderId="0" xfId="0" applyFont="1" applyFill="1" applyAlignment="1">
      <alignment horizontal="center"/>
    </xf>
    <xf numFmtId="0" fontId="3" fillId="0" borderId="0" xfId="0" applyFont="1"/>
    <xf numFmtId="0" fontId="3" fillId="0" borderId="1" xfId="0" applyFont="1" applyBorder="1"/>
    <xf numFmtId="0" fontId="3" fillId="0" borderId="1" xfId="0" applyFont="1" applyBorder="1" applyAlignment="1">
      <alignment horizontal="center"/>
    </xf>
    <xf numFmtId="0" fontId="0" fillId="0" borderId="1" xfId="0" applyBorder="1"/>
    <xf numFmtId="0" fontId="3" fillId="0" borderId="2" xfId="0" applyFont="1" applyBorder="1" applyAlignment="1">
      <alignment horizontal="center"/>
    </xf>
    <xf numFmtId="0" fontId="3" fillId="0" borderId="3" xfId="0" applyFont="1" applyBorder="1" applyAlignment="1">
      <alignment horizontal="center"/>
    </xf>
    <xf numFmtId="0" fontId="3" fillId="0" borderId="4" xfId="0" applyFont="1" applyBorder="1" applyAlignment="1">
      <alignment horizontal="center"/>
    </xf>
    <xf numFmtId="0" fontId="3" fillId="0" borderId="2" xfId="0" applyFont="1" applyBorder="1"/>
    <xf numFmtId="0" fontId="3" fillId="0" borderId="3" xfId="0" applyFont="1" applyBorder="1"/>
    <xf numFmtId="0" fontId="3" fillId="0" borderId="4" xfId="0" applyFont="1" applyBorder="1"/>
    <xf numFmtId="0" fontId="0" fillId="0" borderId="5" xfId="0" applyBorder="1"/>
    <xf numFmtId="0" fontId="0" fillId="0" borderId="6" xfId="0" applyBorder="1"/>
    <xf numFmtId="0" fontId="0" fillId="3" borderId="6" xfId="0" applyFill="1" applyBorder="1"/>
    <xf numFmtId="0" fontId="0" fillId="0" borderId="7" xfId="0" applyBorder="1" applyAlignment="1">
      <alignment horizontal="center"/>
    </xf>
    <xf numFmtId="0" fontId="0" fillId="0" borderId="8" xfId="0" applyBorder="1"/>
    <xf numFmtId="0" fontId="0" fillId="3" borderId="1" xfId="0" applyFill="1" applyBorder="1"/>
    <xf numFmtId="0" fontId="0" fillId="0" borderId="9" xfId="0" applyBorder="1" applyAlignment="1">
      <alignment horizontal="center"/>
    </xf>
    <xf numFmtId="0" fontId="0" fillId="0" borderId="10" xfId="0" applyBorder="1"/>
    <xf numFmtId="0" fontId="6" fillId="0" borderId="11" xfId="0" applyFont="1" applyBorder="1"/>
    <xf numFmtId="0" fontId="0" fillId="0" borderId="11" xfId="0" applyBorder="1"/>
    <xf numFmtId="0" fontId="0" fillId="0" borderId="14" xfId="0" applyBorder="1" applyAlignment="1">
      <alignment horizontal="center"/>
    </xf>
    <xf numFmtId="0" fontId="0" fillId="0" borderId="8" xfId="0" applyBorder="1" applyAlignment="1">
      <alignment horizontal="left"/>
    </xf>
    <xf numFmtId="0" fontId="0" fillId="0" borderId="1" xfId="0" applyBorder="1" applyAlignment="1">
      <alignment horizontal="left"/>
    </xf>
    <xf numFmtId="0" fontId="0" fillId="3" borderId="1" xfId="0" applyFill="1" applyBorder="1" applyAlignment="1">
      <alignment horizontal="right"/>
    </xf>
    <xf numFmtId="0" fontId="0" fillId="0" borderId="9" xfId="0" applyBorder="1" applyAlignment="1">
      <alignment horizontal="center" vertical="center"/>
    </xf>
    <xf numFmtId="0" fontId="0" fillId="4" borderId="1" xfId="0" applyFill="1" applyBorder="1"/>
    <xf numFmtId="164" fontId="0" fillId="0" borderId="1" xfId="0" applyNumberFormat="1" applyBorder="1"/>
    <xf numFmtId="0" fontId="0" fillId="0" borderId="5" xfId="0" applyBorder="1" applyAlignment="1">
      <alignment horizontal="left"/>
    </xf>
    <xf numFmtId="0" fontId="0" fillId="0" borderId="6" xfId="0" applyBorder="1" applyAlignment="1">
      <alignment horizontal="center"/>
    </xf>
    <xf numFmtId="0" fontId="0" fillId="3" borderId="6" xfId="0" applyFill="1" applyBorder="1" applyAlignment="1">
      <alignment horizontal="center"/>
    </xf>
    <xf numFmtId="0" fontId="0" fillId="0" borderId="1" xfId="0" applyBorder="1" applyAlignment="1">
      <alignment horizontal="center"/>
    </xf>
    <xf numFmtId="0" fontId="6" fillId="0" borderId="9" xfId="0" applyFont="1" applyBorder="1" applyAlignment="1">
      <alignment horizontal="center"/>
    </xf>
    <xf numFmtId="0" fontId="0" fillId="0" borderId="10" xfId="0" applyBorder="1" applyAlignment="1">
      <alignment horizontal="left"/>
    </xf>
    <xf numFmtId="0" fontId="0" fillId="0" borderId="11" xfId="0" applyBorder="1" applyAlignment="1">
      <alignment horizontal="center"/>
    </xf>
    <xf numFmtId="9" fontId="0" fillId="3" borderId="11" xfId="1" applyFont="1" applyFill="1" applyBorder="1"/>
    <xf numFmtId="0" fontId="6" fillId="0" borderId="15" xfId="0" applyFont="1" applyBorder="1" applyAlignment="1">
      <alignment horizontal="center"/>
    </xf>
    <xf numFmtId="0" fontId="3" fillId="0" borderId="0" xfId="0" applyFont="1" applyAlignment="1">
      <alignment horizontal="center"/>
    </xf>
    <xf numFmtId="0" fontId="0" fillId="0" borderId="6" xfId="1" applyNumberFormat="1" applyFont="1" applyFill="1" applyBorder="1"/>
    <xf numFmtId="0" fontId="6" fillId="0" borderId="7" xfId="0" applyFont="1" applyBorder="1" applyAlignment="1">
      <alignment horizontal="center"/>
    </xf>
    <xf numFmtId="0" fontId="0" fillId="0" borderId="11" xfId="1" applyNumberFormat="1" applyFont="1" applyFill="1" applyBorder="1"/>
    <xf numFmtId="0" fontId="0" fillId="0" borderId="12" xfId="0" applyBorder="1"/>
    <xf numFmtId="0" fontId="0" fillId="0" borderId="13" xfId="0" applyBorder="1"/>
    <xf numFmtId="164" fontId="0" fillId="0" borderId="13" xfId="0" applyNumberFormat="1" applyBorder="1"/>
    <xf numFmtId="165" fontId="0" fillId="0" borderId="11" xfId="0" applyNumberFormat="1" applyBorder="1"/>
    <xf numFmtId="0" fontId="0" fillId="0" borderId="15" xfId="0" applyBorder="1" applyAlignment="1">
      <alignment horizontal="center"/>
    </xf>
    <xf numFmtId="0" fontId="0" fillId="0" borderId="2" xfId="0" applyBorder="1"/>
    <xf numFmtId="0" fontId="0" fillId="0" borderId="3" xfId="0" applyBorder="1"/>
    <xf numFmtId="166" fontId="0" fillId="5" borderId="3" xfId="0" applyNumberFormat="1" applyFill="1" applyBorder="1"/>
    <xf numFmtId="0" fontId="0" fillId="0" borderId="4" xfId="0" applyBorder="1" applyAlignment="1">
      <alignment horizontal="center"/>
    </xf>
    <xf numFmtId="0" fontId="3" fillId="0" borderId="16" xfId="0" applyFont="1" applyBorder="1" applyAlignment="1">
      <alignment horizontal="center"/>
    </xf>
    <xf numFmtId="0" fontId="3" fillId="0" borderId="17" xfId="0" applyFont="1" applyBorder="1" applyAlignment="1">
      <alignment horizontal="center"/>
    </xf>
    <xf numFmtId="0" fontId="3" fillId="0" borderId="18" xfId="0" applyFont="1" applyBorder="1" applyAlignment="1">
      <alignment horizontal="center"/>
    </xf>
    <xf numFmtId="165" fontId="0" fillId="0" borderId="1" xfId="0" applyNumberFormat="1" applyBorder="1"/>
    <xf numFmtId="0" fontId="0" fillId="0" borderId="19" xfId="0" applyBorder="1"/>
    <xf numFmtId="0" fontId="0" fillId="0" borderId="20" xfId="0" applyBorder="1"/>
    <xf numFmtId="165" fontId="0" fillId="0" borderId="20" xfId="0" applyNumberFormat="1" applyBorder="1"/>
    <xf numFmtId="0" fontId="0" fillId="0" borderId="21" xfId="0" applyBorder="1" applyAlignment="1">
      <alignment horizontal="center"/>
    </xf>
    <xf numFmtId="165" fontId="0" fillId="5" borderId="6" xfId="0" applyNumberFormat="1" applyFill="1" applyBorder="1"/>
    <xf numFmtId="165" fontId="0" fillId="5" borderId="11" xfId="0" applyNumberFormat="1" applyFill="1" applyBorder="1"/>
    <xf numFmtId="0" fontId="3" fillId="0" borderId="22" xfId="0" applyFont="1" applyBorder="1" applyAlignment="1">
      <alignment horizontal="center"/>
    </xf>
    <xf numFmtId="0" fontId="3" fillId="0" borderId="23" xfId="0" applyFont="1" applyBorder="1" applyAlignment="1">
      <alignment horizontal="center"/>
    </xf>
    <xf numFmtId="0" fontId="3" fillId="0" borderId="24" xfId="0" applyFont="1" applyBorder="1" applyAlignment="1">
      <alignment horizontal="center"/>
    </xf>
    <xf numFmtId="0" fontId="0" fillId="4" borderId="6" xfId="0" applyFill="1" applyBorder="1"/>
    <xf numFmtId="0" fontId="0" fillId="0" borderId="7" xfId="0" applyBorder="1"/>
    <xf numFmtId="0" fontId="0" fillId="0" borderId="9" xfId="0" applyBorder="1"/>
    <xf numFmtId="0" fontId="0" fillId="6" borderId="20" xfId="0" applyFill="1" applyBorder="1"/>
    <xf numFmtId="0" fontId="0" fillId="0" borderId="21" xfId="0" applyBorder="1"/>
    <xf numFmtId="0" fontId="0" fillId="0" borderId="15" xfId="0" applyBorder="1"/>
    <xf numFmtId="0" fontId="0" fillId="3" borderId="11" xfId="0" applyFill="1" applyBorder="1"/>
    <xf numFmtId="0" fontId="3" fillId="0" borderId="25" xfId="0" applyFont="1" applyBorder="1" applyAlignment="1">
      <alignment horizontal="center"/>
    </xf>
    <xf numFmtId="0" fontId="3" fillId="0" borderId="26" xfId="0" applyFont="1" applyBorder="1" applyAlignment="1">
      <alignment horizontal="center"/>
    </xf>
    <xf numFmtId="0" fontId="3" fillId="0" borderId="27" xfId="0" applyFont="1" applyBorder="1" applyAlignment="1">
      <alignment horizontal="center"/>
    </xf>
    <xf numFmtId="0" fontId="6" fillId="0" borderId="6" xfId="0" applyFont="1" applyBorder="1"/>
    <xf numFmtId="0" fontId="6" fillId="0" borderId="1" xfId="0" applyFont="1" applyBorder="1"/>
    <xf numFmtId="166" fontId="0" fillId="0" borderId="1" xfId="0" applyNumberFormat="1" applyBorder="1"/>
    <xf numFmtId="1" fontId="0" fillId="0" borderId="1" xfId="0" applyNumberFormat="1" applyBorder="1"/>
    <xf numFmtId="2" fontId="0" fillId="5" borderId="6" xfId="0" applyNumberFormat="1" applyFill="1" applyBorder="1"/>
    <xf numFmtId="2" fontId="0" fillId="5" borderId="1" xfId="0" applyNumberFormat="1" applyFill="1" applyBorder="1"/>
    <xf numFmtId="2" fontId="0" fillId="5" borderId="11" xfId="0" applyNumberFormat="1" applyFill="1" applyBorder="1"/>
    <xf numFmtId="166" fontId="0" fillId="5" borderId="6" xfId="0" applyNumberFormat="1" applyFill="1" applyBorder="1"/>
    <xf numFmtId="166" fontId="0" fillId="5" borderId="11" xfId="0" applyNumberFormat="1" applyFill="1" applyBorder="1"/>
    <xf numFmtId="167" fontId="0" fillId="0" borderId="6" xfId="0" applyNumberFormat="1" applyBorder="1"/>
    <xf numFmtId="167" fontId="0" fillId="0" borderId="20" xfId="0" applyNumberFormat="1" applyBorder="1"/>
    <xf numFmtId="166" fontId="0" fillId="5" borderId="1" xfId="0" applyNumberFormat="1" applyFill="1" applyBorder="1"/>
    <xf numFmtId="11" fontId="0" fillId="3" borderId="1" xfId="0" applyNumberFormat="1" applyFill="1" applyBorder="1"/>
    <xf numFmtId="11" fontId="0" fillId="4" borderId="1" xfId="0" applyNumberFormat="1" applyFill="1" applyBorder="1"/>
    <xf numFmtId="0" fontId="3" fillId="0" borderId="5" xfId="0" applyFont="1" applyBorder="1" applyAlignment="1">
      <alignment horizontal="center"/>
    </xf>
    <xf numFmtId="0" fontId="3" fillId="0" borderId="6" xfId="0" applyFont="1" applyBorder="1" applyAlignment="1">
      <alignment horizontal="center"/>
    </xf>
    <xf numFmtId="0" fontId="3" fillId="0" borderId="7" xfId="0" applyFont="1" applyBorder="1" applyAlignment="1">
      <alignment horizontal="center"/>
    </xf>
    <xf numFmtId="0" fontId="3" fillId="0" borderId="8" xfId="0" applyFont="1" applyBorder="1" applyAlignment="1">
      <alignment horizontal="center"/>
    </xf>
    <xf numFmtId="0" fontId="3" fillId="0" borderId="9" xfId="0" applyFont="1" applyBorder="1" applyAlignment="1">
      <alignment horizontal="center"/>
    </xf>
    <xf numFmtId="0" fontId="6" fillId="0" borderId="0" xfId="0" applyFont="1"/>
    <xf numFmtId="0" fontId="0" fillId="0" borderId="28" xfId="0" applyBorder="1"/>
    <xf numFmtId="166" fontId="0" fillId="0" borderId="11" xfId="0" applyNumberFormat="1" applyBorder="1"/>
    <xf numFmtId="166" fontId="0" fillId="0" borderId="0" xfId="0" applyNumberFormat="1"/>
    <xf numFmtId="0" fontId="0" fillId="0" borderId="5" xfId="0" applyBorder="1" applyAlignment="1">
      <alignment horizontal="center"/>
    </xf>
    <xf numFmtId="0" fontId="0" fillId="0" borderId="6" xfId="0" applyBorder="1" applyAlignment="1">
      <alignment horizontal="center"/>
    </xf>
    <xf numFmtId="0" fontId="0" fillId="0" borderId="29" xfId="0" applyBorder="1" applyAlignment="1">
      <alignment horizontal="center"/>
    </xf>
    <xf numFmtId="0" fontId="0" fillId="0" borderId="7" xfId="0" applyBorder="1" applyAlignment="1">
      <alignment horizontal="center"/>
    </xf>
    <xf numFmtId="0" fontId="0" fillId="0" borderId="30" xfId="0" applyBorder="1"/>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4" xfId="0" applyBorder="1"/>
    <xf numFmtId="0" fontId="0" fillId="0" borderId="29" xfId="0" applyBorder="1"/>
    <xf numFmtId="0" fontId="0" fillId="0" borderId="1" xfId="0" applyBorder="1" applyAlignment="1">
      <alignment horizontal="center"/>
    </xf>
    <xf numFmtId="0" fontId="0" fillId="0" borderId="30" xfId="0" applyBorder="1" applyAlignment="1">
      <alignment horizontal="center"/>
    </xf>
    <xf numFmtId="0" fontId="0" fillId="0" borderId="31" xfId="0" applyBorder="1" applyAlignment="1">
      <alignment horizontal="center"/>
    </xf>
    <xf numFmtId="166" fontId="0" fillId="0" borderId="9" xfId="0" applyNumberFormat="1" applyBorder="1"/>
    <xf numFmtId="166" fontId="0" fillId="0" borderId="30" xfId="0" applyNumberFormat="1" applyBorder="1"/>
    <xf numFmtId="0" fontId="0" fillId="0" borderId="32" xfId="0" applyBorder="1"/>
    <xf numFmtId="0" fontId="0" fillId="0" borderId="0" xfId="0" quotePrefix="1"/>
    <xf numFmtId="0" fontId="0" fillId="0" borderId="19" xfId="0" applyBorder="1" applyAlignment="1">
      <alignment horizontal="center"/>
    </xf>
    <xf numFmtId="0" fontId="0" fillId="0" borderId="8" xfId="0" applyBorder="1" applyAlignment="1">
      <alignment horizontal="center"/>
    </xf>
    <xf numFmtId="0" fontId="0" fillId="0" borderId="16" xfId="0" applyBorder="1"/>
    <xf numFmtId="0" fontId="0" fillId="0" borderId="33" xfId="0" applyBorder="1" applyAlignment="1">
      <alignment horizontal="center"/>
    </xf>
    <xf numFmtId="0" fontId="0" fillId="0" borderId="34" xfId="0" applyBorder="1"/>
    <xf numFmtId="0" fontId="0" fillId="0" borderId="35" xfId="0" applyBorder="1"/>
    <xf numFmtId="0" fontId="0" fillId="0" borderId="33" xfId="0" applyBorder="1"/>
    <xf numFmtId="0" fontId="0" fillId="0" borderId="36" xfId="0" applyBorder="1"/>
    <xf numFmtId="0" fontId="0" fillId="0" borderId="31" xfId="0" applyBorder="1"/>
    <xf numFmtId="0" fontId="0" fillId="0" borderId="37" xfId="0" applyBorder="1"/>
    <xf numFmtId="0" fontId="0" fillId="0" borderId="38" xfId="0" applyBorder="1"/>
    <xf numFmtId="0" fontId="0" fillId="0" borderId="1" xfId="0" applyFill="1" applyBorder="1"/>
    <xf numFmtId="0" fontId="0" fillId="0" borderId="23" xfId="0" applyBorder="1"/>
    <xf numFmtId="0" fontId="0" fillId="3" borderId="6" xfId="0" applyFill="1" applyBorder="1" applyAlignment="1">
      <alignment horizontal="right"/>
    </xf>
    <xf numFmtId="164" fontId="0" fillId="0" borderId="11" xfId="0" applyNumberFormat="1" applyBorder="1"/>
    <xf numFmtId="0" fontId="0" fillId="0" borderId="15" xfId="0" applyBorder="1" applyAlignment="1">
      <alignment horizontal="center" vertical="center"/>
    </xf>
    <xf numFmtId="0" fontId="6" fillId="0" borderId="20" xfId="0" applyFont="1" applyBorder="1"/>
    <xf numFmtId="0" fontId="0" fillId="0" borderId="20" xfId="0" applyBorder="1" applyAlignment="1">
      <alignment horizontal="right"/>
    </xf>
    <xf numFmtId="0" fontId="0" fillId="0" borderId="10" xfId="0" applyFill="1" applyBorder="1"/>
    <xf numFmtId="0" fontId="0" fillId="0" borderId="40" xfId="0" applyFont="1" applyFill="1" applyBorder="1"/>
    <xf numFmtId="0" fontId="0" fillId="3" borderId="39" xfId="0" applyFill="1" applyBorder="1"/>
    <xf numFmtId="0" fontId="0" fillId="4" borderId="40" xfId="0" applyFill="1" applyBorder="1"/>
    <xf numFmtId="0" fontId="0" fillId="6" borderId="40" xfId="0" applyFill="1" applyBorder="1"/>
    <xf numFmtId="0" fontId="3" fillId="0" borderId="42" xfId="0" applyFont="1" applyBorder="1" applyAlignment="1">
      <alignment horizontal="center" vertical="center"/>
    </xf>
    <xf numFmtId="0" fontId="0" fillId="5" borderId="41" xfId="0" applyFont="1" applyFill="1" applyBorder="1"/>
    <xf numFmtId="0" fontId="0" fillId="0" borderId="0" xfId="0" applyFill="1" applyBorder="1"/>
    <xf numFmtId="0" fontId="0" fillId="0" borderId="0" xfId="0" applyFill="1" applyBorder="1" applyAlignment="1">
      <alignment horizontal="center" wrapText="1"/>
    </xf>
    <xf numFmtId="0" fontId="6" fillId="0" borderId="0" xfId="0" applyFont="1" applyFill="1" applyBorder="1"/>
    <xf numFmtId="0" fontId="0" fillId="0" borderId="0" xfId="0" applyFill="1" applyBorder="1" applyAlignment="1">
      <alignment horizontal="right"/>
    </xf>
    <xf numFmtId="2" fontId="0" fillId="0" borderId="11" xfId="0" applyNumberFormat="1" applyBorder="1"/>
    <xf numFmtId="0" fontId="3" fillId="0" borderId="0" xfId="0" applyFont="1" applyFill="1" applyBorder="1" applyAlignment="1"/>
    <xf numFmtId="169" fontId="0" fillId="0" borderId="1" xfId="0" applyNumberFormat="1" applyBorder="1"/>
    <xf numFmtId="169" fontId="0" fillId="0" borderId="20" xfId="0" applyNumberFormat="1" applyBorder="1"/>
    <xf numFmtId="2" fontId="2" fillId="0" borderId="9" xfId="0" applyNumberFormat="1" applyFont="1" applyBorder="1"/>
    <xf numFmtId="2" fontId="2" fillId="0" borderId="21" xfId="0" applyNumberFormat="1" applyFont="1" applyBorder="1"/>
  </cellXfs>
  <cellStyles count="2">
    <cellStyle name="Normal" xfId="0" builtinId="0"/>
    <cellStyle name="Percent" xfId="1" builtinId="5"/>
  </cellStyles>
  <dxfs count="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Modified Goodman</a:t>
            </a:r>
            <a:r>
              <a:rPr lang="en-US" baseline="0"/>
              <a:t> Diagram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744225721784776"/>
          <c:y val="0.17171296296296296"/>
          <c:w val="0.51547331583552058"/>
          <c:h val="0.70696741032370958"/>
        </c:manualLayout>
      </c:layout>
      <c:scatterChart>
        <c:scatterStyle val="lineMarker"/>
        <c:varyColors val="0"/>
        <c:ser>
          <c:idx val="0"/>
          <c:order val="0"/>
          <c:tx>
            <c:v>MaxMin Stress Limit</c:v>
          </c:tx>
          <c:spPr>
            <a:ln w="12700" cap="rnd">
              <a:solidFill>
                <a:schemeClr val="tx1"/>
              </a:solidFill>
              <a:prstDash val="solid"/>
              <a:round/>
            </a:ln>
            <a:effectLst/>
          </c:spPr>
          <c:marker>
            <c:symbol val="none"/>
          </c:marker>
          <c:xVal>
            <c:numRef>
              <c:f>'Shaft Fatigue'!$C$199:$C$201</c:f>
              <c:numCache>
                <c:formatCode>General</c:formatCode>
                <c:ptCount val="3"/>
                <c:pt idx="0">
                  <c:v>0</c:v>
                </c:pt>
                <c:pt idx="1">
                  <c:v>105</c:v>
                </c:pt>
                <c:pt idx="2">
                  <c:v>0</c:v>
                </c:pt>
              </c:numCache>
            </c:numRef>
          </c:xVal>
          <c:yVal>
            <c:numRef>
              <c:f>'Shaft Fatigue'!$D$199:$D$201</c:f>
              <c:numCache>
                <c:formatCode>General</c:formatCode>
                <c:ptCount val="3"/>
                <c:pt idx="0" formatCode="0.000">
                  <c:v>29.251979819809147</c:v>
                </c:pt>
                <c:pt idx="1">
                  <c:v>105</c:v>
                </c:pt>
                <c:pt idx="2" formatCode="0.000">
                  <c:v>-29.251979819809147</c:v>
                </c:pt>
              </c:numCache>
            </c:numRef>
          </c:yVal>
          <c:smooth val="0"/>
          <c:extLst>
            <c:ext xmlns:c16="http://schemas.microsoft.com/office/drawing/2014/chart" uri="{C3380CC4-5D6E-409C-BE32-E72D297353CC}">
              <c16:uniqueId val="{00000000-5997-4F64-A0D4-45EBC46329F3}"/>
            </c:ext>
          </c:extLst>
        </c:ser>
        <c:ser>
          <c:idx val="1"/>
          <c:order val="1"/>
          <c:tx>
            <c:v>Modified Goodman Limit</c:v>
          </c:tx>
          <c:spPr>
            <a:ln w="19050" cap="rnd">
              <a:solidFill>
                <a:schemeClr val="tx1"/>
              </a:solidFill>
              <a:round/>
            </a:ln>
            <a:effectLst/>
          </c:spPr>
          <c:marker>
            <c:symbol val="none"/>
          </c:marker>
          <c:dLbls>
            <c:dLbl>
              <c:idx val="0"/>
              <c:tx>
                <c:rich>
                  <a:bodyPr/>
                  <a:lstStyle/>
                  <a:p>
                    <a:fld id="{09E96E74-8F0D-44DA-A709-B657F85031A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5997-4F64-A0D4-45EBC46329F3}"/>
                </c:ext>
              </c:extLst>
            </c:dLbl>
            <c:dLbl>
              <c:idx val="1"/>
              <c:layout>
                <c:manualLayout>
                  <c:x val="-2.5502723300881578E-2"/>
                  <c:y val="-3.0341204351573756E-2"/>
                </c:manualLayout>
              </c:layout>
              <c:tx>
                <c:rich>
                  <a:bodyPr/>
                  <a:lstStyle/>
                  <a:p>
                    <a:fld id="{A9E6721A-09DC-4C3D-AE7F-F9EB4FBC8A6E}" type="CELLRANGE">
                      <a:rPr lang="en-US"/>
                      <a:pPr/>
                      <a:t>[CELLRANGE]</a:t>
                    </a:fld>
                    <a:r>
                      <a:rPr lang="en-US" baseline="0"/>
                      <a:t>, </a:t>
                    </a:r>
                    <a:fld id="{7487FD71-A567-4F44-9C00-7996AA621E2B}" type="YVALUE">
                      <a:rPr lang="en-US" baseline="0"/>
                      <a:pPr/>
                      <a:t>[Y VALUE]</a:t>
                    </a:fld>
                    <a:endParaRPr lang="en-US" baseline="0"/>
                  </a:p>
                </c:rich>
              </c:tx>
              <c:dLblPos val="r"/>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A-5997-4F64-A0D4-45EBC46329F3}"/>
                </c:ext>
              </c:extLst>
            </c:dLbl>
            <c:dLbl>
              <c:idx val="2"/>
              <c:delete val="1"/>
              <c:extLst>
                <c:ext xmlns:c15="http://schemas.microsoft.com/office/drawing/2012/chart" uri="{CE6537A1-D6FC-4f65-9D91-7224C49458BB}"/>
                <c:ext xmlns:c16="http://schemas.microsoft.com/office/drawing/2014/chart" uri="{C3380CC4-5D6E-409C-BE32-E72D297353CC}">
                  <c16:uniqueId val="{00000009-5997-4F64-A0D4-45EBC46329F3}"/>
                </c:ext>
              </c:extLst>
            </c:dLbl>
            <c:dLbl>
              <c:idx val="3"/>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5997-4F64-A0D4-45EBC46329F3}"/>
                </c:ext>
              </c:extLst>
            </c:dLbl>
            <c:dLbl>
              <c:idx val="4"/>
              <c:tx>
                <c:rich>
                  <a:bodyPr/>
                  <a:lstStyle/>
                  <a:p>
                    <a:endParaRPr lang="en-US"/>
                  </a:p>
                </c:rich>
              </c:tx>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5997-4F64-A0D4-45EBC46329F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'Shaft Fatigue'!$C$202:$C$206</c:f>
              <c:numCache>
                <c:formatCode>General</c:formatCode>
                <c:ptCount val="5"/>
                <c:pt idx="0">
                  <c:v>0</c:v>
                </c:pt>
                <c:pt idx="1">
                  <c:v>73.117978605181349</c:v>
                </c:pt>
                <c:pt idx="2">
                  <c:v>82</c:v>
                </c:pt>
                <c:pt idx="3">
                  <c:v>73.117978605181349</c:v>
                </c:pt>
                <c:pt idx="4" formatCode="0.000">
                  <c:v>0</c:v>
                </c:pt>
              </c:numCache>
            </c:numRef>
          </c:xVal>
          <c:yVal>
            <c:numRef>
              <c:f>'Shaft Fatigue'!$D$202:$D$206</c:f>
              <c:numCache>
                <c:formatCode>General</c:formatCode>
                <c:ptCount val="5"/>
                <c:pt idx="0" formatCode="0.000">
                  <c:v>29.251979819809147</c:v>
                </c:pt>
                <c:pt idx="1">
                  <c:v>82</c:v>
                </c:pt>
                <c:pt idx="2">
                  <c:v>82</c:v>
                </c:pt>
                <c:pt idx="3">
                  <c:v>64.235957210362699</c:v>
                </c:pt>
                <c:pt idx="4" formatCode="0.000">
                  <c:v>-29.251979819809147</c:v>
                </c:pt>
              </c:numCache>
            </c:numRef>
          </c:yVal>
          <c:smooth val="0"/>
          <c:extLst>
            <c:ext xmlns:c15="http://schemas.microsoft.com/office/drawing/2012/chart" uri="{02D57815-91ED-43cb-92C2-25804820EDAC}">
              <c15:datalabelsRange>
                <c15:f>('Shaft Fatigue'!$B$2,'Shaft Fatigue'!$B$7)</c15:f>
                <c15:dlblRangeCache>
                  <c:ptCount val="2"/>
                  <c:pt idx="1">
                    <c:v>Sy</c:v>
                  </c:pt>
                </c15:dlblRangeCache>
              </c15:datalabelsRange>
            </c:ext>
            <c:ext xmlns:c16="http://schemas.microsoft.com/office/drawing/2014/chart" uri="{C3380CC4-5D6E-409C-BE32-E72D297353CC}">
              <c16:uniqueId val="{00000001-5997-4F64-A0D4-45EBC46329F3}"/>
            </c:ext>
          </c:extLst>
        </c:ser>
        <c:ser>
          <c:idx val="2"/>
          <c:order val="2"/>
          <c:tx>
            <c:v>MidRange Stress</c:v>
          </c:tx>
          <c:spPr>
            <a:ln w="9525" cap="rnd">
              <a:solidFill>
                <a:schemeClr val="tx1"/>
              </a:solidFill>
              <a:prstDash val="dash"/>
              <a:round/>
            </a:ln>
            <a:effectLst/>
          </c:spPr>
          <c:marker>
            <c:symbol val="circle"/>
            <c:size val="5"/>
            <c:spPr>
              <a:solidFill>
                <a:schemeClr val="accent3"/>
              </a:solidFill>
              <a:ln w="9525">
                <a:solidFill>
                  <a:schemeClr val="accent3"/>
                </a:solidFill>
              </a:ln>
              <a:effectLst/>
            </c:spPr>
          </c:marker>
          <c:dLbls>
            <c:dLbl>
              <c:idx val="0"/>
              <c:layout>
                <c:manualLayout>
                  <c:x val="0.34218289085545711"/>
                  <c:y val="-6.2534896705751061E-2"/>
                </c:manualLayout>
              </c:layout>
              <c:tx>
                <c:rich>
                  <a:bodyPr/>
                  <a:lstStyle/>
                  <a:p>
                    <a:fld id="{CA3B6D84-23E5-4262-9D33-C90A5544836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5997-4F64-A0D4-45EBC46329F3}"/>
                </c:ext>
              </c:extLst>
            </c:dLbl>
            <c:dLbl>
              <c:idx val="1"/>
              <c:layout>
                <c:manualLayout>
                  <c:x val="1.7699115044247787E-2"/>
                  <c:y val="-4.0944995081069325E-17"/>
                </c:manualLayout>
              </c:layout>
              <c:tx>
                <c:rich>
                  <a:bodyPr/>
                  <a:lstStyle/>
                  <a:p>
                    <a:fld id="{9D0804AB-1EA6-4069-9827-8FC0ABD4FC22}" type="CELLRANGE">
                      <a:rPr lang="en-US" baseline="0"/>
                      <a:pPr/>
                      <a:t>[CELLRANGE]</a:t>
                    </a:fld>
                    <a:r>
                      <a:rPr lang="en-US" baseline="0"/>
                      <a:t>, </a:t>
                    </a:r>
                    <a:fld id="{15D943D8-D1EC-4D57-806B-64A58AE48B66}" type="YVALUE">
                      <a:rPr lang="en-US" baseline="0"/>
                      <a:pPr/>
                      <a:t>[Y VALUE]</a:t>
                    </a:fld>
                    <a:endParaRPr lang="en-US" baseline="0"/>
                  </a:p>
                </c:rich>
              </c:tx>
              <c:showLegendKey val="0"/>
              <c:showVal val="1"/>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3-5997-4F64-A0D4-45EBC46329F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'Shaft Fatigue'!$C$207:$C$208</c:f>
              <c:numCache>
                <c:formatCode>General</c:formatCode>
                <c:ptCount val="2"/>
                <c:pt idx="0">
                  <c:v>0</c:v>
                </c:pt>
                <c:pt idx="1">
                  <c:v>105</c:v>
                </c:pt>
              </c:numCache>
            </c:numRef>
          </c:xVal>
          <c:yVal>
            <c:numRef>
              <c:f>'Shaft Fatigue'!$D$207:$D$208</c:f>
              <c:numCache>
                <c:formatCode>General</c:formatCode>
                <c:ptCount val="2"/>
                <c:pt idx="0">
                  <c:v>0</c:v>
                </c:pt>
                <c:pt idx="1">
                  <c:v>105</c:v>
                </c:pt>
              </c:numCache>
            </c:numRef>
          </c:yVal>
          <c:smooth val="0"/>
          <c:extLst>
            <c:ext xmlns:c15="http://schemas.microsoft.com/office/drawing/2012/chart" uri="{02D57815-91ED-43cb-92C2-25804820EDAC}">
              <c15:datalabelsRange>
                <c15:f>('Shaft Fatigue'!$F$200,'Shaft Fatigue'!$E$200)</c15:f>
                <c15:dlblRangeCache>
                  <c:ptCount val="2"/>
                  <c:pt idx="1">
                    <c:v>Static Fracture</c:v>
                  </c:pt>
                </c15:dlblRangeCache>
              </c15:datalabelsRange>
            </c:ext>
            <c:ext xmlns:c16="http://schemas.microsoft.com/office/drawing/2014/chart" uri="{C3380CC4-5D6E-409C-BE32-E72D297353CC}">
              <c16:uniqueId val="{00000004-5997-4F64-A0D4-45EBC46329F3}"/>
            </c:ext>
          </c:extLst>
        </c:ser>
        <c:ser>
          <c:idx val="3"/>
          <c:order val="3"/>
          <c:tx>
            <c:v>Stress State</c:v>
          </c:tx>
          <c:spPr>
            <a:ln w="12700" cap="rnd">
              <a:solidFill>
                <a:srgbClr val="FF0000"/>
              </a:solidFill>
              <a:round/>
            </a:ln>
            <a:effectLst/>
          </c:spPr>
          <c:marker>
            <c:symbol val="circle"/>
            <c:size val="5"/>
            <c:spPr>
              <a:solidFill>
                <a:srgbClr val="FF0000"/>
              </a:solidFill>
              <a:ln w="6350">
                <a:solidFill>
                  <a:schemeClr val="tx1"/>
                </a:solidFill>
              </a:ln>
              <a:effectLst/>
            </c:spPr>
          </c:marker>
          <c:xVal>
            <c:numRef>
              <c:f>'Shaft Fatigue'!$C$209:$C$210</c:f>
              <c:numCache>
                <c:formatCode>0.0000000000000</c:formatCode>
                <c:ptCount val="2"/>
                <c:pt idx="0">
                  <c:v>16.391302134857895</c:v>
                </c:pt>
                <c:pt idx="1">
                  <c:v>16.391304134857897</c:v>
                </c:pt>
              </c:numCache>
            </c:numRef>
          </c:xVal>
          <c:yVal>
            <c:numRef>
              <c:f>'Shaft Fatigue'!$D$209:$D$210</c:f>
              <c:numCache>
                <c:formatCode>0.00</c:formatCode>
                <c:ptCount val="2"/>
                <c:pt idx="0">
                  <c:v>-7.4002616083471331</c:v>
                </c:pt>
                <c:pt idx="1">
                  <c:v>40.182867878062922</c:v>
                </c:pt>
              </c:numCache>
            </c:numRef>
          </c:yVal>
          <c:smooth val="0"/>
          <c:extLst>
            <c:ext xmlns:c16="http://schemas.microsoft.com/office/drawing/2014/chart" uri="{C3380CC4-5D6E-409C-BE32-E72D297353CC}">
              <c16:uniqueId val="{00000005-5997-4F64-A0D4-45EBC46329F3}"/>
            </c:ext>
          </c:extLst>
        </c:ser>
        <c:ser>
          <c:idx val="5"/>
          <c:order val="4"/>
          <c:tx>
            <c:strRef>
              <c:f>'Shaft Fatigue'!$A$211</c:f>
              <c:strCache>
                <c:ptCount val="1"/>
                <c:pt idx="0">
                  <c:v>Example Max repeated Stress</c:v>
                </c:pt>
              </c:strCache>
            </c:strRef>
          </c:tx>
          <c:spPr>
            <a:ln w="6350" cap="rnd">
              <a:solidFill>
                <a:schemeClr val="bg1">
                  <a:lumMod val="50000"/>
                </a:schemeClr>
              </a:solidFill>
              <a:round/>
            </a:ln>
            <a:effectLst/>
          </c:spPr>
          <c:marker>
            <c:symbol val="none"/>
          </c:marker>
          <c:xVal>
            <c:numRef>
              <c:f>'Shaft Fatigue'!$C$211:$C$212</c:f>
              <c:numCache>
                <c:formatCode>General</c:formatCode>
                <c:ptCount val="2"/>
                <c:pt idx="0">
                  <c:v>22.878305042133768</c:v>
                </c:pt>
                <c:pt idx="1">
                  <c:v>22.878306042133769</c:v>
                </c:pt>
              </c:numCache>
            </c:numRef>
          </c:xVal>
          <c:yVal>
            <c:numRef>
              <c:f>'Shaft Fatigue'!$D$211:$D$212</c:f>
              <c:numCache>
                <c:formatCode>General</c:formatCode>
                <c:ptCount val="2"/>
                <c:pt idx="0">
                  <c:v>0</c:v>
                </c:pt>
                <c:pt idx="1">
                  <c:v>45.756612084267537</c:v>
                </c:pt>
              </c:numCache>
            </c:numRef>
          </c:yVal>
          <c:smooth val="0"/>
          <c:extLst>
            <c:ext xmlns:c16="http://schemas.microsoft.com/office/drawing/2014/chart" uri="{C3380CC4-5D6E-409C-BE32-E72D297353CC}">
              <c16:uniqueId val="{00000006-5997-4F64-A0D4-45EBC46329F3}"/>
            </c:ext>
          </c:extLst>
        </c:ser>
        <c:dLbls>
          <c:showLegendKey val="0"/>
          <c:showVal val="0"/>
          <c:showCatName val="0"/>
          <c:showSerName val="0"/>
          <c:showPercent val="0"/>
          <c:showBubbleSize val="0"/>
        </c:dLbls>
        <c:axId val="847172808"/>
        <c:axId val="847170512"/>
      </c:scatterChart>
      <c:valAx>
        <c:axId val="8471728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Midrange Stress (ksi)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170512"/>
        <c:crosses val="autoZero"/>
        <c:crossBetween val="midCat"/>
      </c:valAx>
      <c:valAx>
        <c:axId val="847170512"/>
        <c:scaling>
          <c:orientation val="minMax"/>
          <c:max val="140"/>
          <c:min val="-6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Stress (ksi)</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7172808"/>
        <c:crosses val="autoZero"/>
        <c:crossBetween val="midCat"/>
        <c:majorUnit val="20"/>
      </c:valAx>
      <c:spPr>
        <a:noFill/>
        <a:ln>
          <a:noFill/>
        </a:ln>
        <a:effectLst/>
      </c:spPr>
    </c:plotArea>
    <c:legend>
      <c:legendPos val="r"/>
      <c:layout>
        <c:manualLayout>
          <c:xMode val="edge"/>
          <c:yMode val="edge"/>
          <c:x val="0.69724890638670167"/>
          <c:y val="0.40414224263633713"/>
          <c:w val="0.21497839871785934"/>
          <c:h val="0.1884435299858874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S-N Curve</a:t>
            </a:r>
          </a:p>
          <a:p>
            <a:pPr>
              <a:defRPr/>
            </a:pPr>
            <a:r>
              <a:rPr lang="en-US" sz="1100"/>
              <a:t>Note only valid for fully reversing stresses </a:t>
            </a:r>
          </a:p>
          <a:p>
            <a:pPr>
              <a:defRPr/>
            </a:pPr>
            <a:r>
              <a:rPr lang="en-US" sz="1100"/>
              <a:t>IE Tensile/Compressive Stresses are equal</a:t>
            </a:r>
            <a:br>
              <a:rPr lang="en-US" sz="1100"/>
            </a:br>
            <a:r>
              <a:rPr lang="en-US" sz="1100"/>
              <a:t>Have not gotten curve between low and</a:t>
            </a:r>
            <a:r>
              <a:rPr lang="en-US" sz="1100" baseline="0"/>
              <a:t> infinite cycle life to meet with target yet... (in high cycle region).</a:t>
            </a:r>
          </a:p>
          <a:p>
            <a:pPr>
              <a:defRPr/>
            </a:pPr>
            <a:endParaRPr lang="en-US" sz="1100"/>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Non-Corrected S-N Curve</c:v>
          </c:tx>
          <c:spPr>
            <a:ln w="12700" cap="rnd">
              <a:solidFill>
                <a:schemeClr val="tx1"/>
              </a:solidFill>
              <a:prstDash val="sysDash"/>
              <a:round/>
            </a:ln>
            <a:effectLst/>
          </c:spPr>
          <c:marker>
            <c:symbol val="circle"/>
            <c:size val="5"/>
            <c:spPr>
              <a:solidFill>
                <a:schemeClr val="tx1"/>
              </a:solidFill>
              <a:ln w="9525">
                <a:solidFill>
                  <a:schemeClr val="bg2">
                    <a:lumMod val="25000"/>
                  </a:schemeClr>
                </a:solidFill>
              </a:ln>
              <a:effectLst/>
            </c:spPr>
          </c:marker>
          <c:xVal>
            <c:numRef>
              <c:f>'Shaft Fatigue'!$A$187:$A$190</c:f>
              <c:numCache>
                <c:formatCode>General</c:formatCode>
                <c:ptCount val="4"/>
                <c:pt idx="0">
                  <c:v>1</c:v>
                </c:pt>
                <c:pt idx="1">
                  <c:v>1000</c:v>
                </c:pt>
                <c:pt idx="2">
                  <c:v>1000000</c:v>
                </c:pt>
                <c:pt idx="3">
                  <c:v>1000000000000</c:v>
                </c:pt>
              </c:numCache>
            </c:numRef>
          </c:xVal>
          <c:yVal>
            <c:numRef>
              <c:f>'Shaft Fatigue'!$B$187:$B$190</c:f>
              <c:numCache>
                <c:formatCode>General</c:formatCode>
                <c:ptCount val="4"/>
                <c:pt idx="0">
                  <c:v>105</c:v>
                </c:pt>
                <c:pt idx="1">
                  <c:v>87.905150456416195</c:v>
                </c:pt>
                <c:pt idx="2">
                  <c:v>52.499999999999993</c:v>
                </c:pt>
                <c:pt idx="3">
                  <c:v>52.499999999999993</c:v>
                </c:pt>
              </c:numCache>
            </c:numRef>
          </c:yVal>
          <c:smooth val="0"/>
          <c:extLst>
            <c:ext xmlns:c16="http://schemas.microsoft.com/office/drawing/2014/chart" uri="{C3380CC4-5D6E-409C-BE32-E72D297353CC}">
              <c16:uniqueId val="{00000000-1A37-41DF-9D73-C92F08BE09C4}"/>
            </c:ext>
          </c:extLst>
        </c:ser>
        <c:ser>
          <c:idx val="1"/>
          <c:order val="1"/>
          <c:tx>
            <c:v>Corrected S-N Curve</c:v>
          </c:tx>
          <c:spPr>
            <a:ln w="12700" cap="rnd">
              <a:solidFill>
                <a:schemeClr val="tx1"/>
              </a:solidFill>
              <a:round/>
            </a:ln>
            <a:effectLst/>
          </c:spPr>
          <c:marker>
            <c:symbol val="circle"/>
            <c:size val="5"/>
            <c:spPr>
              <a:solidFill>
                <a:schemeClr val="tx1"/>
              </a:solidFill>
              <a:ln w="9525">
                <a:solidFill>
                  <a:schemeClr val="bg2">
                    <a:lumMod val="50000"/>
                  </a:schemeClr>
                </a:solidFill>
              </a:ln>
              <a:effectLst/>
            </c:spPr>
          </c:marker>
          <c:xVal>
            <c:numRef>
              <c:f>'Shaft Fatigue'!$A$187:$A$190</c:f>
              <c:numCache>
                <c:formatCode>General</c:formatCode>
                <c:ptCount val="4"/>
                <c:pt idx="0">
                  <c:v>1</c:v>
                </c:pt>
                <c:pt idx="1">
                  <c:v>1000</c:v>
                </c:pt>
                <c:pt idx="2">
                  <c:v>1000000</c:v>
                </c:pt>
                <c:pt idx="3">
                  <c:v>1000000000000</c:v>
                </c:pt>
              </c:numCache>
            </c:numRef>
          </c:xVal>
          <c:yVal>
            <c:numRef>
              <c:f>'Shaft Fatigue'!$C$187:$C$190</c:f>
              <c:numCache>
                <c:formatCode>General</c:formatCode>
                <c:ptCount val="4"/>
                <c:pt idx="0">
                  <c:v>105</c:v>
                </c:pt>
                <c:pt idx="1">
                  <c:v>87.905150456416195</c:v>
                </c:pt>
                <c:pt idx="2">
                  <c:v>29.251979819809144</c:v>
                </c:pt>
                <c:pt idx="3">
                  <c:v>29.251979819809144</c:v>
                </c:pt>
              </c:numCache>
            </c:numRef>
          </c:yVal>
          <c:smooth val="0"/>
          <c:extLst>
            <c:ext xmlns:c16="http://schemas.microsoft.com/office/drawing/2014/chart" uri="{C3380CC4-5D6E-409C-BE32-E72D297353CC}">
              <c16:uniqueId val="{00000001-1A37-41DF-9D73-C92F08BE09C4}"/>
            </c:ext>
          </c:extLst>
        </c:ser>
        <c:ser>
          <c:idx val="2"/>
          <c:order val="2"/>
          <c:tx>
            <c:v>N Target</c:v>
          </c:tx>
          <c:spPr>
            <a:ln w="19050" cap="rnd">
              <a:solidFill>
                <a:schemeClr val="accent3"/>
              </a:solidFill>
              <a:round/>
            </a:ln>
            <a:effectLst/>
          </c:spPr>
          <c:marker>
            <c:symbol val="circle"/>
            <c:size val="5"/>
            <c:spPr>
              <a:noFill/>
              <a:ln w="9525">
                <a:noFill/>
              </a:ln>
              <a:effectLst/>
            </c:spPr>
          </c:marker>
          <c:xVal>
            <c:numRef>
              <c:f>'Shaft Fatigue'!$D$188:$D$189</c:f>
              <c:numCache>
                <c:formatCode>General</c:formatCode>
                <c:ptCount val="2"/>
                <c:pt idx="0">
                  <c:v>12999999.999999</c:v>
                </c:pt>
                <c:pt idx="1">
                  <c:v>13000000.000001</c:v>
                </c:pt>
              </c:numCache>
            </c:numRef>
          </c:xVal>
          <c:yVal>
            <c:numRef>
              <c:f>'Shaft Fatigue'!$E$188:$E$189</c:f>
              <c:numCache>
                <c:formatCode>General</c:formatCode>
                <c:ptCount val="2"/>
                <c:pt idx="0">
                  <c:v>0</c:v>
                </c:pt>
                <c:pt idx="1">
                  <c:v>29.251979819809147</c:v>
                </c:pt>
              </c:numCache>
            </c:numRef>
          </c:yVal>
          <c:smooth val="0"/>
          <c:extLst>
            <c:ext xmlns:c16="http://schemas.microsoft.com/office/drawing/2014/chart" uri="{C3380CC4-5D6E-409C-BE32-E72D297353CC}">
              <c16:uniqueId val="{00000002-1A37-41DF-9D73-C92F08BE09C4}"/>
            </c:ext>
          </c:extLst>
        </c:ser>
        <c:dLbls>
          <c:showLegendKey val="0"/>
          <c:showVal val="0"/>
          <c:showCatName val="0"/>
          <c:showSerName val="0"/>
          <c:showPercent val="0"/>
          <c:showBubbleSize val="0"/>
        </c:dLbls>
        <c:axId val="919147848"/>
        <c:axId val="919150144"/>
      </c:scatterChart>
      <c:valAx>
        <c:axId val="919147848"/>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Stress Cycles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E+0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150144"/>
        <c:crosses val="autoZero"/>
        <c:crossBetween val="midCat"/>
      </c:valAx>
      <c:valAx>
        <c:axId val="91915014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Fatigue Sttrength</a:t>
                </a:r>
                <a:r>
                  <a:rPr lang="en-US" baseline="0"/>
                  <a:t> </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19147848"/>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Fatigue Failure Criteria</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6"/>
          <c:order val="0"/>
          <c:tx>
            <c:strRef>
              <c:f>'Shaft Fatigue'!$J$192</c:f>
              <c:strCache>
                <c:ptCount val="1"/>
                <c:pt idx="0">
                  <c:v>Modified Goodman</c:v>
                </c:pt>
              </c:strCache>
            </c:strRef>
          </c:tx>
          <c:spPr>
            <a:ln w="19050" cap="rnd">
              <a:solidFill>
                <a:schemeClr val="tx1"/>
              </a:solidFill>
              <a:prstDash val="sysDash"/>
              <a:round/>
            </a:ln>
            <a:effectLst/>
          </c:spPr>
          <c:marker>
            <c:symbol val="none"/>
          </c:marker>
          <c:xVal>
            <c:numRef>
              <c:f>'Shaft Fatigue'!$J$194:$J$196</c:f>
              <c:numCache>
                <c:formatCode>General</c:formatCode>
                <c:ptCount val="3"/>
                <c:pt idx="0">
                  <c:v>0</c:v>
                </c:pt>
                <c:pt idx="1">
                  <c:v>73.117978605181349</c:v>
                </c:pt>
                <c:pt idx="2">
                  <c:v>82</c:v>
                </c:pt>
              </c:numCache>
            </c:numRef>
          </c:xVal>
          <c:yVal>
            <c:numRef>
              <c:f>'Shaft Fatigue'!$K$194:$K$196</c:f>
              <c:numCache>
                <c:formatCode>General</c:formatCode>
                <c:ptCount val="3"/>
                <c:pt idx="0" formatCode="0.000">
                  <c:v>29.251979819809147</c:v>
                </c:pt>
                <c:pt idx="1">
                  <c:v>8.8820213948186506</c:v>
                </c:pt>
                <c:pt idx="2">
                  <c:v>0</c:v>
                </c:pt>
              </c:numCache>
            </c:numRef>
          </c:yVal>
          <c:smooth val="0"/>
          <c:extLst>
            <c:ext xmlns:c16="http://schemas.microsoft.com/office/drawing/2014/chart" uri="{C3380CC4-5D6E-409C-BE32-E72D297353CC}">
              <c16:uniqueId val="{00000000-10BD-4EA6-863A-52EC85D997E4}"/>
            </c:ext>
          </c:extLst>
        </c:ser>
        <c:ser>
          <c:idx val="1"/>
          <c:order val="1"/>
          <c:tx>
            <c:strRef>
              <c:f>'Shaft Fatigue'!$F$193:$G$193</c:f>
              <c:strCache>
                <c:ptCount val="1"/>
                <c:pt idx="0">
                  <c:v>Langer (Yield)</c:v>
                </c:pt>
              </c:strCache>
            </c:strRef>
          </c:tx>
          <c:spPr>
            <a:ln w="9525" cap="rnd">
              <a:solidFill>
                <a:schemeClr val="accent2"/>
              </a:solidFill>
              <a:round/>
            </a:ln>
            <a:effectLst/>
          </c:spPr>
          <c:marker>
            <c:symbol val="none"/>
          </c:marker>
          <c:xVal>
            <c:numRef>
              <c:f>'Shaft Fatigue'!$F$195:$F$196</c:f>
              <c:numCache>
                <c:formatCode>General</c:formatCode>
                <c:ptCount val="2"/>
                <c:pt idx="0">
                  <c:v>0</c:v>
                </c:pt>
                <c:pt idx="1">
                  <c:v>82</c:v>
                </c:pt>
              </c:numCache>
            </c:numRef>
          </c:xVal>
          <c:yVal>
            <c:numRef>
              <c:f>'Shaft Fatigue'!$G$195:$G$196</c:f>
              <c:numCache>
                <c:formatCode>General</c:formatCode>
                <c:ptCount val="2"/>
                <c:pt idx="0">
                  <c:v>82</c:v>
                </c:pt>
                <c:pt idx="1">
                  <c:v>0</c:v>
                </c:pt>
              </c:numCache>
            </c:numRef>
          </c:yVal>
          <c:smooth val="0"/>
          <c:extLst>
            <c:ext xmlns:c16="http://schemas.microsoft.com/office/drawing/2014/chart" uri="{C3380CC4-5D6E-409C-BE32-E72D297353CC}">
              <c16:uniqueId val="{00000001-10BD-4EA6-863A-52EC85D997E4}"/>
            </c:ext>
          </c:extLst>
        </c:ser>
        <c:ser>
          <c:idx val="0"/>
          <c:order val="2"/>
          <c:tx>
            <c:strRef>
              <c:f>'Shaft Fatigue'!$D$193:$E$193</c:f>
              <c:strCache>
                <c:ptCount val="1"/>
                <c:pt idx="0">
                  <c:v>Goodman</c:v>
                </c:pt>
              </c:strCache>
            </c:strRef>
          </c:tx>
          <c:spPr>
            <a:ln w="12700" cap="rnd">
              <a:solidFill>
                <a:schemeClr val="accent1"/>
              </a:solidFill>
              <a:round/>
            </a:ln>
            <a:effectLst/>
          </c:spPr>
          <c:marker>
            <c:symbol val="none"/>
          </c:marker>
          <c:xVal>
            <c:numRef>
              <c:f>'Shaft Fatigue'!$D$195:$D$196</c:f>
              <c:numCache>
                <c:formatCode>General</c:formatCode>
                <c:ptCount val="2"/>
                <c:pt idx="0">
                  <c:v>0</c:v>
                </c:pt>
                <c:pt idx="1">
                  <c:v>105</c:v>
                </c:pt>
              </c:numCache>
            </c:numRef>
          </c:xVal>
          <c:yVal>
            <c:numRef>
              <c:f>'Shaft Fatigue'!$E$195:$E$196</c:f>
              <c:numCache>
                <c:formatCode>General</c:formatCode>
                <c:ptCount val="2"/>
                <c:pt idx="0" formatCode="0.000">
                  <c:v>29.251979819809147</c:v>
                </c:pt>
                <c:pt idx="1">
                  <c:v>0</c:v>
                </c:pt>
              </c:numCache>
            </c:numRef>
          </c:yVal>
          <c:smooth val="0"/>
          <c:extLst>
            <c:ext xmlns:c16="http://schemas.microsoft.com/office/drawing/2014/chart" uri="{C3380CC4-5D6E-409C-BE32-E72D297353CC}">
              <c16:uniqueId val="{00000002-10BD-4EA6-863A-52EC85D997E4}"/>
            </c:ext>
          </c:extLst>
        </c:ser>
        <c:ser>
          <c:idx val="5"/>
          <c:order val="3"/>
          <c:tx>
            <c:v>ASME-Elliptic</c:v>
          </c:tx>
          <c:spPr>
            <a:ln w="12700" cap="rnd">
              <a:solidFill>
                <a:schemeClr val="accent6"/>
              </a:solidFill>
              <a:round/>
            </a:ln>
            <a:effectLst/>
          </c:spPr>
          <c:marker>
            <c:symbol val="none"/>
          </c:marker>
          <c:xVal>
            <c:numRef>
              <c:f>'Shaft Fatigue'!$D$217:$D$267</c:f>
              <c:numCache>
                <c:formatCode>General</c:formatCode>
                <c:ptCount val="51"/>
                <c:pt idx="0">
                  <c:v>0</c:v>
                </c:pt>
                <c:pt idx="1">
                  <c:v>1.64</c:v>
                </c:pt>
                <c:pt idx="2">
                  <c:v>3.28</c:v>
                </c:pt>
                <c:pt idx="3">
                  <c:v>4.92</c:v>
                </c:pt>
                <c:pt idx="4">
                  <c:v>6.56</c:v>
                </c:pt>
                <c:pt idx="5">
                  <c:v>8.1999999999999993</c:v>
                </c:pt>
                <c:pt idx="6">
                  <c:v>9.84</c:v>
                </c:pt>
                <c:pt idx="7">
                  <c:v>11.48</c:v>
                </c:pt>
                <c:pt idx="8">
                  <c:v>13.12</c:v>
                </c:pt>
                <c:pt idx="9">
                  <c:v>14.76</c:v>
                </c:pt>
                <c:pt idx="10">
                  <c:v>16.399999999999999</c:v>
                </c:pt>
                <c:pt idx="11">
                  <c:v>18.04</c:v>
                </c:pt>
                <c:pt idx="12">
                  <c:v>19.68</c:v>
                </c:pt>
                <c:pt idx="13">
                  <c:v>21.32</c:v>
                </c:pt>
                <c:pt idx="14">
                  <c:v>22.96</c:v>
                </c:pt>
                <c:pt idx="15">
                  <c:v>24.6</c:v>
                </c:pt>
                <c:pt idx="16">
                  <c:v>26.24</c:v>
                </c:pt>
                <c:pt idx="17">
                  <c:v>27.88</c:v>
                </c:pt>
                <c:pt idx="18">
                  <c:v>29.52</c:v>
                </c:pt>
                <c:pt idx="19">
                  <c:v>31.16</c:v>
                </c:pt>
                <c:pt idx="20">
                  <c:v>32.799999999999997</c:v>
                </c:pt>
                <c:pt idx="21">
                  <c:v>34.44</c:v>
                </c:pt>
                <c:pt idx="22">
                  <c:v>36.08</c:v>
                </c:pt>
                <c:pt idx="23">
                  <c:v>37.72</c:v>
                </c:pt>
                <c:pt idx="24">
                  <c:v>39.36</c:v>
                </c:pt>
                <c:pt idx="25">
                  <c:v>41</c:v>
                </c:pt>
                <c:pt idx="26">
                  <c:v>42.64</c:v>
                </c:pt>
                <c:pt idx="27">
                  <c:v>44.28</c:v>
                </c:pt>
                <c:pt idx="28">
                  <c:v>45.92</c:v>
                </c:pt>
                <c:pt idx="29">
                  <c:v>47.56</c:v>
                </c:pt>
                <c:pt idx="30">
                  <c:v>49.2</c:v>
                </c:pt>
                <c:pt idx="31">
                  <c:v>50.84</c:v>
                </c:pt>
                <c:pt idx="32">
                  <c:v>52.48</c:v>
                </c:pt>
                <c:pt idx="33">
                  <c:v>54.12</c:v>
                </c:pt>
                <c:pt idx="34">
                  <c:v>55.76</c:v>
                </c:pt>
                <c:pt idx="35">
                  <c:v>57.4</c:v>
                </c:pt>
                <c:pt idx="36">
                  <c:v>59.04</c:v>
                </c:pt>
                <c:pt idx="37">
                  <c:v>60.68</c:v>
                </c:pt>
                <c:pt idx="38">
                  <c:v>62.32</c:v>
                </c:pt>
                <c:pt idx="39">
                  <c:v>63.96</c:v>
                </c:pt>
                <c:pt idx="40">
                  <c:v>65.599999999999994</c:v>
                </c:pt>
                <c:pt idx="41">
                  <c:v>67.239999999999995</c:v>
                </c:pt>
                <c:pt idx="42">
                  <c:v>68.88</c:v>
                </c:pt>
                <c:pt idx="43">
                  <c:v>70.52</c:v>
                </c:pt>
                <c:pt idx="44">
                  <c:v>72.16</c:v>
                </c:pt>
                <c:pt idx="45">
                  <c:v>73.8</c:v>
                </c:pt>
                <c:pt idx="46">
                  <c:v>75.44</c:v>
                </c:pt>
                <c:pt idx="47">
                  <c:v>77.08</c:v>
                </c:pt>
                <c:pt idx="48">
                  <c:v>78.72</c:v>
                </c:pt>
                <c:pt idx="49">
                  <c:v>80.36</c:v>
                </c:pt>
                <c:pt idx="50">
                  <c:v>82</c:v>
                </c:pt>
              </c:numCache>
            </c:numRef>
          </c:xVal>
          <c:yVal>
            <c:numRef>
              <c:f>'Shaft Fatigue'!$E$217:$E$267</c:f>
              <c:numCache>
                <c:formatCode>General</c:formatCode>
                <c:ptCount val="51"/>
                <c:pt idx="0">
                  <c:v>29.251979819809147</c:v>
                </c:pt>
                <c:pt idx="1">
                  <c:v>29.246128838688552</c:v>
                </c:pt>
                <c:pt idx="2">
                  <c:v>29.228568867823753</c:v>
                </c:pt>
                <c:pt idx="3">
                  <c:v>29.199278782435002</c:v>
                </c:pt>
                <c:pt idx="4">
                  <c:v>29.158223233058955</c:v>
                </c:pt>
                <c:pt idx="5">
                  <c:v>29.10535243120647</c:v>
                </c:pt>
                <c:pt idx="6">
                  <c:v>29.040601845035354</c:v>
                </c:pt>
                <c:pt idx="7">
                  <c:v>28.963891800659361</c:v>
                </c:pt>
                <c:pt idx="8">
                  <c:v>28.875126983271112</c:v>
                </c:pt>
                <c:pt idx="9">
                  <c:v>28.774195830658023</c:v>
                </c:pt>
                <c:pt idx="10">
                  <c:v>28.66096980988921</c:v>
                </c:pt>
                <c:pt idx="11">
                  <c:v>28.535302565891975</c:v>
                </c:pt>
                <c:pt idx="12">
                  <c:v>28.397028928250904</c:v>
                </c:pt>
                <c:pt idx="13">
                  <c:v>28.245963759768113</c:v>
                </c:pt>
                <c:pt idx="14">
                  <c:v>28.081900627016783</c:v>
                </c:pt>
                <c:pt idx="15">
                  <c:v>27.904610269173347</c:v>
                </c:pt>
                <c:pt idx="16">
                  <c:v>27.713838836663552</c:v>
                </c:pt>
                <c:pt idx="17">
                  <c:v>27.509305865396978</c:v>
                </c:pt>
                <c:pt idx="18">
                  <c:v>27.290701945326823</c:v>
                </c:pt>
                <c:pt idx="19">
                  <c:v>27.05768603341134</c:v>
                </c:pt>
                <c:pt idx="20">
                  <c:v>26.809882350319224</c:v>
                </c:pt>
                <c:pt idx="21">
                  <c:v>26.546876786819016</c:v>
                </c:pt>
                <c:pt idx="22">
                  <c:v>26.26821272893228</c:v>
                </c:pt>
                <c:pt idx="23">
                  <c:v>25.973386189552304</c:v>
                </c:pt>
                <c:pt idx="24">
                  <c:v>25.661840106900172</c:v>
                </c:pt>
                <c:pt idx="25">
                  <c:v>25.332957634944467</c:v>
                </c:pt>
                <c:pt idx="26">
                  <c:v>24.986054205035444</c:v>
                </c:pt>
                <c:pt idx="27">
                  <c:v>24.620368077698284</c:v>
                </c:pt>
                <c:pt idx="28">
                  <c:v>24.235049023408578</c:v>
                </c:pt>
                <c:pt idx="29">
                  <c:v>23.829144663499502</c:v>
                </c:pt>
                <c:pt idx="30">
                  <c:v>23.401583855847317</c:v>
                </c:pt>
                <c:pt idx="31">
                  <c:v>22.951156307947052</c:v>
                </c:pt>
                <c:pt idx="32">
                  <c:v>22.476487317253984</c:v>
                </c:pt>
                <c:pt idx="33">
                  <c:v>21.976006136576267</c:v>
                </c:pt>
                <c:pt idx="34">
                  <c:v>21.44790588025538</c:v>
                </c:pt>
                <c:pt idx="35">
                  <c:v>20.89009202763468</c:v>
                </c:pt>
                <c:pt idx="36">
                  <c:v>20.300115283886839</c:v>
                </c:pt>
                <c:pt idx="37">
                  <c:v>19.67508255373896</c:v>
                </c:pt>
                <c:pt idx="38">
                  <c:v>19.011536597421248</c:v>
                </c:pt>
                <c:pt idx="39">
                  <c:v>18.305289711857309</c:v>
                </c:pt>
                <c:pt idx="40">
                  <c:v>17.55118789188549</c:v>
                </c:pt>
                <c:pt idx="41">
                  <c:v>16.742766161504012</c:v>
                </c:pt>
                <c:pt idx="42">
                  <c:v>15.871726383813352</c:v>
                </c:pt>
                <c:pt idx="43">
                  <c:v>14.927110752177297</c:v>
                </c:pt>
                <c:pt idx="44">
                  <c:v>13.893920604141744</c:v>
                </c:pt>
                <c:pt idx="45">
                  <c:v>12.750642393303925</c:v>
                </c:pt>
                <c:pt idx="46">
                  <c:v>11.464387923955691</c:v>
                </c:pt>
                <c:pt idx="47">
                  <c:v>9.9800278978197223</c:v>
                </c:pt>
                <c:pt idx="48">
                  <c:v>8.1905543495465629</c:v>
                </c:pt>
                <c:pt idx="49">
                  <c:v>5.8210704862413003</c:v>
                </c:pt>
                <c:pt idx="50">
                  <c:v>0</c:v>
                </c:pt>
              </c:numCache>
            </c:numRef>
          </c:yVal>
          <c:smooth val="0"/>
          <c:extLst>
            <c:ext xmlns:c16="http://schemas.microsoft.com/office/drawing/2014/chart" uri="{C3380CC4-5D6E-409C-BE32-E72D297353CC}">
              <c16:uniqueId val="{00000003-10BD-4EA6-863A-52EC85D997E4}"/>
            </c:ext>
          </c:extLst>
        </c:ser>
        <c:ser>
          <c:idx val="4"/>
          <c:order val="4"/>
          <c:tx>
            <c:v>Soderberg</c:v>
          </c:tx>
          <c:spPr>
            <a:ln w="12700" cap="rnd">
              <a:solidFill>
                <a:srgbClr val="7030A0"/>
              </a:solidFill>
              <a:round/>
            </a:ln>
            <a:effectLst/>
          </c:spPr>
          <c:marker>
            <c:symbol val="none"/>
          </c:marker>
          <c:xVal>
            <c:numRef>
              <c:f>'Shaft Fatigue'!$H$195:$H$196</c:f>
              <c:numCache>
                <c:formatCode>General</c:formatCode>
                <c:ptCount val="2"/>
                <c:pt idx="0">
                  <c:v>0</c:v>
                </c:pt>
                <c:pt idx="1">
                  <c:v>82</c:v>
                </c:pt>
              </c:numCache>
            </c:numRef>
          </c:xVal>
          <c:yVal>
            <c:numRef>
              <c:f>'Shaft Fatigue'!$I$195:$I$196</c:f>
              <c:numCache>
                <c:formatCode>General</c:formatCode>
                <c:ptCount val="2"/>
                <c:pt idx="0" formatCode="0.000">
                  <c:v>29.251979819809147</c:v>
                </c:pt>
                <c:pt idx="1">
                  <c:v>0</c:v>
                </c:pt>
              </c:numCache>
            </c:numRef>
          </c:yVal>
          <c:smooth val="0"/>
          <c:extLst>
            <c:ext xmlns:c16="http://schemas.microsoft.com/office/drawing/2014/chart" uri="{C3380CC4-5D6E-409C-BE32-E72D297353CC}">
              <c16:uniqueId val="{00000004-10BD-4EA6-863A-52EC85D997E4}"/>
            </c:ext>
          </c:extLst>
        </c:ser>
        <c:ser>
          <c:idx val="3"/>
          <c:order val="5"/>
          <c:tx>
            <c:v>Gerber</c:v>
          </c:tx>
          <c:spPr>
            <a:ln w="12700" cap="rnd">
              <a:solidFill>
                <a:schemeClr val="accent4"/>
              </a:solidFill>
              <a:round/>
            </a:ln>
            <a:effectLst/>
          </c:spPr>
          <c:marker>
            <c:symbol val="none"/>
          </c:marker>
          <c:xVal>
            <c:numRef>
              <c:f>'Shaft Fatigue'!$B$217:$B$267</c:f>
              <c:numCache>
                <c:formatCode>General</c:formatCode>
                <c:ptCount val="51"/>
                <c:pt idx="0">
                  <c:v>0</c:v>
                </c:pt>
                <c:pt idx="1">
                  <c:v>2.1</c:v>
                </c:pt>
                <c:pt idx="2">
                  <c:v>4.2</c:v>
                </c:pt>
                <c:pt idx="3">
                  <c:v>6.3</c:v>
                </c:pt>
                <c:pt idx="4">
                  <c:v>8.4</c:v>
                </c:pt>
                <c:pt idx="5">
                  <c:v>10.5</c:v>
                </c:pt>
                <c:pt idx="6">
                  <c:v>12.6</c:v>
                </c:pt>
                <c:pt idx="7">
                  <c:v>14.7</c:v>
                </c:pt>
                <c:pt idx="8">
                  <c:v>16.8</c:v>
                </c:pt>
                <c:pt idx="9">
                  <c:v>18.899999999999999</c:v>
                </c:pt>
                <c:pt idx="10">
                  <c:v>21</c:v>
                </c:pt>
                <c:pt idx="11">
                  <c:v>23.1</c:v>
                </c:pt>
                <c:pt idx="12">
                  <c:v>25.2</c:v>
                </c:pt>
                <c:pt idx="13">
                  <c:v>27.3</c:v>
                </c:pt>
                <c:pt idx="14">
                  <c:v>29.4</c:v>
                </c:pt>
                <c:pt idx="15">
                  <c:v>31.5</c:v>
                </c:pt>
                <c:pt idx="16">
                  <c:v>33.6</c:v>
                </c:pt>
                <c:pt idx="17">
                  <c:v>35.700000000000003</c:v>
                </c:pt>
                <c:pt idx="18">
                  <c:v>37.799999999999997</c:v>
                </c:pt>
                <c:pt idx="19">
                  <c:v>39.9</c:v>
                </c:pt>
                <c:pt idx="20">
                  <c:v>42</c:v>
                </c:pt>
                <c:pt idx="21">
                  <c:v>44.1</c:v>
                </c:pt>
                <c:pt idx="22">
                  <c:v>46.2</c:v>
                </c:pt>
                <c:pt idx="23">
                  <c:v>48.3</c:v>
                </c:pt>
                <c:pt idx="24">
                  <c:v>50.4</c:v>
                </c:pt>
                <c:pt idx="25">
                  <c:v>52.5</c:v>
                </c:pt>
                <c:pt idx="26">
                  <c:v>54.6</c:v>
                </c:pt>
                <c:pt idx="27">
                  <c:v>56.7</c:v>
                </c:pt>
                <c:pt idx="28">
                  <c:v>58.8</c:v>
                </c:pt>
                <c:pt idx="29">
                  <c:v>60.9</c:v>
                </c:pt>
                <c:pt idx="30">
                  <c:v>63</c:v>
                </c:pt>
                <c:pt idx="31">
                  <c:v>65.099999999999994</c:v>
                </c:pt>
                <c:pt idx="32">
                  <c:v>67.2</c:v>
                </c:pt>
                <c:pt idx="33">
                  <c:v>69.3</c:v>
                </c:pt>
                <c:pt idx="34">
                  <c:v>71.400000000000006</c:v>
                </c:pt>
                <c:pt idx="35">
                  <c:v>73.5</c:v>
                </c:pt>
                <c:pt idx="36">
                  <c:v>75.599999999999994</c:v>
                </c:pt>
                <c:pt idx="37">
                  <c:v>77.7</c:v>
                </c:pt>
                <c:pt idx="38">
                  <c:v>79.8</c:v>
                </c:pt>
                <c:pt idx="39">
                  <c:v>81.900000000000006</c:v>
                </c:pt>
                <c:pt idx="40">
                  <c:v>84</c:v>
                </c:pt>
                <c:pt idx="41">
                  <c:v>86.1</c:v>
                </c:pt>
                <c:pt idx="42">
                  <c:v>88.2</c:v>
                </c:pt>
                <c:pt idx="43">
                  <c:v>90.3</c:v>
                </c:pt>
                <c:pt idx="44">
                  <c:v>92.4</c:v>
                </c:pt>
                <c:pt idx="45">
                  <c:v>94.5</c:v>
                </c:pt>
                <c:pt idx="46">
                  <c:v>96.6</c:v>
                </c:pt>
                <c:pt idx="47">
                  <c:v>98.7</c:v>
                </c:pt>
                <c:pt idx="48">
                  <c:v>100.8</c:v>
                </c:pt>
                <c:pt idx="49">
                  <c:v>102.9</c:v>
                </c:pt>
                <c:pt idx="50">
                  <c:v>105</c:v>
                </c:pt>
              </c:numCache>
            </c:numRef>
          </c:xVal>
          <c:yVal>
            <c:numRef>
              <c:f>'Shaft Fatigue'!$C$217:$C$267</c:f>
              <c:numCache>
                <c:formatCode>General</c:formatCode>
                <c:ptCount val="51"/>
                <c:pt idx="0">
                  <c:v>29.251979819809147</c:v>
                </c:pt>
                <c:pt idx="1">
                  <c:v>29.240279027881225</c:v>
                </c:pt>
                <c:pt idx="2">
                  <c:v>29.20517665209745</c:v>
                </c:pt>
                <c:pt idx="3">
                  <c:v>29.146672692457834</c:v>
                </c:pt>
                <c:pt idx="4">
                  <c:v>29.064767148962371</c:v>
                </c:pt>
                <c:pt idx="5">
                  <c:v>28.959460021611054</c:v>
                </c:pt>
                <c:pt idx="6">
                  <c:v>28.830751310403897</c:v>
                </c:pt>
                <c:pt idx="7">
                  <c:v>28.67864101534089</c:v>
                </c:pt>
                <c:pt idx="8">
                  <c:v>28.503129136422036</c:v>
                </c:pt>
                <c:pt idx="9">
                  <c:v>28.304215673647331</c:v>
                </c:pt>
                <c:pt idx="10">
                  <c:v>28.081900627016779</c:v>
                </c:pt>
                <c:pt idx="11">
                  <c:v>27.836183996530384</c:v>
                </c:pt>
                <c:pt idx="12">
                  <c:v>27.567065782188141</c:v>
                </c:pt>
                <c:pt idx="13">
                  <c:v>27.274545983990048</c:v>
                </c:pt>
                <c:pt idx="14">
                  <c:v>26.958624601936108</c:v>
                </c:pt>
                <c:pt idx="15">
                  <c:v>26.619301636026325</c:v>
                </c:pt>
                <c:pt idx="16">
                  <c:v>26.256577086260688</c:v>
                </c:pt>
                <c:pt idx="17">
                  <c:v>25.87045095263921</c:v>
                </c:pt>
                <c:pt idx="18">
                  <c:v>25.460923235161882</c:v>
                </c:pt>
                <c:pt idx="19">
                  <c:v>25.027993933828707</c:v>
                </c:pt>
                <c:pt idx="20">
                  <c:v>24.571663048639682</c:v>
                </c:pt>
                <c:pt idx="21">
                  <c:v>24.091930579594813</c:v>
                </c:pt>
                <c:pt idx="22">
                  <c:v>23.588796526694097</c:v>
                </c:pt>
                <c:pt idx="23">
                  <c:v>23.06226088993753</c:v>
                </c:pt>
                <c:pt idx="24">
                  <c:v>22.51232366932512</c:v>
                </c:pt>
                <c:pt idx="25">
                  <c:v>21.93898486485686</c:v>
                </c:pt>
                <c:pt idx="26">
                  <c:v>21.342244476532755</c:v>
                </c:pt>
                <c:pt idx="27">
                  <c:v>20.722102504352797</c:v>
                </c:pt>
                <c:pt idx="28">
                  <c:v>20.078558948317003</c:v>
                </c:pt>
                <c:pt idx="29">
                  <c:v>19.411613808425351</c:v>
                </c:pt>
                <c:pt idx="30">
                  <c:v>18.721267084677855</c:v>
                </c:pt>
                <c:pt idx="31">
                  <c:v>18.007518777074509</c:v>
                </c:pt>
                <c:pt idx="32">
                  <c:v>17.270368885615323</c:v>
                </c:pt>
                <c:pt idx="33">
                  <c:v>16.509817410300286</c:v>
                </c:pt>
                <c:pt idx="34">
                  <c:v>15.725864351129394</c:v>
                </c:pt>
                <c:pt idx="35">
                  <c:v>14.918509708102665</c:v>
                </c:pt>
                <c:pt idx="36">
                  <c:v>14.087753481220085</c:v>
                </c:pt>
                <c:pt idx="37">
                  <c:v>13.233595670481659</c:v>
                </c:pt>
                <c:pt idx="38">
                  <c:v>12.356036275887384</c:v>
                </c:pt>
                <c:pt idx="39">
                  <c:v>11.455075297437261</c:v>
                </c:pt>
                <c:pt idx="40">
                  <c:v>10.530712735131289</c:v>
                </c:pt>
                <c:pt idx="41">
                  <c:v>9.5829485889694794</c:v>
                </c:pt>
                <c:pt idx="42">
                  <c:v>8.6117828589518091</c:v>
                </c:pt>
                <c:pt idx="43">
                  <c:v>7.6172155450783041</c:v>
                </c:pt>
                <c:pt idx="44">
                  <c:v>6.5992466473489442</c:v>
                </c:pt>
                <c:pt idx="45">
                  <c:v>5.5578761657637363</c:v>
                </c:pt>
                <c:pt idx="46">
                  <c:v>4.4931041003226904</c:v>
                </c:pt>
                <c:pt idx="47">
                  <c:v>3.4049304510257801</c:v>
                </c:pt>
                <c:pt idx="48">
                  <c:v>2.2933552178730379</c:v>
                </c:pt>
                <c:pt idx="49">
                  <c:v>1.158378400864438</c:v>
                </c:pt>
                <c:pt idx="50">
                  <c:v>0</c:v>
                </c:pt>
              </c:numCache>
            </c:numRef>
          </c:yVal>
          <c:smooth val="0"/>
          <c:extLst>
            <c:ext xmlns:c16="http://schemas.microsoft.com/office/drawing/2014/chart" uri="{C3380CC4-5D6E-409C-BE32-E72D297353CC}">
              <c16:uniqueId val="{00000005-10BD-4EA6-863A-52EC85D997E4}"/>
            </c:ext>
          </c:extLst>
        </c:ser>
        <c:ser>
          <c:idx val="2"/>
          <c:order val="6"/>
          <c:tx>
            <c:strRef>
              <c:f>'Shaft Fatigue'!$B$193:$C$193</c:f>
              <c:strCache>
                <c:ptCount val="1"/>
                <c:pt idx="0">
                  <c:v>Load Line</c:v>
                </c:pt>
              </c:strCache>
            </c:strRef>
          </c:tx>
          <c:spPr>
            <a:ln w="19050" cap="rnd">
              <a:solidFill>
                <a:schemeClr val="accent3"/>
              </a:solidFill>
              <a:prstDash val="sysDot"/>
              <a:round/>
            </a:ln>
            <a:effectLst/>
          </c:spPr>
          <c:marker>
            <c:symbol val="none"/>
          </c:marker>
          <c:dPt>
            <c:idx val="0"/>
            <c:marker>
              <c:symbol val="none"/>
            </c:marker>
            <c:bubble3D val="0"/>
            <c:extLst>
              <c:ext xmlns:c16="http://schemas.microsoft.com/office/drawing/2014/chart" uri="{C3380CC4-5D6E-409C-BE32-E72D297353CC}">
                <c16:uniqueId val="{00000006-10BD-4EA6-863A-52EC85D997E4}"/>
              </c:ext>
            </c:extLst>
          </c:dPt>
          <c:dPt>
            <c:idx val="1"/>
            <c:marker>
              <c:symbol val="circle"/>
              <c:size val="5"/>
              <c:spPr>
                <a:solidFill>
                  <a:srgbClr val="FF0000"/>
                </a:solidFill>
                <a:ln w="6350">
                  <a:solidFill>
                    <a:schemeClr val="tx1"/>
                  </a:solidFill>
                </a:ln>
                <a:effectLst/>
              </c:spPr>
            </c:marker>
            <c:bubble3D val="0"/>
            <c:extLst>
              <c:ext xmlns:c16="http://schemas.microsoft.com/office/drawing/2014/chart" uri="{C3380CC4-5D6E-409C-BE32-E72D297353CC}">
                <c16:uniqueId val="{00000007-10BD-4EA6-863A-52EC85D997E4}"/>
              </c:ext>
            </c:extLst>
          </c:dPt>
          <c:dLbls>
            <c:dLbl>
              <c:idx val="0"/>
              <c:delete val="1"/>
              <c:extLst>
                <c:ext xmlns:c15="http://schemas.microsoft.com/office/drawing/2012/chart" uri="{CE6537A1-D6FC-4f65-9D91-7224C49458BB}"/>
                <c:ext xmlns:c16="http://schemas.microsoft.com/office/drawing/2014/chart" uri="{C3380CC4-5D6E-409C-BE32-E72D297353CC}">
                  <c16:uniqueId val="{00000006-10BD-4EA6-863A-52EC85D997E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'Shaft Fatigue'!$B$195:$B$196</c:f>
              <c:numCache>
                <c:formatCode>0.00</c:formatCode>
                <c:ptCount val="2"/>
                <c:pt idx="0" formatCode="General">
                  <c:v>0</c:v>
                </c:pt>
                <c:pt idx="1">
                  <c:v>16.391303134857896</c:v>
                </c:pt>
              </c:numCache>
            </c:numRef>
          </c:xVal>
          <c:yVal>
            <c:numRef>
              <c:f>'Shaft Fatigue'!$C$195:$C$196</c:f>
              <c:numCache>
                <c:formatCode>0.00</c:formatCode>
                <c:ptCount val="2"/>
                <c:pt idx="0" formatCode="General">
                  <c:v>0</c:v>
                </c:pt>
                <c:pt idx="1">
                  <c:v>23.791564743205029</c:v>
                </c:pt>
              </c:numCache>
            </c:numRef>
          </c:yVal>
          <c:smooth val="0"/>
          <c:extLst>
            <c:ext xmlns:c16="http://schemas.microsoft.com/office/drawing/2014/chart" uri="{C3380CC4-5D6E-409C-BE32-E72D297353CC}">
              <c16:uniqueId val="{00000008-10BD-4EA6-863A-52EC85D997E4}"/>
            </c:ext>
          </c:extLst>
        </c:ser>
        <c:dLbls>
          <c:showLegendKey val="0"/>
          <c:showVal val="0"/>
          <c:showCatName val="0"/>
          <c:showSerName val="0"/>
          <c:showPercent val="0"/>
          <c:showBubbleSize val="0"/>
        </c:dLbls>
        <c:axId val="717376208"/>
        <c:axId val="717375224"/>
      </c:scatterChart>
      <c:valAx>
        <c:axId val="717376208"/>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Midrange Stress (ksi)</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375224"/>
        <c:crosses val="autoZero"/>
        <c:crossBetween val="midCat"/>
      </c:valAx>
      <c:valAx>
        <c:axId val="71737522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Alternating</a:t>
                </a:r>
                <a:r>
                  <a:rPr lang="en-US" baseline="0"/>
                  <a:t> Stress (ksi)</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7376208"/>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377079</xdr:colOff>
      <xdr:row>38</xdr:row>
      <xdr:rowOff>2800</xdr:rowOff>
    </xdr:from>
    <xdr:to>
      <xdr:col>19</xdr:col>
      <xdr:colOff>56029</xdr:colOff>
      <xdr:row>74</xdr:row>
      <xdr:rowOff>44823</xdr:rowOff>
    </xdr:to>
    <xdr:graphicFrame macro="">
      <xdr:nvGraphicFramePr>
        <xdr:cNvPr id="2" name="Chart 1">
          <a:extLst>
            <a:ext uri="{FF2B5EF4-FFF2-40B4-BE49-F238E27FC236}">
              <a16:creationId xmlns:a16="http://schemas.microsoft.com/office/drawing/2014/main" id="{027D0FA4-0471-4001-967C-CF47A3CEE8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45383</xdr:colOff>
      <xdr:row>86</xdr:row>
      <xdr:rowOff>27175</xdr:rowOff>
    </xdr:from>
    <xdr:to>
      <xdr:col>15</xdr:col>
      <xdr:colOff>448235</xdr:colOff>
      <xdr:row>112</xdr:row>
      <xdr:rowOff>112060</xdr:rowOff>
    </xdr:to>
    <xdr:graphicFrame macro="">
      <xdr:nvGraphicFramePr>
        <xdr:cNvPr id="3" name="Chart 2">
          <a:extLst>
            <a:ext uri="{FF2B5EF4-FFF2-40B4-BE49-F238E27FC236}">
              <a16:creationId xmlns:a16="http://schemas.microsoft.com/office/drawing/2014/main" id="{46AB5C93-AF08-447C-B454-5A8350A459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73397</xdr:colOff>
      <xdr:row>6</xdr:row>
      <xdr:rowOff>92449</xdr:rowOff>
    </xdr:from>
    <xdr:to>
      <xdr:col>18</xdr:col>
      <xdr:colOff>358589</xdr:colOff>
      <xdr:row>37</xdr:row>
      <xdr:rowOff>100853</xdr:rowOff>
    </xdr:to>
    <xdr:graphicFrame macro="">
      <xdr:nvGraphicFramePr>
        <xdr:cNvPr id="4" name="Chart 3">
          <a:extLst>
            <a:ext uri="{FF2B5EF4-FFF2-40B4-BE49-F238E27FC236}">
              <a16:creationId xmlns:a16="http://schemas.microsoft.com/office/drawing/2014/main" id="{B6CCA9BC-C380-4273-9C33-DB128C3EB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Copy%20of%20Fatigue%20%20%20%20%20draf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Calc Fatigue"/>
      <sheetName val="Combined Loading Example"/>
      <sheetName val="Shaft Fatigue Draft"/>
      <sheetName val="Shaft Fatigue"/>
      <sheetName val="Shaft Fatigue CO"/>
    </sheetNames>
    <sheetDataSet>
      <sheetData sheetId="0"/>
      <sheetData sheetId="1"/>
      <sheetData sheetId="2"/>
      <sheetData sheetId="3"/>
      <sheetData sheetId="4"/>
      <sheetData sheetId="5">
        <row r="186">
          <cell r="A186">
            <v>1</v>
          </cell>
          <cell r="B186">
            <v>130</v>
          </cell>
          <cell r="C186">
            <v>130</v>
          </cell>
        </row>
        <row r="187">
          <cell r="A187">
            <v>1000</v>
          </cell>
          <cell r="B187">
            <v>105.56650336091846</v>
          </cell>
          <cell r="C187">
            <v>105.56650336091846</v>
          </cell>
          <cell r="D187">
            <v>12999999.999999</v>
          </cell>
          <cell r="E187">
            <v>0</v>
          </cell>
        </row>
        <row r="188">
          <cell r="A188">
            <v>1000000</v>
          </cell>
          <cell r="B188">
            <v>65</v>
          </cell>
          <cell r="C188">
            <v>52.607900445993842</v>
          </cell>
          <cell r="D188">
            <v>13000000.000001</v>
          </cell>
          <cell r="E188">
            <v>52.607900445993842</v>
          </cell>
        </row>
        <row r="189">
          <cell r="A189">
            <v>1000000000</v>
          </cell>
          <cell r="B189">
            <v>65</v>
          </cell>
          <cell r="C189">
            <v>52.607900445993842</v>
          </cell>
        </row>
        <row r="191">
          <cell r="J191" t="str">
            <v>Modified Goodman</v>
          </cell>
        </row>
        <row r="192">
          <cell r="B192" t="str">
            <v>Load Line</v>
          </cell>
          <cell r="D192" t="str">
            <v>Goodman</v>
          </cell>
          <cell r="F192" t="str">
            <v>Langer (Yield)</v>
          </cell>
        </row>
        <row r="193">
          <cell r="J193">
            <v>0</v>
          </cell>
          <cell r="K193">
            <v>52.607900445993842</v>
          </cell>
        </row>
        <row r="194">
          <cell r="B194">
            <v>0</v>
          </cell>
          <cell r="C194">
            <v>0</v>
          </cell>
          <cell r="D194">
            <v>0</v>
          </cell>
          <cell r="E194">
            <v>52.607900445993842</v>
          </cell>
          <cell r="F194">
            <v>0</v>
          </cell>
          <cell r="G194">
            <v>111</v>
          </cell>
          <cell r="H194">
            <v>0</v>
          </cell>
          <cell r="I194">
            <v>52.607900445993842</v>
          </cell>
          <cell r="J194">
            <v>98.08459759802264</v>
          </cell>
          <cell r="K194">
            <v>12.91540240197736</v>
          </cell>
        </row>
        <row r="195">
          <cell r="B195">
            <v>108</v>
          </cell>
          <cell r="C195">
            <v>7</v>
          </cell>
          <cell r="D195">
            <v>130</v>
          </cell>
          <cell r="E195">
            <v>0</v>
          </cell>
          <cell r="F195">
            <v>111</v>
          </cell>
          <cell r="G195">
            <v>0</v>
          </cell>
          <cell r="H195">
            <v>111</v>
          </cell>
          <cell r="I195">
            <v>0</v>
          </cell>
          <cell r="J195">
            <v>111</v>
          </cell>
          <cell r="K195">
            <v>0</v>
          </cell>
        </row>
        <row r="198">
          <cell r="C198">
            <v>0</v>
          </cell>
          <cell r="D198">
            <v>52.607900445993842</v>
          </cell>
        </row>
        <row r="199">
          <cell r="C199">
            <v>130</v>
          </cell>
          <cell r="D199">
            <v>130</v>
          </cell>
          <cell r="E199" t="str">
            <v>Static Fracture</v>
          </cell>
        </row>
        <row r="200">
          <cell r="C200">
            <v>0</v>
          </cell>
          <cell r="D200">
            <v>-52.607900445993842</v>
          </cell>
        </row>
        <row r="201">
          <cell r="C201">
            <v>0</v>
          </cell>
          <cell r="D201">
            <v>52.607900445993842</v>
          </cell>
        </row>
        <row r="202">
          <cell r="C202">
            <v>98.084597598022626</v>
          </cell>
          <cell r="D202">
            <v>111</v>
          </cell>
        </row>
        <row r="203">
          <cell r="C203">
            <v>111</v>
          </cell>
          <cell r="D203">
            <v>111</v>
          </cell>
        </row>
        <row r="204">
          <cell r="C204">
            <v>98.084597598022626</v>
          </cell>
          <cell r="D204">
            <v>85.169195196045251</v>
          </cell>
        </row>
        <row r="205">
          <cell r="C205">
            <v>0</v>
          </cell>
          <cell r="D205">
            <v>-52.607900445993842</v>
          </cell>
        </row>
        <row r="206">
          <cell r="C206">
            <v>0</v>
          </cell>
          <cell r="D206">
            <v>0</v>
          </cell>
        </row>
        <row r="207">
          <cell r="C207">
            <v>130</v>
          </cell>
          <cell r="D207">
            <v>130</v>
          </cell>
        </row>
        <row r="208">
          <cell r="C208">
            <v>107.99999</v>
          </cell>
          <cell r="D208">
            <v>101</v>
          </cell>
        </row>
        <row r="209">
          <cell r="C209">
            <v>108.00001</v>
          </cell>
          <cell r="D209">
            <v>115</v>
          </cell>
        </row>
        <row r="210">
          <cell r="A210" t="str">
            <v>Example Max repeated Stress</v>
          </cell>
          <cell r="C210">
            <v>37.451976933462078</v>
          </cell>
          <cell r="D210">
            <v>0</v>
          </cell>
        </row>
        <row r="211">
          <cell r="C211">
            <v>37.451977933462075</v>
          </cell>
          <cell r="D211">
            <v>74.90395586692415</v>
          </cell>
        </row>
        <row r="216">
          <cell r="B216">
            <v>0</v>
          </cell>
          <cell r="C216">
            <v>52.607900445993842</v>
          </cell>
          <cell r="D216">
            <v>0</v>
          </cell>
          <cell r="E216">
            <v>52.607900445993842</v>
          </cell>
        </row>
        <row r="217">
          <cell r="B217">
            <v>2.6</v>
          </cell>
          <cell r="C217">
            <v>52.586857285815448</v>
          </cell>
          <cell r="D217">
            <v>2.2200000000000002</v>
          </cell>
          <cell r="E217">
            <v>52.597377813536148</v>
          </cell>
        </row>
        <row r="218">
          <cell r="B218">
            <v>5.2</v>
          </cell>
          <cell r="C218">
            <v>52.523727805280252</v>
          </cell>
          <cell r="D218">
            <v>4.4400000000000004</v>
          </cell>
          <cell r="E218">
            <v>52.565797277627802</v>
          </cell>
        </row>
        <row r="219">
          <cell r="B219">
            <v>7.8</v>
          </cell>
          <cell r="C219">
            <v>52.418512004388262</v>
          </cell>
          <cell r="D219">
            <v>6.66</v>
          </cell>
          <cell r="E219">
            <v>52.513120846641655</v>
          </cell>
        </row>
        <row r="220">
          <cell r="B220">
            <v>10.4</v>
          </cell>
          <cell r="C220">
            <v>52.271209883139484</v>
          </cell>
          <cell r="D220">
            <v>8.8800000000000008</v>
          </cell>
          <cell r="E220">
            <v>52.439284946725309</v>
          </cell>
        </row>
        <row r="221">
          <cell r="B221">
            <v>13</v>
          </cell>
          <cell r="C221">
            <v>52.081821441533904</v>
          </cell>
          <cell r="D221">
            <v>11.1</v>
          </cell>
          <cell r="E221">
            <v>52.34420003631962</v>
          </cell>
        </row>
        <row r="222">
          <cell r="B222">
            <v>15.6</v>
          </cell>
          <cell r="C222">
            <v>51.85034667957153</v>
          </cell>
          <cell r="D222">
            <v>13.32</v>
          </cell>
          <cell r="E222">
            <v>52.227750058844833</v>
          </cell>
        </row>
        <row r="223">
          <cell r="B223">
            <v>18.2</v>
          </cell>
          <cell r="C223">
            <v>51.576785597252368</v>
          </cell>
          <cell r="D223">
            <v>15.54</v>
          </cell>
          <cell r="E223">
            <v>52.089791725679049</v>
          </cell>
        </row>
        <row r="224">
          <cell r="B224">
            <v>20.8</v>
          </cell>
          <cell r="C224">
            <v>51.261138194576404</v>
          </cell>
          <cell r="D224">
            <v>17.760000000000002</v>
          </cell>
          <cell r="E224">
            <v>51.9301536189583</v>
          </cell>
        </row>
        <row r="225">
          <cell r="B225">
            <v>23.4</v>
          </cell>
          <cell r="C225">
            <v>50.903404471543645</v>
          </cell>
          <cell r="D225">
            <v>19.98</v>
          </cell>
          <cell r="E225">
            <v>51.748635100851942</v>
          </cell>
        </row>
        <row r="226">
          <cell r="B226">
            <v>26</v>
          </cell>
          <cell r="C226">
            <v>50.503584428154085</v>
          </cell>
          <cell r="D226">
            <v>22.2</v>
          </cell>
          <cell r="E226">
            <v>51.545005012728197</v>
          </cell>
        </row>
        <row r="227">
          <cell r="B227">
            <v>28.6</v>
          </cell>
          <cell r="C227">
            <v>50.061678064407737</v>
          </cell>
          <cell r="D227">
            <v>24.42</v>
          </cell>
          <cell r="E227">
            <v>51.319000143920931</v>
          </cell>
        </row>
        <row r="228">
          <cell r="B228">
            <v>31.2</v>
          </cell>
          <cell r="C228">
            <v>49.577685380304594</v>
          </cell>
          <cell r="D228">
            <v>26.64</v>
          </cell>
          <cell r="E228">
            <v>51.070323445518426</v>
          </cell>
        </row>
        <row r="229">
          <cell r="B229">
            <v>33.799999999999997</v>
          </cell>
          <cell r="C229">
            <v>49.051606375844656</v>
          </cell>
          <cell r="D229">
            <v>28.86</v>
          </cell>
          <cell r="E229">
            <v>50.798641959569281</v>
          </cell>
        </row>
        <row r="230">
          <cell r="B230">
            <v>36.4</v>
          </cell>
          <cell r="C230">
            <v>48.483441051027924</v>
          </cell>
          <cell r="D230">
            <v>31.08</v>
          </cell>
          <cell r="E230">
            <v>50.503584428154085</v>
          </cell>
        </row>
        <row r="231">
          <cell r="B231">
            <v>39</v>
          </cell>
          <cell r="C231">
            <v>47.873189405854397</v>
          </cell>
          <cell r="D231">
            <v>33.299999999999997</v>
          </cell>
          <cell r="E231">
            <v>50.184738539673546</v>
          </cell>
        </row>
        <row r="232">
          <cell r="B232">
            <v>41.6</v>
          </cell>
          <cell r="C232">
            <v>47.220851440324068</v>
          </cell>
          <cell r="D232">
            <v>35.520000000000003</v>
          </cell>
          <cell r="E232">
            <v>49.841647761160885</v>
          </cell>
        </row>
        <row r="233">
          <cell r="B233">
            <v>44.2</v>
          </cell>
          <cell r="C233">
            <v>46.526427154436952</v>
          </cell>
          <cell r="D233">
            <v>37.74</v>
          </cell>
          <cell r="E233">
            <v>49.473807695066327</v>
          </cell>
        </row>
        <row r="234">
          <cell r="B234">
            <v>46.8</v>
          </cell>
          <cell r="C234">
            <v>45.789916548193041</v>
          </cell>
          <cell r="D234">
            <v>39.96</v>
          </cell>
          <cell r="E234">
            <v>49.080661886304121</v>
          </cell>
        </row>
        <row r="235">
          <cell r="B235">
            <v>49.4</v>
          </cell>
          <cell r="C235">
            <v>45.011319621592335</v>
          </cell>
          <cell r="D235">
            <v>42.18</v>
          </cell>
          <cell r="E235">
            <v>48.661596989777664</v>
          </cell>
        </row>
        <row r="236">
          <cell r="B236">
            <v>52</v>
          </cell>
          <cell r="C236">
            <v>44.190636374634828</v>
          </cell>
          <cell r="D236">
            <v>44.4</v>
          </cell>
          <cell r="E236">
            <v>48.215937189293577</v>
          </cell>
        </row>
        <row r="237">
          <cell r="B237">
            <v>54.6</v>
          </cell>
          <cell r="C237">
            <v>43.327866807320525</v>
          </cell>
          <cell r="D237">
            <v>46.62</v>
          </cell>
          <cell r="E237">
            <v>47.742937734672331</v>
          </cell>
        </row>
        <row r="238">
          <cell r="B238">
            <v>57.2</v>
          </cell>
          <cell r="C238">
            <v>42.423010919649435</v>
          </cell>
          <cell r="D238">
            <v>48.84</v>
          </cell>
          <cell r="E238">
            <v>47.241777433541039</v>
          </cell>
        </row>
        <row r="239">
          <cell r="B239">
            <v>59.8</v>
          </cell>
          <cell r="C239">
            <v>41.476068711621544</v>
          </cell>
          <cell r="D239">
            <v>51.06</v>
          </cell>
          <cell r="E239">
            <v>46.711549895846815</v>
          </cell>
        </row>
        <row r="240">
          <cell r="B240">
            <v>62.4</v>
          </cell>
          <cell r="C240">
            <v>40.487040183236864</v>
          </cell>
          <cell r="D240">
            <v>53.28</v>
          </cell>
          <cell r="E240">
            <v>46.151253279977972</v>
          </cell>
        </row>
        <row r="241">
          <cell r="B241">
            <v>65</v>
          </cell>
          <cell r="C241">
            <v>39.455925334495383</v>
          </cell>
          <cell r="D241">
            <v>55.5</v>
          </cell>
          <cell r="E241">
            <v>45.559778225993369</v>
          </cell>
        </row>
        <row r="242">
          <cell r="B242">
            <v>67.599999999999994</v>
          </cell>
          <cell r="C242">
            <v>38.382724165397107</v>
          </cell>
          <cell r="D242">
            <v>57.72</v>
          </cell>
          <cell r="E242">
            <v>44.935893578955934</v>
          </cell>
        </row>
        <row r="243">
          <cell r="B243">
            <v>70.2</v>
          </cell>
          <cell r="C243">
            <v>37.267436675942037</v>
          </cell>
          <cell r="D243">
            <v>59.94</v>
          </cell>
          <cell r="E243">
            <v>44.278229396909481</v>
          </cell>
        </row>
        <row r="244">
          <cell r="B244">
            <v>72.8</v>
          </cell>
          <cell r="C244">
            <v>36.110062866130178</v>
          </cell>
          <cell r="D244">
            <v>62.16</v>
          </cell>
          <cell r="E244">
            <v>43.585256593944187</v>
          </cell>
        </row>
        <row r="245">
          <cell r="B245">
            <v>75.400000000000006</v>
          </cell>
          <cell r="C245">
            <v>34.910602735961511</v>
          </cell>
          <cell r="D245">
            <v>64.38</v>
          </cell>
          <cell r="E245">
            <v>42.855262375151824</v>
          </cell>
        </row>
        <row r="246">
          <cell r="B246">
            <v>78</v>
          </cell>
          <cell r="C246">
            <v>33.669056285436056</v>
          </cell>
          <cell r="D246">
            <v>66.599999999999994</v>
          </cell>
          <cell r="E246">
            <v>42.086320356795071</v>
          </cell>
        </row>
        <row r="247">
          <cell r="B247">
            <v>80.599999999999994</v>
          </cell>
          <cell r="C247">
            <v>32.385423514553807</v>
          </cell>
          <cell r="D247">
            <v>68.819999999999993</v>
          </cell>
          <cell r="E247">
            <v>41.276253901668397</v>
          </cell>
        </row>
        <row r="248">
          <cell r="B248">
            <v>83.2</v>
          </cell>
          <cell r="C248">
            <v>31.059704423314766</v>
          </cell>
          <cell r="D248">
            <v>71.040000000000006</v>
          </cell>
          <cell r="E248">
            <v>40.422590691143704</v>
          </cell>
        </row>
        <row r="249">
          <cell r="B249">
            <v>85.8</v>
          </cell>
          <cell r="C249">
            <v>29.691899011718924</v>
          </cell>
          <cell r="D249">
            <v>73.260000000000005</v>
          </cell>
          <cell r="E249">
            <v>39.522505832259831</v>
          </cell>
        </row>
        <row r="250">
          <cell r="B250">
            <v>88.4</v>
          </cell>
          <cell r="C250">
            <v>28.282007279766283</v>
          </cell>
          <cell r="D250">
            <v>75.48</v>
          </cell>
          <cell r="E250">
            <v>38.572749751434856</v>
          </cell>
        </row>
        <row r="251">
          <cell r="B251">
            <v>91</v>
          </cell>
          <cell r="C251">
            <v>26.830029227456858</v>
          </cell>
          <cell r="D251">
            <v>77.7</v>
          </cell>
          <cell r="E251">
            <v>37.569555581097248</v>
          </cell>
        </row>
        <row r="252">
          <cell r="B252">
            <v>93.6</v>
          </cell>
          <cell r="C252">
            <v>25.335964854790635</v>
          </cell>
          <cell r="D252">
            <v>79.92</v>
          </cell>
          <cell r="E252">
            <v>36.508518413981477</v>
          </cell>
        </row>
        <row r="253">
          <cell r="B253">
            <v>96.2</v>
          </cell>
          <cell r="C253">
            <v>23.799814161767614</v>
          </cell>
          <cell r="D253">
            <v>82.14</v>
          </cell>
          <cell r="E253">
            <v>35.384435194805995</v>
          </cell>
        </row>
        <row r="254">
          <cell r="B254">
            <v>98.8</v>
          </cell>
          <cell r="C254">
            <v>22.221577148387798</v>
          </cell>
          <cell r="D254">
            <v>84.36</v>
          </cell>
          <cell r="E254">
            <v>34.191088288841541</v>
          </cell>
        </row>
        <row r="255">
          <cell r="B255">
            <v>101.4</v>
          </cell>
          <cell r="C255">
            <v>20.601253814651187</v>
          </cell>
          <cell r="D255">
            <v>86.58</v>
          </cell>
          <cell r="E255">
            <v>32.920946367682397</v>
          </cell>
        </row>
        <row r="256">
          <cell r="B256">
            <v>104</v>
          </cell>
          <cell r="C256">
            <v>18.938844160557778</v>
          </cell>
          <cell r="D256">
            <v>88.8</v>
          </cell>
          <cell r="E256">
            <v>31.56474026759631</v>
          </cell>
        </row>
        <row r="257">
          <cell r="B257">
            <v>106.6</v>
          </cell>
          <cell r="C257">
            <v>17.234348186107589</v>
          </cell>
          <cell r="D257">
            <v>91.02</v>
          </cell>
          <cell r="E257">
            <v>30.110843123804134</v>
          </cell>
        </row>
        <row r="258">
          <cell r="B258">
            <v>109.2</v>
          </cell>
          <cell r="C258">
            <v>15.487765891300592</v>
          </cell>
          <cell r="D258">
            <v>93.24</v>
          </cell>
          <cell r="E258">
            <v>28.54433124353066</v>
          </cell>
        </row>
        <row r="259">
          <cell r="B259">
            <v>111.8</v>
          </cell>
          <cell r="C259">
            <v>13.699097276136801</v>
          </cell>
          <cell r="D259">
            <v>95.46</v>
          </cell>
          <cell r="E259">
            <v>26.845497680299957</v>
          </cell>
        </row>
        <row r="260">
          <cell r="B260">
            <v>114.4</v>
          </cell>
          <cell r="C260">
            <v>11.868342340616213</v>
          </cell>
          <cell r="D260">
            <v>97.68</v>
          </cell>
          <cell r="E260">
            <v>24.987368255062609</v>
          </cell>
        </row>
        <row r="261">
          <cell r="B261">
            <v>117</v>
          </cell>
          <cell r="C261">
            <v>9.9955010847388266</v>
          </cell>
          <cell r="D261">
            <v>99.9</v>
          </cell>
          <cell r="E261">
            <v>22.931252167593545</v>
          </cell>
        </row>
        <row r="262">
          <cell r="B262">
            <v>119.6</v>
          </cell>
          <cell r="C262">
            <v>8.0805735085046635</v>
          </cell>
          <cell r="D262">
            <v>102.12</v>
          </cell>
          <cell r="E262">
            <v>20.618002005091277</v>
          </cell>
        </row>
        <row r="263">
          <cell r="B263">
            <v>122.2</v>
          </cell>
          <cell r="C263">
            <v>6.1235596119136746</v>
          </cell>
          <cell r="D263">
            <v>104.34</v>
          </cell>
          <cell r="E263">
            <v>17.94847108916699</v>
          </cell>
        </row>
        <row r="264">
          <cell r="B264">
            <v>124.8</v>
          </cell>
          <cell r="C264">
            <v>4.1244593949659185</v>
          </cell>
          <cell r="D264">
            <v>106.56</v>
          </cell>
          <cell r="E264">
            <v>14.730212124878257</v>
          </cell>
        </row>
        <row r="265">
          <cell r="B265">
            <v>127.4</v>
          </cell>
          <cell r="C265">
            <v>2.0832728576613486</v>
          </cell>
          <cell r="D265">
            <v>108.78</v>
          </cell>
          <cell r="E265">
            <v>10.468840007263935</v>
          </cell>
        </row>
        <row r="266">
          <cell r="B266">
            <v>130</v>
          </cell>
          <cell r="C266">
            <v>0</v>
          </cell>
          <cell r="D266">
            <v>111</v>
          </cell>
          <cell r="E266">
            <v>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5A52-E2C6-4599-B1CA-F8BA5AF3A934}">
  <dimension ref="A1:AI267"/>
  <sheetViews>
    <sheetView tabSelected="1" zoomScale="85" zoomScaleNormal="85" workbookViewId="0">
      <selection activeCell="E7" sqref="E7"/>
    </sheetView>
  </sheetViews>
  <sheetFormatPr defaultRowHeight="15" x14ac:dyDescent="0.25"/>
  <cols>
    <col min="1" max="1" width="50.85546875" bestFit="1" customWidth="1"/>
    <col min="2" max="2" width="11.28515625" customWidth="1"/>
    <col min="3" max="3" width="25.85546875" bestFit="1" customWidth="1"/>
    <col min="4" max="4" width="7.7109375" customWidth="1"/>
    <col min="6" max="6" width="24.5703125" customWidth="1"/>
    <col min="8" max="8" width="15.28515625" bestFit="1" customWidth="1"/>
    <col min="9" max="9" width="16.85546875" bestFit="1" customWidth="1"/>
  </cols>
  <sheetData>
    <row r="1" spans="1:35" ht="35.25" customHeight="1" thickBot="1" x14ac:dyDescent="0.3">
      <c r="A1" s="1" t="s">
        <v>0</v>
      </c>
      <c r="B1" s="2"/>
      <c r="C1" s="2"/>
      <c r="D1" s="2"/>
      <c r="F1" s="138" t="s">
        <v>229</v>
      </c>
      <c r="H1" t="s">
        <v>1</v>
      </c>
      <c r="AA1" s="3" t="s">
        <v>2</v>
      </c>
      <c r="AB1" s="3" t="s">
        <v>3</v>
      </c>
      <c r="AE1" s="4" t="s">
        <v>4</v>
      </c>
      <c r="AF1" s="4" t="s">
        <v>5</v>
      </c>
      <c r="AH1" s="5" t="s">
        <v>6</v>
      </c>
      <c r="AI1" s="5"/>
    </row>
    <row r="2" spans="1:35" ht="18.75" thickBot="1" x14ac:dyDescent="0.4">
      <c r="F2" s="135" t="s">
        <v>230</v>
      </c>
      <c r="H2" t="s">
        <v>7</v>
      </c>
      <c r="AA2" t="s">
        <v>8</v>
      </c>
      <c r="AB2" t="s">
        <v>9</v>
      </c>
      <c r="AE2" s="6">
        <v>0.5</v>
      </c>
      <c r="AF2" s="6">
        <v>1</v>
      </c>
      <c r="AH2" s="4" t="s">
        <v>10</v>
      </c>
      <c r="AI2" s="4" t="s">
        <v>11</v>
      </c>
    </row>
    <row r="3" spans="1:35" ht="15.75" thickBot="1" x14ac:dyDescent="0.3">
      <c r="A3" s="7" t="s">
        <v>12</v>
      </c>
      <c r="B3" s="8"/>
      <c r="C3" s="8"/>
      <c r="D3" s="9"/>
      <c r="F3" s="136" t="s">
        <v>233</v>
      </c>
      <c r="H3" t="s">
        <v>13</v>
      </c>
      <c r="AA3" t="s">
        <v>14</v>
      </c>
      <c r="AB3" t="s">
        <v>15</v>
      </c>
      <c r="AE3" s="6">
        <v>0.9</v>
      </c>
      <c r="AF3" s="6">
        <v>0.89700000000000002</v>
      </c>
      <c r="AH3" s="6">
        <v>70</v>
      </c>
      <c r="AI3" s="6">
        <v>1</v>
      </c>
    </row>
    <row r="4" spans="1:35" ht="15.75" thickBot="1" x14ac:dyDescent="0.3">
      <c r="A4" s="10" t="s">
        <v>16</v>
      </c>
      <c r="B4" s="11" t="s">
        <v>17</v>
      </c>
      <c r="C4" s="11" t="s">
        <v>18</v>
      </c>
      <c r="D4" s="12" t="s">
        <v>19</v>
      </c>
      <c r="F4" s="137" t="s">
        <v>234</v>
      </c>
      <c r="AA4" t="s">
        <v>20</v>
      </c>
      <c r="AB4" t="s">
        <v>21</v>
      </c>
      <c r="AE4" s="6">
        <v>0.95</v>
      </c>
      <c r="AF4" s="6">
        <v>0.86799999999999999</v>
      </c>
      <c r="AH4" s="6">
        <v>100</v>
      </c>
      <c r="AI4" s="6">
        <v>1.008</v>
      </c>
    </row>
    <row r="5" spans="1:35" ht="18" x14ac:dyDescent="0.35">
      <c r="A5" s="13" t="s">
        <v>22</v>
      </c>
      <c r="B5" s="14" t="s">
        <v>23</v>
      </c>
      <c r="C5" s="15">
        <v>300</v>
      </c>
      <c r="D5" s="16" t="s">
        <v>24</v>
      </c>
      <c r="F5" s="134" t="s">
        <v>231</v>
      </c>
      <c r="AA5" t="s">
        <v>25</v>
      </c>
      <c r="AB5" t="s">
        <v>26</v>
      </c>
      <c r="AE5" s="6">
        <v>0.999</v>
      </c>
      <c r="AF5" s="6">
        <v>0.753</v>
      </c>
      <c r="AH5" s="6">
        <v>300</v>
      </c>
      <c r="AI5" s="6">
        <v>1.024</v>
      </c>
    </row>
    <row r="6" spans="1:35" ht="18.75" thickBot="1" x14ac:dyDescent="0.4">
      <c r="A6" s="17" t="s">
        <v>27</v>
      </c>
      <c r="B6" s="6" t="s">
        <v>28</v>
      </c>
      <c r="C6" s="18">
        <v>105</v>
      </c>
      <c r="D6" s="19" t="s">
        <v>29</v>
      </c>
      <c r="F6" s="139" t="s">
        <v>232</v>
      </c>
      <c r="AE6" s="6">
        <v>0.99</v>
      </c>
      <c r="AF6" s="6">
        <v>0.81399999999999995</v>
      </c>
      <c r="AH6" s="6">
        <v>200</v>
      </c>
      <c r="AI6" s="6">
        <v>1.02</v>
      </c>
    </row>
    <row r="7" spans="1:35" ht="18" x14ac:dyDescent="0.35">
      <c r="A7" s="17" t="s">
        <v>30</v>
      </c>
      <c r="B7" s="6" t="s">
        <v>31</v>
      </c>
      <c r="C7" s="18">
        <v>82</v>
      </c>
      <c r="D7" s="19" t="s">
        <v>29</v>
      </c>
      <c r="AE7" s="6">
        <v>0.99990000000000001</v>
      </c>
      <c r="AF7" s="6">
        <v>0.70199999999999996</v>
      </c>
      <c r="AH7" s="6">
        <v>400</v>
      </c>
      <c r="AI7" s="6">
        <v>1.018</v>
      </c>
    </row>
    <row r="8" spans="1:35" ht="18" x14ac:dyDescent="0.35">
      <c r="A8" s="17" t="s">
        <v>32</v>
      </c>
      <c r="B8" s="6" t="s">
        <v>33</v>
      </c>
      <c r="C8" s="18">
        <v>150</v>
      </c>
      <c r="D8" s="19" t="s">
        <v>29</v>
      </c>
      <c r="AE8" s="6">
        <v>0.99999000000000005</v>
      </c>
      <c r="AF8" s="6">
        <v>0.65900000000000003</v>
      </c>
      <c r="AH8" s="6">
        <v>500</v>
      </c>
      <c r="AI8" s="6">
        <v>0.995</v>
      </c>
    </row>
    <row r="9" spans="1:35" ht="18" x14ac:dyDescent="0.35">
      <c r="A9" s="17" t="s">
        <v>34</v>
      </c>
      <c r="B9" s="6" t="s">
        <v>35</v>
      </c>
      <c r="C9" s="6">
        <f>0.67*C6</f>
        <v>70.350000000000009</v>
      </c>
      <c r="D9" s="19" t="s">
        <v>29</v>
      </c>
      <c r="AE9" s="6">
        <v>0.99999899999999997</v>
      </c>
      <c r="AF9" s="6">
        <v>0.62</v>
      </c>
      <c r="AH9" s="6">
        <v>600</v>
      </c>
      <c r="AI9" s="6">
        <v>0.96299999999999997</v>
      </c>
    </row>
    <row r="10" spans="1:35" ht="18" x14ac:dyDescent="0.35">
      <c r="A10" s="17" t="s">
        <v>36</v>
      </c>
      <c r="B10" s="6" t="s">
        <v>37</v>
      </c>
      <c r="C10" s="6">
        <f>C7*0.6</f>
        <v>49.199999999999996</v>
      </c>
      <c r="D10" s="19" t="s">
        <v>29</v>
      </c>
      <c r="AH10" s="6">
        <v>700</v>
      </c>
      <c r="AI10" s="6">
        <v>0.92700000000000005</v>
      </c>
    </row>
    <row r="11" spans="1:35" ht="18" x14ac:dyDescent="0.35">
      <c r="A11" s="17" t="s">
        <v>38</v>
      </c>
      <c r="B11" s="6" t="s">
        <v>39</v>
      </c>
      <c r="C11" s="6">
        <f>IF(C6&lt;=200,0.5*C6,100)</f>
        <v>52.5</v>
      </c>
      <c r="D11" s="19" t="s">
        <v>29</v>
      </c>
      <c r="AH11" s="6">
        <v>800</v>
      </c>
      <c r="AI11" s="6">
        <v>0.872</v>
      </c>
    </row>
    <row r="12" spans="1:35" ht="18.75" thickBot="1" x14ac:dyDescent="0.4">
      <c r="A12" s="20" t="s">
        <v>40</v>
      </c>
      <c r="B12" s="21" t="s">
        <v>41</v>
      </c>
      <c r="C12" s="22">
        <f>IF(C5&lt;=500,C6+50,"Eq 6-11 not valid for steels this hard")</f>
        <v>155</v>
      </c>
      <c r="D12" s="47" t="s">
        <v>29</v>
      </c>
      <c r="AH12" s="6">
        <v>900</v>
      </c>
      <c r="AI12" s="6">
        <v>0.79700000000000004</v>
      </c>
    </row>
    <row r="13" spans="1:35" ht="15.75" thickBot="1" x14ac:dyDescent="0.3">
      <c r="AH13" s="6">
        <v>1000</v>
      </c>
      <c r="AI13" s="6">
        <v>0.69799999999999995</v>
      </c>
    </row>
    <row r="14" spans="1:35" ht="15.75" thickBot="1" x14ac:dyDescent="0.3">
      <c r="A14" s="7" t="s">
        <v>42</v>
      </c>
      <c r="B14" s="8"/>
      <c r="C14" s="8"/>
      <c r="D14" s="9"/>
      <c r="AH14" s="6">
        <v>1100</v>
      </c>
      <c r="AI14" s="6">
        <v>0.56699999999999995</v>
      </c>
    </row>
    <row r="15" spans="1:35" ht="18" x14ac:dyDescent="0.35">
      <c r="A15" s="30" t="s">
        <v>43</v>
      </c>
      <c r="B15" s="127" t="s">
        <v>44</v>
      </c>
      <c r="C15" s="128" t="s">
        <v>14</v>
      </c>
      <c r="D15" s="16" t="s">
        <v>24</v>
      </c>
      <c r="AH15" s="6" t="s">
        <v>45</v>
      </c>
      <c r="AI15" s="6">
        <f>INDEX(AH3:AH15,MATCH(C25,AH3:AH15,1))</f>
        <v>70</v>
      </c>
    </row>
    <row r="16" spans="1:35" ht="18" x14ac:dyDescent="0.35">
      <c r="A16" s="24" t="s">
        <v>46</v>
      </c>
      <c r="B16" s="25" t="s">
        <v>47</v>
      </c>
      <c r="C16" s="26">
        <v>1.1000000000000001</v>
      </c>
      <c r="D16" s="27" t="s">
        <v>48</v>
      </c>
      <c r="AH16" s="6" t="s">
        <v>49</v>
      </c>
      <c r="AI16" s="6" cm="1">
        <f t="array" ref="AI16">INDEX(AH3:AH14,MATCH(C25,AH3:AH14,1)+1)</f>
        <v>100</v>
      </c>
    </row>
    <row r="17" spans="1:35" x14ac:dyDescent="0.25">
      <c r="A17" s="17" t="s">
        <v>50</v>
      </c>
      <c r="B17" s="6" t="s">
        <v>51</v>
      </c>
      <c r="C17" s="18">
        <v>0</v>
      </c>
      <c r="D17" s="27" t="s">
        <v>48</v>
      </c>
      <c r="AH17" s="6" t="s">
        <v>52</v>
      </c>
      <c r="AI17" s="6">
        <f>INDEX(AI3:AI14,MATCH(C25,AH3:AH14,1))</f>
        <v>1</v>
      </c>
    </row>
    <row r="18" spans="1:35" x14ac:dyDescent="0.25">
      <c r="A18" s="17" t="s">
        <v>53</v>
      </c>
      <c r="B18" s="126" t="s">
        <v>54</v>
      </c>
      <c r="C18" s="28">
        <f>C16/2</f>
        <v>0.55000000000000004</v>
      </c>
      <c r="D18" s="27" t="s">
        <v>48</v>
      </c>
      <c r="E18" t="s">
        <v>225</v>
      </c>
      <c r="AH18" s="6"/>
      <c r="AI18" s="6"/>
    </row>
    <row r="19" spans="1:35" x14ac:dyDescent="0.25">
      <c r="A19" s="17" t="s">
        <v>55</v>
      </c>
      <c r="B19" s="6" t="s">
        <v>56</v>
      </c>
      <c r="C19" s="29">
        <f>PI()/4*(C16^2-C17^2)</f>
        <v>0.9503317777109126</v>
      </c>
      <c r="D19" s="27" t="s">
        <v>57</v>
      </c>
      <c r="AH19" s="6" t="s">
        <v>58</v>
      </c>
      <c r="AI19" s="6" cm="1">
        <f t="array" ref="AI19">INDEX(AI3:AI14,MATCH(C25,AH3:AH14,1)+1)</f>
        <v>1.008</v>
      </c>
    </row>
    <row r="20" spans="1:35" x14ac:dyDescent="0.25">
      <c r="A20" s="17" t="s">
        <v>59</v>
      </c>
      <c r="B20" s="6" t="s">
        <v>60</v>
      </c>
      <c r="C20" s="29">
        <f>(PI()/(2*2^4))*(C16^4-C17^4)</f>
        <v>0.14373768137877554</v>
      </c>
      <c r="D20" s="27" t="s">
        <v>61</v>
      </c>
    </row>
    <row r="21" spans="1:35" ht="15.75" thickBot="1" x14ac:dyDescent="0.3">
      <c r="A21" s="20" t="s">
        <v>62</v>
      </c>
      <c r="B21" s="22" t="s">
        <v>63</v>
      </c>
      <c r="C21" s="129">
        <f>(PI()/64)*(C16^4-C17^4)</f>
        <v>7.1868840689387772E-2</v>
      </c>
      <c r="D21" s="130" t="s">
        <v>61</v>
      </c>
    </row>
    <row r="22" spans="1:35" ht="15.75" thickBot="1" x14ac:dyDescent="0.3"/>
    <row r="23" spans="1:35" ht="15.75" thickBot="1" x14ac:dyDescent="0.3">
      <c r="A23" s="7" t="s">
        <v>64</v>
      </c>
      <c r="B23" s="8"/>
      <c r="C23" s="8"/>
      <c r="D23" s="9"/>
    </row>
    <row r="24" spans="1:35" x14ac:dyDescent="0.25">
      <c r="A24" s="30" t="s">
        <v>65</v>
      </c>
      <c r="B24" s="31" t="s">
        <v>66</v>
      </c>
      <c r="C24" s="32" t="s">
        <v>26</v>
      </c>
      <c r="D24" s="16"/>
    </row>
    <row r="25" spans="1:35" ht="18" x14ac:dyDescent="0.35">
      <c r="A25" s="24" t="s">
        <v>67</v>
      </c>
      <c r="B25" s="33" t="s">
        <v>68</v>
      </c>
      <c r="C25" s="18">
        <v>70</v>
      </c>
      <c r="D25" s="34" t="s">
        <v>69</v>
      </c>
    </row>
    <row r="26" spans="1:35" ht="15.75" thickBot="1" x14ac:dyDescent="0.3">
      <c r="A26" s="35" t="s">
        <v>4</v>
      </c>
      <c r="B26" s="36" t="s">
        <v>70</v>
      </c>
      <c r="C26" s="37">
        <v>0.99</v>
      </c>
      <c r="D26" s="38" t="s">
        <v>24</v>
      </c>
    </row>
    <row r="27" spans="1:35" ht="15.75" thickBot="1" x14ac:dyDescent="0.3">
      <c r="A27" s="39"/>
      <c r="B27" s="39"/>
      <c r="C27" s="39"/>
      <c r="D27" s="39"/>
    </row>
    <row r="28" spans="1:35" ht="15.75" thickBot="1" x14ac:dyDescent="0.3">
      <c r="A28" s="7" t="s">
        <v>71</v>
      </c>
      <c r="B28" s="8"/>
      <c r="C28" s="8"/>
      <c r="D28" s="9"/>
    </row>
    <row r="29" spans="1:35" ht="18" x14ac:dyDescent="0.35">
      <c r="A29" s="30" t="s">
        <v>72</v>
      </c>
      <c r="B29" s="14" t="s">
        <v>73</v>
      </c>
      <c r="C29" s="40">
        <f>IF(C25&lt;=AH3,AI3,AI17+(C25-AI15)*(AI19-AI17)/(AI16-AI15))</f>
        <v>1</v>
      </c>
      <c r="D29" s="41" t="s">
        <v>24</v>
      </c>
    </row>
    <row r="30" spans="1:35" ht="18.75" thickBot="1" x14ac:dyDescent="0.4">
      <c r="A30" s="35" t="s">
        <v>74</v>
      </c>
      <c r="B30" s="22" t="s">
        <v>75</v>
      </c>
      <c r="C30" s="42">
        <f>C29*C6</f>
        <v>105</v>
      </c>
      <c r="D30" s="38" t="str">
        <f>D6</f>
        <v>ksi</v>
      </c>
    </row>
    <row r="31" spans="1:35" ht="18" x14ac:dyDescent="0.35">
      <c r="A31" s="43" t="s">
        <v>76</v>
      </c>
      <c r="B31" s="44" t="s">
        <v>77</v>
      </c>
      <c r="C31" s="45">
        <f>IF(C15="Ground",1.34*C30^-0.085,IF(C15="Machined/Cold-Drawn",2.7*C30^-0.265,IF(C15="Hot-Rolled",14.4*C30^-0.718,IF(C15="As-Forged",39.9*C30^-0.995))))</f>
        <v>0.78659032425256414</v>
      </c>
      <c r="D31" s="23" t="s">
        <v>24</v>
      </c>
    </row>
    <row r="32" spans="1:35" ht="18" x14ac:dyDescent="0.35">
      <c r="A32" s="17" t="s">
        <v>78</v>
      </c>
      <c r="B32" s="6" t="s">
        <v>79</v>
      </c>
      <c r="C32" s="29">
        <f>IF(C24="Pure Axial",1,IF(AND(C16&gt;=0.11,C16&lt;=2),(C16/0.3)^(-0.107),IF(C16&lt;=10,0.91*C16^(-0.157),"Error…")))</f>
        <v>0.87020777039301989</v>
      </c>
      <c r="D32" s="19" t="s">
        <v>24</v>
      </c>
    </row>
    <row r="33" spans="1:4" ht="18" x14ac:dyDescent="0.35">
      <c r="A33" s="17" t="s">
        <v>80</v>
      </c>
      <c r="B33" s="6" t="s">
        <v>81</v>
      </c>
      <c r="C33" s="6">
        <f>IF(OR(C24="Bending",C24="Combined Bending/Torsion"),1,IF(C24="Pure Axial",0.85,IF(C24="Torsion",0.59,"Error…")))</f>
        <v>1</v>
      </c>
      <c r="D33" s="19" t="s">
        <v>24</v>
      </c>
    </row>
    <row r="34" spans="1:4" ht="18" x14ac:dyDescent="0.35">
      <c r="A34" s="17" t="s">
        <v>82</v>
      </c>
      <c r="B34" s="6" t="s">
        <v>83</v>
      </c>
      <c r="C34" s="29">
        <f>IF(C25&lt;=70,1,IF(C25&gt;AH14,AI14,0.975+0.432*10^(-3)*C25-0.115*10^(-5)*C25^2+0.104*10^(-8)*C25^3-0.595*10^(-12)*C25^4))</f>
        <v>1</v>
      </c>
      <c r="D34" s="19" t="s">
        <v>24</v>
      </c>
    </row>
    <row r="35" spans="1:4" ht="18" x14ac:dyDescent="0.35">
      <c r="A35" s="17" t="s">
        <v>84</v>
      </c>
      <c r="B35" s="6" t="s">
        <v>85</v>
      </c>
      <c r="C35" s="6">
        <f>IF($C$26&lt;AE2,"No known K_e factor for this low of reliability, try slightly above 1?",IF($C$26&gt;=1,0.62,IF(AND($C$26&lt;AE3,$C$26&gt;=AE2),AF2+($C$26-AE2)*(AF3-AF2)/(AE3-AE2),IF(AND($C$26&lt;AE4,$C$26&gt;=AE3),AF3+($C$26-AE3)*(AF4-AF3)/(AE4-AE3),IF(AND($C$26&lt;AE6,$C$26&gt;=AE4),AF4+($C$26-AE4)*(AF6-AF4)/(AE6-AE4),IF(AND($C$26&lt;AE5,$C$26&gt;=AE6),AF6+($C$26-AE6)*(AF5-AF6)/(AE5-AE6),IF(AND($C$26&lt;AE7,$C$26&gt;=AE5),AF5+($C$26-AE5)*(AF7-AF5)/(AE7-AE5),IF(AND($C$26&lt;AE8,$C$26&gt;=AE7),AF7+($C$26-AE7)*(AF8-AF7)/(AE8-AE7),IF($C$26&gt;=AE8,AF8+($C$26-AE8)*(AF9-AF8)/(AE9-AE8))))))))))</f>
        <v>0.81399999999999995</v>
      </c>
      <c r="D35" s="19" t="s">
        <v>24</v>
      </c>
    </row>
    <row r="36" spans="1:4" ht="18" x14ac:dyDescent="0.35">
      <c r="A36" s="17" t="s">
        <v>86</v>
      </c>
      <c r="B36" s="6" t="s">
        <v>87</v>
      </c>
      <c r="C36" s="18">
        <v>1</v>
      </c>
      <c r="D36" s="19" t="s">
        <v>24</v>
      </c>
    </row>
    <row r="37" spans="1:4" ht="18.75" thickBot="1" x14ac:dyDescent="0.4">
      <c r="A37" s="20" t="s">
        <v>88</v>
      </c>
      <c r="B37" s="22" t="s">
        <v>89</v>
      </c>
      <c r="C37" s="46">
        <f>PRODUCT(C31:C36)</f>
        <v>0.55718056799636473</v>
      </c>
      <c r="D37" s="47" t="s">
        <v>24</v>
      </c>
    </row>
    <row r="38" spans="1:4" ht="18.75" thickBot="1" x14ac:dyDescent="0.4">
      <c r="A38" s="48" t="s">
        <v>90</v>
      </c>
      <c r="B38" s="49" t="s">
        <v>91</v>
      </c>
      <c r="C38" s="50">
        <f>C11*C37</f>
        <v>29.251979819809147</v>
      </c>
      <c r="D38" s="51" t="str">
        <f>D11</f>
        <v>ksi</v>
      </c>
    </row>
    <row r="39" spans="1:4" ht="15.75" thickBot="1" x14ac:dyDescent="0.3">
      <c r="A39" s="39"/>
      <c r="B39" s="39"/>
      <c r="C39" s="39"/>
      <c r="D39" s="39"/>
    </row>
    <row r="40" spans="1:4" x14ac:dyDescent="0.25">
      <c r="A40" s="52" t="s">
        <v>92</v>
      </c>
      <c r="B40" s="53"/>
      <c r="C40" s="53"/>
      <c r="D40" s="54"/>
    </row>
    <row r="41" spans="1:4" ht="18" x14ac:dyDescent="0.35">
      <c r="A41" s="17" t="s">
        <v>93</v>
      </c>
      <c r="B41" s="6" t="s">
        <v>94</v>
      </c>
      <c r="C41" s="18">
        <v>0.11</v>
      </c>
      <c r="D41" s="19" t="s">
        <v>48</v>
      </c>
    </row>
    <row r="42" spans="1:4" ht="18" x14ac:dyDescent="0.35">
      <c r="A42" s="17" t="s">
        <v>95</v>
      </c>
      <c r="B42" s="6" t="s">
        <v>96</v>
      </c>
      <c r="C42" s="18">
        <v>1.6817238047189074</v>
      </c>
      <c r="D42" s="19"/>
    </row>
    <row r="43" spans="1:4" ht="18" x14ac:dyDescent="0.35">
      <c r="A43" s="17" t="s">
        <v>97</v>
      </c>
      <c r="B43" s="6" t="s">
        <v>98</v>
      </c>
      <c r="C43" s="18">
        <v>1.4195087586414625</v>
      </c>
      <c r="D43" s="19"/>
    </row>
    <row r="44" spans="1:4" x14ac:dyDescent="0.25">
      <c r="A44" s="17" t="s">
        <v>99</v>
      </c>
      <c r="B44" s="6" t="s">
        <v>100</v>
      </c>
      <c r="C44" s="6">
        <f>IF(C24="Torsion",0.19-2.51*10^-3*C6+1.35*10^-5*C6^2-2.67*10^-8*C6^3,0.246-3.08*10^-3*C6+1.51*10^-5*C6^2-2.67*10^-8*C6^3)</f>
        <v>5.8168912499999975E-2</v>
      </c>
      <c r="D44" s="19" t="s">
        <v>101</v>
      </c>
    </row>
    <row r="45" spans="1:4" x14ac:dyDescent="0.25">
      <c r="A45" s="17" t="s">
        <v>102</v>
      </c>
      <c r="B45" s="6" t="s">
        <v>103</v>
      </c>
      <c r="C45" s="6">
        <f>IF(OR(C24="Torsion",C24="Combined Bending/Torsion"),0.19-2.51*10^-3*C6+1.35*10^-5*C6^2-2.67*10^-8*C6^3,0.246-3.08*10^-3*C6+1.51*10^-5*C6^2-2.67*10^-8*C6^3)</f>
        <v>4.4378912500000062E-2</v>
      </c>
      <c r="D45" s="19" t="s">
        <v>101</v>
      </c>
    </row>
    <row r="46" spans="1:4" x14ac:dyDescent="0.25">
      <c r="A46" s="17" t="s">
        <v>104</v>
      </c>
      <c r="B46" s="6" t="s">
        <v>105</v>
      </c>
      <c r="C46" s="55">
        <f>1/(1+C44/SQRT(C41))</f>
        <v>0.85078443203131093</v>
      </c>
      <c r="D46" s="19"/>
    </row>
    <row r="47" spans="1:4" x14ac:dyDescent="0.25">
      <c r="A47" s="17" t="s">
        <v>106</v>
      </c>
      <c r="B47" s="6" t="s">
        <v>105</v>
      </c>
      <c r="C47" s="55">
        <f>(C49-1)/(C42-1)</f>
        <v>0.85078443203131116</v>
      </c>
      <c r="D47" s="19" t="s">
        <v>24</v>
      </c>
    </row>
    <row r="48" spans="1:4" ht="15.75" thickBot="1" x14ac:dyDescent="0.3">
      <c r="A48" s="56" t="s">
        <v>107</v>
      </c>
      <c r="B48" s="57" t="s">
        <v>108</v>
      </c>
      <c r="C48" s="58">
        <f>1/(1+C45/SQRT(C41))</f>
        <v>0.88198396905515719</v>
      </c>
      <c r="D48" s="59" t="s">
        <v>24</v>
      </c>
    </row>
    <row r="49" spans="1:6" ht="18" x14ac:dyDescent="0.35">
      <c r="A49" s="13" t="s">
        <v>109</v>
      </c>
      <c r="B49" s="14" t="s">
        <v>110</v>
      </c>
      <c r="C49" s="60">
        <f>1+C46*(C42-1)</f>
        <v>1.58</v>
      </c>
      <c r="D49" s="16" t="s">
        <v>24</v>
      </c>
      <c r="E49" t="s">
        <v>111</v>
      </c>
    </row>
    <row r="50" spans="1:6" ht="18.75" thickBot="1" x14ac:dyDescent="0.4">
      <c r="A50" s="20" t="s">
        <v>112</v>
      </c>
      <c r="B50" s="22" t="s">
        <v>113</v>
      </c>
      <c r="C50" s="61">
        <f>1+C48*(C43-1)</f>
        <v>1.3699999999999992</v>
      </c>
      <c r="D50" s="47" t="s">
        <v>24</v>
      </c>
    </row>
    <row r="51" spans="1:6" ht="15.75" thickBot="1" x14ac:dyDescent="0.3">
      <c r="A51" s="39"/>
      <c r="B51" s="39"/>
      <c r="C51" s="39"/>
      <c r="D51" s="39"/>
    </row>
    <row r="52" spans="1:6" ht="15.75" thickBot="1" x14ac:dyDescent="0.3">
      <c r="A52" s="62" t="s">
        <v>114</v>
      </c>
      <c r="B52" s="63"/>
      <c r="C52" s="63"/>
      <c r="D52" s="64"/>
    </row>
    <row r="53" spans="1:6" x14ac:dyDescent="0.25">
      <c r="A53" s="13" t="s">
        <v>115</v>
      </c>
      <c r="B53" s="14"/>
      <c r="C53" s="65">
        <v>1725</v>
      </c>
      <c r="D53" s="66" t="s">
        <v>116</v>
      </c>
      <c r="E53" s="13">
        <f>C53*(2*PI()/60)</f>
        <v>180.64157758141309</v>
      </c>
      <c r="F53" s="66" t="s">
        <v>117</v>
      </c>
    </row>
    <row r="54" spans="1:6" x14ac:dyDescent="0.25">
      <c r="A54" s="17" t="s">
        <v>118</v>
      </c>
      <c r="B54" s="6"/>
      <c r="C54" s="28">
        <f>CONVERT(E54,"W","HP")</f>
        <v>10.05766567196271</v>
      </c>
      <c r="D54" s="67" t="s">
        <v>119</v>
      </c>
      <c r="E54" s="17">
        <v>7500</v>
      </c>
      <c r="F54" s="67" t="s">
        <v>120</v>
      </c>
    </row>
    <row r="55" spans="1:6" ht="15.75" thickBot="1" x14ac:dyDescent="0.3">
      <c r="A55" s="56" t="s">
        <v>121</v>
      </c>
      <c r="B55" s="57"/>
      <c r="C55" s="68">
        <f>CONVERT(E55,"N","lbf")*CONVERT(1,"m","in")</f>
        <v>367.47128941030707</v>
      </c>
      <c r="D55" s="69" t="s">
        <v>122</v>
      </c>
      <c r="E55" s="20">
        <f>E54/E53</f>
        <v>41.518680806581401</v>
      </c>
      <c r="F55" s="70" t="s">
        <v>123</v>
      </c>
    </row>
    <row r="56" spans="1:6" ht="18" x14ac:dyDescent="0.35">
      <c r="A56" s="13" t="s">
        <v>124</v>
      </c>
      <c r="B56" s="14" t="s">
        <v>125</v>
      </c>
      <c r="C56" s="15">
        <v>1350</v>
      </c>
      <c r="D56" s="66" t="s">
        <v>122</v>
      </c>
    </row>
    <row r="57" spans="1:6" ht="18" x14ac:dyDescent="0.35">
      <c r="A57" s="17" t="s">
        <v>126</v>
      </c>
      <c r="B57" s="6" t="s">
        <v>127</v>
      </c>
      <c r="C57" s="18">
        <v>350</v>
      </c>
      <c r="D57" s="67" t="s">
        <v>122</v>
      </c>
    </row>
    <row r="58" spans="1:6" ht="18" x14ac:dyDescent="0.35">
      <c r="A58" s="17" t="s">
        <v>128</v>
      </c>
      <c r="B58" s="6" t="s">
        <v>129</v>
      </c>
      <c r="C58" s="18">
        <v>900</v>
      </c>
      <c r="D58" s="67" t="s">
        <v>122</v>
      </c>
    </row>
    <row r="59" spans="1:6" ht="18.75" thickBot="1" x14ac:dyDescent="0.4">
      <c r="A59" s="20" t="s">
        <v>130</v>
      </c>
      <c r="B59" s="22" t="s">
        <v>131</v>
      </c>
      <c r="C59" s="71">
        <v>1950</v>
      </c>
      <c r="D59" s="70" t="s">
        <v>122</v>
      </c>
    </row>
    <row r="60" spans="1:6" ht="15.75" thickBot="1" x14ac:dyDescent="0.3">
      <c r="A60" s="39"/>
      <c r="B60" s="39"/>
      <c r="C60" s="39"/>
      <c r="D60" s="39"/>
    </row>
    <row r="61" spans="1:6" ht="15.75" thickBot="1" x14ac:dyDescent="0.3">
      <c r="A61" s="72" t="s">
        <v>132</v>
      </c>
      <c r="B61" s="73"/>
      <c r="C61" s="73"/>
      <c r="D61" s="74"/>
    </row>
    <row r="62" spans="1:6" ht="18" x14ac:dyDescent="0.35">
      <c r="A62" s="13" t="s">
        <v>133</v>
      </c>
      <c r="B62" s="75" t="s">
        <v>134</v>
      </c>
      <c r="C62" s="14">
        <f>C49*C58*(C16/2)/C21</f>
        <v>10882.323862439674</v>
      </c>
      <c r="D62" s="66" t="s">
        <v>135</v>
      </c>
    </row>
    <row r="63" spans="1:6" ht="18" x14ac:dyDescent="0.35">
      <c r="A63" s="17" t="s">
        <v>136</v>
      </c>
      <c r="B63" s="76" t="s">
        <v>137</v>
      </c>
      <c r="C63" s="77">
        <f>C49*C59*(C16/2)/C21</f>
        <v>23578.368368619296</v>
      </c>
      <c r="D63" s="67" t="s">
        <v>135</v>
      </c>
    </row>
    <row r="64" spans="1:6" ht="18" x14ac:dyDescent="0.35">
      <c r="A64" s="17" t="s">
        <v>138</v>
      </c>
      <c r="B64" s="76" t="s">
        <v>139</v>
      </c>
      <c r="C64" s="77">
        <f>C50*C56*(C16/2)/C20</f>
        <v>7076.9542839599744</v>
      </c>
      <c r="D64" s="67" t="s">
        <v>135</v>
      </c>
    </row>
    <row r="65" spans="1:10" ht="18.75" thickBot="1" x14ac:dyDescent="0.4">
      <c r="A65" s="20" t="s">
        <v>140</v>
      </c>
      <c r="B65" s="21" t="s">
        <v>141</v>
      </c>
      <c r="C65" s="22">
        <f>C50*C57*(C16/2)/C20</f>
        <v>1834.7659254711045</v>
      </c>
      <c r="D65" s="70" t="s">
        <v>135</v>
      </c>
    </row>
    <row r="66" spans="1:10" ht="18" x14ac:dyDescent="0.35">
      <c r="A66" s="13" t="s">
        <v>142</v>
      </c>
      <c r="B66" s="75" t="s">
        <v>134</v>
      </c>
      <c r="C66" s="14">
        <f>32*C49*C58/(PI()*C16^3)</f>
        <v>10882.323862439674</v>
      </c>
      <c r="D66" s="66" t="s">
        <v>135</v>
      </c>
    </row>
    <row r="67" spans="1:10" ht="18" x14ac:dyDescent="0.35">
      <c r="A67" s="17" t="s">
        <v>143</v>
      </c>
      <c r="B67" s="76" t="s">
        <v>137</v>
      </c>
      <c r="C67" s="78">
        <f>32*C49*C59/(PI()*C16^3)</f>
        <v>23578.368368619296</v>
      </c>
      <c r="D67" s="67" t="s">
        <v>135</v>
      </c>
    </row>
    <row r="68" spans="1:10" ht="18" x14ac:dyDescent="0.35">
      <c r="A68" s="17" t="s">
        <v>144</v>
      </c>
      <c r="B68" s="76" t="s">
        <v>139</v>
      </c>
      <c r="C68" s="78">
        <f>16*C50*C56/(PI()*C16^3)</f>
        <v>7076.9542839599744</v>
      </c>
      <c r="D68" s="67" t="s">
        <v>135</v>
      </c>
    </row>
    <row r="69" spans="1:10" ht="18" x14ac:dyDescent="0.35">
      <c r="A69" s="17" t="s">
        <v>145</v>
      </c>
      <c r="B69" s="76" t="s">
        <v>141</v>
      </c>
      <c r="C69" s="6">
        <f>16*C50*C57/(PI()*C16^3)</f>
        <v>1834.7659254711045</v>
      </c>
      <c r="D69" s="67" t="s">
        <v>135</v>
      </c>
    </row>
    <row r="70" spans="1:10" ht="15.75" thickBot="1" x14ac:dyDescent="0.3">
      <c r="A70" s="56" t="s">
        <v>146</v>
      </c>
      <c r="B70" s="131" t="s">
        <v>147</v>
      </c>
      <c r="C70" s="132" t="str">
        <f>IF(AND(C63=C67,C62=C66,C64=C68,C65=C69),"Yes","No - Error")</f>
        <v>Yes</v>
      </c>
      <c r="D70" s="69" t="s">
        <v>24</v>
      </c>
    </row>
    <row r="71" spans="1:10" ht="18" x14ac:dyDescent="0.35">
      <c r="A71" s="13" t="s">
        <v>148</v>
      </c>
      <c r="B71" s="75" t="s">
        <v>149</v>
      </c>
      <c r="C71" s="79">
        <f>SQRT(C63^2+3*C65^2)/1000</f>
        <v>23.791564743205029</v>
      </c>
      <c r="D71" s="66" t="s">
        <v>29</v>
      </c>
      <c r="G71" s="141"/>
      <c r="H71" s="141"/>
      <c r="I71" s="141"/>
      <c r="J71" s="141"/>
    </row>
    <row r="72" spans="1:10" ht="18" x14ac:dyDescent="0.35">
      <c r="A72" s="17" t="s">
        <v>150</v>
      </c>
      <c r="B72" s="76" t="s">
        <v>151</v>
      </c>
      <c r="C72" s="80">
        <f>SQRT(C62^2+3*C64^2)/1000</f>
        <v>16.391303134857896</v>
      </c>
      <c r="D72" s="67" t="s">
        <v>29</v>
      </c>
      <c r="G72" s="140"/>
      <c r="H72" s="142"/>
      <c r="I72" s="140"/>
      <c r="J72" s="140"/>
    </row>
    <row r="73" spans="1:10" ht="18" x14ac:dyDescent="0.35">
      <c r="A73" s="17" t="s">
        <v>152</v>
      </c>
      <c r="B73" s="76" t="s">
        <v>153</v>
      </c>
      <c r="C73" s="80">
        <f>SQRT((C62+C63)^2+3*(C64+C65)^2)/1000</f>
        <v>37.75970842468616</v>
      </c>
      <c r="D73" s="67" t="s">
        <v>29</v>
      </c>
      <c r="G73" s="140"/>
      <c r="H73" s="142"/>
      <c r="I73" s="140"/>
      <c r="J73" s="140"/>
    </row>
    <row r="74" spans="1:10" ht="18.75" thickBot="1" x14ac:dyDescent="0.4">
      <c r="A74" s="133" t="s">
        <v>226</v>
      </c>
      <c r="B74" s="21" t="s">
        <v>227</v>
      </c>
      <c r="C74" s="81">
        <f>C71+C72</f>
        <v>40.182867878062922</v>
      </c>
      <c r="D74" s="70" t="s">
        <v>29</v>
      </c>
      <c r="G74" s="140"/>
      <c r="H74" s="142"/>
      <c r="I74" s="140"/>
      <c r="J74" s="140"/>
    </row>
    <row r="75" spans="1:10" ht="15.75" thickBot="1" x14ac:dyDescent="0.3">
      <c r="A75" s="39"/>
      <c r="B75" s="39"/>
      <c r="C75" s="39"/>
      <c r="D75" s="39"/>
      <c r="G75" s="140"/>
      <c r="H75" s="142"/>
      <c r="I75" s="143"/>
      <c r="J75" s="140"/>
    </row>
    <row r="76" spans="1:10" ht="15.75" thickBot="1" x14ac:dyDescent="0.3">
      <c r="A76" s="62" t="s">
        <v>154</v>
      </c>
      <c r="B76" s="63"/>
      <c r="C76" s="63"/>
      <c r="D76" s="64"/>
      <c r="G76" s="140"/>
      <c r="H76" s="142"/>
      <c r="I76" s="140"/>
      <c r="J76" s="140"/>
    </row>
    <row r="77" spans="1:10" ht="18" x14ac:dyDescent="0.35">
      <c r="A77" s="13" t="s">
        <v>155</v>
      </c>
      <c r="B77" s="14" t="s">
        <v>156</v>
      </c>
      <c r="C77" s="82">
        <f>C7/C73</f>
        <v>2.1716269383688056</v>
      </c>
      <c r="D77" s="66" t="s">
        <v>24</v>
      </c>
      <c r="G77" s="140"/>
      <c r="H77" s="142"/>
      <c r="I77" s="140"/>
      <c r="J77" s="140"/>
    </row>
    <row r="78" spans="1:10" ht="18.75" thickBot="1" x14ac:dyDescent="0.4">
      <c r="A78" s="20" t="s">
        <v>157</v>
      </c>
      <c r="B78" s="22" t="s">
        <v>228</v>
      </c>
      <c r="C78" s="83">
        <f>C7/C74</f>
        <v>2.0406706721091541</v>
      </c>
      <c r="D78" s="70"/>
      <c r="G78" s="140"/>
      <c r="H78" s="140"/>
      <c r="I78" s="140"/>
      <c r="J78" s="140"/>
    </row>
    <row r="79" spans="1:10" x14ac:dyDescent="0.25">
      <c r="A79" s="13" t="s">
        <v>158</v>
      </c>
      <c r="B79" s="14"/>
      <c r="C79" s="84">
        <f>SQRT(4*(C49*C59)^2+3*(C50*C57)^2)</f>
        <v>6217.7170046569345</v>
      </c>
      <c r="D79" s="66" t="s">
        <v>135</v>
      </c>
      <c r="G79" s="145"/>
      <c r="H79" s="145"/>
      <c r="I79" s="145"/>
      <c r="J79" s="145"/>
    </row>
    <row r="80" spans="1:10" ht="15.75" thickBot="1" x14ac:dyDescent="0.3">
      <c r="A80" s="56" t="s">
        <v>159</v>
      </c>
      <c r="B80" s="57"/>
      <c r="C80" s="85">
        <f>SQRT(4*(C49*C58)^2+3*(C50*C56)^2)</f>
        <v>4283.7234679656885</v>
      </c>
      <c r="D80" s="69" t="s">
        <v>135</v>
      </c>
      <c r="G80" s="140"/>
      <c r="H80" s="140"/>
      <c r="I80" s="140"/>
      <c r="J80" s="140"/>
    </row>
    <row r="81" spans="1:10" ht="18" x14ac:dyDescent="0.35">
      <c r="A81" s="13" t="s">
        <v>160</v>
      </c>
      <c r="B81" s="14" t="s">
        <v>161</v>
      </c>
      <c r="C81" s="82">
        <f>( (16/(PI()*C16^3)) * (   (1/C38)*SQRT(4*(C49*C59)^2+3*(C50*C57)^2)  +  (1/C6)*SQRT(4*(C49*C58)^2+3*(C50*C56)^2)   ) / 1000 )^-1</f>
        <v>1.0315239639839311</v>
      </c>
      <c r="D81" s="66" t="s">
        <v>24</v>
      </c>
      <c r="G81" s="140"/>
      <c r="H81" s="140"/>
      <c r="I81" s="140"/>
      <c r="J81" s="140"/>
    </row>
    <row r="82" spans="1:10" ht="18" x14ac:dyDescent="0.35">
      <c r="A82" s="17" t="s">
        <v>162</v>
      </c>
      <c r="B82" s="6" t="s">
        <v>163</v>
      </c>
      <c r="C82" s="86">
        <f>(C71/C38+C72/C7)^-1</f>
        <v>0.98694691817981561</v>
      </c>
      <c r="D82" s="67" t="s">
        <v>24</v>
      </c>
      <c r="G82" s="140"/>
      <c r="H82" s="140"/>
      <c r="I82" s="140"/>
      <c r="J82" s="140"/>
    </row>
    <row r="83" spans="1:10" ht="18" x14ac:dyDescent="0.35">
      <c r="A83" s="17" t="s">
        <v>164</v>
      </c>
      <c r="B83" s="6" t="s">
        <v>165</v>
      </c>
      <c r="C83" s="86">
        <f>1/   ( (16/(PI()*C16^3)) * SQRT(4*(C49*C59/(1000*C38))^2 + 3*(C50*C57/(1000*C38))^2 + 4*(C49*C58/(1000*C7))^2 + 3*(C50*C56/(1000*C7))^2))</f>
        <v>1.1939788538158618</v>
      </c>
      <c r="D83" s="67" t="s">
        <v>24</v>
      </c>
      <c r="G83" s="140"/>
      <c r="H83" s="140"/>
      <c r="I83" s="140"/>
      <c r="J83" s="140"/>
    </row>
    <row r="84" spans="1:10" ht="18" x14ac:dyDescent="0.35">
      <c r="A84" s="17" t="s">
        <v>166</v>
      </c>
      <c r="B84" s="6" t="s">
        <v>167</v>
      </c>
      <c r="C84" s="86">
        <f>(((8*C79)/(PI()*C16^3*(1000*C38))) * (1 + SQRT(1 + ((2*C80*(1000*C38))/(C79*(1000*C6)))^2) ))^-1</f>
        <v>1.1872745340958719</v>
      </c>
      <c r="D84" s="67" t="s">
        <v>24</v>
      </c>
      <c r="G84" s="140"/>
      <c r="H84" s="140"/>
      <c r="I84" s="140"/>
      <c r="J84" s="140"/>
    </row>
    <row r="85" spans="1:10" ht="15.75" thickBot="1" x14ac:dyDescent="0.3">
      <c r="A85" s="20" t="s">
        <v>168</v>
      </c>
      <c r="B85" s="22"/>
      <c r="C85" s="83">
        <f>(PI()*C16^3/16)*(C79/(1000*C38)+C80/(1000*C8))^-1</f>
        <v>1.0838849663848977</v>
      </c>
      <c r="D85" s="70"/>
      <c r="G85" s="140"/>
      <c r="H85" s="140"/>
      <c r="I85" s="140"/>
      <c r="J85" s="140"/>
    </row>
    <row r="86" spans="1:10" ht="15.75" thickBot="1" x14ac:dyDescent="0.3">
      <c r="A86" s="39"/>
      <c r="B86" s="39"/>
      <c r="C86" s="39"/>
      <c r="D86" s="39"/>
    </row>
    <row r="87" spans="1:10" x14ac:dyDescent="0.25">
      <c r="A87" s="62" t="s">
        <v>169</v>
      </c>
      <c r="B87" s="63"/>
      <c r="C87" s="63"/>
      <c r="D87" s="64"/>
    </row>
    <row r="88" spans="1:10" x14ac:dyDescent="0.25">
      <c r="A88" s="17" t="s">
        <v>170</v>
      </c>
      <c r="B88" s="76" t="s">
        <v>171</v>
      </c>
      <c r="C88" s="87">
        <f>13*10^6</f>
        <v>13000000</v>
      </c>
      <c r="D88" s="19" t="s">
        <v>24</v>
      </c>
    </row>
    <row r="89" spans="1:10" ht="18" x14ac:dyDescent="0.35">
      <c r="A89" s="17" t="s">
        <v>172</v>
      </c>
      <c r="B89" s="76" t="s">
        <v>173</v>
      </c>
      <c r="C89" s="88">
        <f>10^6</f>
        <v>1000000</v>
      </c>
      <c r="D89" s="19" t="s">
        <v>24</v>
      </c>
    </row>
    <row r="90" spans="1:10" ht="18" x14ac:dyDescent="0.35">
      <c r="A90" s="17" t="s">
        <v>174</v>
      </c>
      <c r="B90" s="76" t="s">
        <v>175</v>
      </c>
      <c r="C90" s="6">
        <v>1000</v>
      </c>
      <c r="D90" s="19" t="s">
        <v>24</v>
      </c>
    </row>
    <row r="91" spans="1:10" x14ac:dyDescent="0.25">
      <c r="A91" s="17" t="s">
        <v>176</v>
      </c>
      <c r="B91" s="76" t="s">
        <v>177</v>
      </c>
      <c r="C91" s="6">
        <f>-LOG(C12/C11)/LOG(2*C89)</f>
        <v>-7.4618339396555988E-2</v>
      </c>
      <c r="D91" s="19" t="s">
        <v>24</v>
      </c>
    </row>
    <row r="92" spans="1:10" ht="18" x14ac:dyDescent="0.35">
      <c r="A92" s="17" t="s">
        <v>178</v>
      </c>
      <c r="B92" s="6" t="s">
        <v>179</v>
      </c>
      <c r="C92" s="6">
        <f>C12*(2*C88)^C91</f>
        <v>43.354951055632135</v>
      </c>
      <c r="D92" s="19" t="s">
        <v>29</v>
      </c>
    </row>
    <row r="93" spans="1:10" ht="18" x14ac:dyDescent="0.35">
      <c r="A93" s="17" t="s">
        <v>180</v>
      </c>
      <c r="B93" s="6" t="s">
        <v>181</v>
      </c>
      <c r="C93" s="6">
        <f>IF((C12*(2*C90)^C91)&lt;=(C6*0.9),C12*(2*C90)^C91,0.9*C6)</f>
        <v>87.905150456416195</v>
      </c>
      <c r="D93" s="19" t="s">
        <v>29</v>
      </c>
    </row>
    <row r="94" spans="1:10" ht="18" x14ac:dyDescent="0.35">
      <c r="A94" s="17" t="s">
        <v>182</v>
      </c>
      <c r="B94" s="6" t="s">
        <v>183</v>
      </c>
      <c r="C94" s="6">
        <f>C12*(2*C89)^C91</f>
        <v>52.499999999999993</v>
      </c>
      <c r="D94" s="19" t="s">
        <v>29</v>
      </c>
    </row>
    <row r="95" spans="1:10" ht="15.75" thickBot="1" x14ac:dyDescent="0.3">
      <c r="A95" s="20" t="s">
        <v>184</v>
      </c>
      <c r="B95" s="22" t="s">
        <v>185</v>
      </c>
      <c r="C95" s="22">
        <f>IF(C6&lt;70,0.9,C93/C6)</f>
        <v>0.83719190910872565</v>
      </c>
      <c r="D95" s="47" t="s">
        <v>24</v>
      </c>
    </row>
    <row r="96" spans="1:10" ht="15.75" thickBot="1" x14ac:dyDescent="0.3"/>
    <row r="97" spans="1:8" x14ac:dyDescent="0.25">
      <c r="A97" s="89" t="s">
        <v>186</v>
      </c>
      <c r="B97" s="90"/>
      <c r="C97" s="90"/>
      <c r="D97" s="91"/>
    </row>
    <row r="98" spans="1:8" x14ac:dyDescent="0.25">
      <c r="A98" s="17" t="s">
        <v>187</v>
      </c>
      <c r="B98" s="6" t="s">
        <v>171</v>
      </c>
      <c r="C98" s="6" t="e">
        <f>IF(C88&lt;=C90,C88,NA())</f>
        <v>#N/A</v>
      </c>
      <c r="D98" s="67" t="s">
        <v>24</v>
      </c>
    </row>
    <row r="99" spans="1:8" x14ac:dyDescent="0.25">
      <c r="A99" s="17"/>
      <c r="B99" s="6" t="s">
        <v>188</v>
      </c>
      <c r="C99" s="6">
        <f>C6</f>
        <v>105</v>
      </c>
      <c r="D99" s="67" t="str">
        <f>D6</f>
        <v>ksi</v>
      </c>
    </row>
    <row r="100" spans="1:8" x14ac:dyDescent="0.25">
      <c r="A100" s="17"/>
      <c r="B100" s="6" t="s">
        <v>177</v>
      </c>
      <c r="C100" s="6">
        <f>-1/3*LOG(C95*C6/C11)</f>
        <v>-7.4618339396555988E-2</v>
      </c>
      <c r="D100" s="67" t="s">
        <v>24</v>
      </c>
    </row>
    <row r="101" spans="1:8" ht="18.75" thickBot="1" x14ac:dyDescent="0.4">
      <c r="A101" s="20" t="s">
        <v>189</v>
      </c>
      <c r="B101" s="22" t="s">
        <v>190</v>
      </c>
      <c r="C101" s="22" t="e">
        <f>C99*C98^(LOG(C95)/3)</f>
        <v>#N/A</v>
      </c>
      <c r="D101" s="70" t="str">
        <f>D6</f>
        <v>ksi</v>
      </c>
    </row>
    <row r="102" spans="1:8" x14ac:dyDescent="0.25">
      <c r="A102" s="92" t="s">
        <v>191</v>
      </c>
      <c r="B102" s="5"/>
      <c r="C102" s="5"/>
      <c r="D102" s="93"/>
    </row>
    <row r="103" spans="1:8" x14ac:dyDescent="0.25">
      <c r="A103" s="17" t="s">
        <v>187</v>
      </c>
      <c r="B103" s="6" t="s">
        <v>171</v>
      </c>
      <c r="C103" s="6" t="e">
        <f>IF(AND(C88&gt;C90,C88&lt;=C89),C88,NA())</f>
        <v>#N/A</v>
      </c>
      <c r="D103" s="19" t="s">
        <v>24</v>
      </c>
      <c r="H103" s="94"/>
    </row>
    <row r="104" spans="1:8" x14ac:dyDescent="0.25">
      <c r="A104" s="17"/>
      <c r="B104" s="6" t="s">
        <v>188</v>
      </c>
      <c r="C104" s="6">
        <f>(C95*C30)^2/C38</f>
        <v>264.16384546841198</v>
      </c>
      <c r="D104" s="67" t="str">
        <f>D6</f>
        <v>ksi</v>
      </c>
      <c r="H104" s="94"/>
    </row>
    <row r="105" spans="1:8" x14ac:dyDescent="0.25">
      <c r="A105" s="17"/>
      <c r="B105" s="6" t="s">
        <v>177</v>
      </c>
      <c r="C105" s="6">
        <f>-1/3*LOG(C95*C30/C38)</f>
        <v>-0.15928635215064643</v>
      </c>
      <c r="D105" s="67" t="s">
        <v>24</v>
      </c>
    </row>
    <row r="106" spans="1:8" ht="18.75" thickBot="1" x14ac:dyDescent="0.4">
      <c r="A106" s="20" t="s">
        <v>189</v>
      </c>
      <c r="B106" s="22" t="s">
        <v>192</v>
      </c>
      <c r="C106" s="22" t="e">
        <f>C104*C103^C105</f>
        <v>#N/A</v>
      </c>
      <c r="D106" s="70" t="str">
        <f>D6</f>
        <v>ksi</v>
      </c>
    </row>
    <row r="107" spans="1:8" x14ac:dyDescent="0.25">
      <c r="A107" s="89" t="s">
        <v>193</v>
      </c>
      <c r="B107" s="90"/>
      <c r="C107" s="90"/>
      <c r="D107" s="91"/>
    </row>
    <row r="108" spans="1:8" x14ac:dyDescent="0.25">
      <c r="A108" s="17" t="s">
        <v>187</v>
      </c>
      <c r="B108" s="6" t="s">
        <v>171</v>
      </c>
      <c r="C108" s="6">
        <f>IF(AND(ISNA(C101),ISNA(C106)),C88,NA())</f>
        <v>13000000</v>
      </c>
      <c r="D108" s="95" t="s">
        <v>24</v>
      </c>
    </row>
    <row r="109" spans="1:8" ht="18.75" thickBot="1" x14ac:dyDescent="0.4">
      <c r="A109" s="20" t="s">
        <v>189</v>
      </c>
      <c r="B109" s="22" t="s">
        <v>194</v>
      </c>
      <c r="C109" s="96">
        <f>IF(ISNA(C108),NA(),C38)</f>
        <v>29.251979819809147</v>
      </c>
      <c r="D109" s="70" t="str">
        <f>D10</f>
        <v>ksi</v>
      </c>
    </row>
    <row r="110" spans="1:8" ht="15.75" thickBot="1" x14ac:dyDescent="0.3">
      <c r="C110" s="97"/>
    </row>
    <row r="111" spans="1:8" x14ac:dyDescent="0.25">
      <c r="A111" s="89" t="s">
        <v>195</v>
      </c>
      <c r="B111" s="90"/>
      <c r="C111" s="90"/>
      <c r="D111" s="91"/>
    </row>
    <row r="112" spans="1:8" x14ac:dyDescent="0.25">
      <c r="A112" s="17" t="s">
        <v>187</v>
      </c>
      <c r="B112" s="6" t="s">
        <v>196</v>
      </c>
      <c r="C112" s="86">
        <f>C88</f>
        <v>13000000</v>
      </c>
      <c r="D112" s="67" t="s">
        <v>24</v>
      </c>
    </row>
    <row r="113" spans="1:4" ht="18.75" thickBot="1" x14ac:dyDescent="0.4">
      <c r="A113" s="20" t="s">
        <v>197</v>
      </c>
      <c r="B113" s="22" t="s">
        <v>198</v>
      </c>
      <c r="C113" s="83">
        <f>IF(ISNUMBER(C101),C101,IF(ISNUMBER(C106),C106,C109))</f>
        <v>29.251979819809147</v>
      </c>
      <c r="D113" s="70" t="str">
        <f>D101</f>
        <v>ksi</v>
      </c>
    </row>
    <row r="184" spans="1:11" ht="15.75" thickBot="1" x14ac:dyDescent="0.3"/>
    <row r="185" spans="1:11" x14ac:dyDescent="0.25">
      <c r="A185" s="98" t="s">
        <v>201</v>
      </c>
      <c r="B185" s="99"/>
      <c r="C185" s="100"/>
      <c r="D185" s="98" t="s">
        <v>202</v>
      </c>
      <c r="E185" s="101"/>
    </row>
    <row r="186" spans="1:11" x14ac:dyDescent="0.25">
      <c r="A186" s="17" t="s">
        <v>171</v>
      </c>
      <c r="B186" s="6" t="s">
        <v>203</v>
      </c>
      <c r="C186" s="102" t="s">
        <v>204</v>
      </c>
      <c r="D186" s="103" t="s">
        <v>205</v>
      </c>
      <c r="E186" s="104"/>
    </row>
    <row r="187" spans="1:11" ht="15.75" thickBot="1" x14ac:dyDescent="0.3">
      <c r="A187" s="17">
        <v>1</v>
      </c>
      <c r="B187" s="6">
        <f>C6</f>
        <v>105</v>
      </c>
      <c r="C187" s="102">
        <f>B187</f>
        <v>105</v>
      </c>
      <c r="D187" s="105" t="s">
        <v>206</v>
      </c>
      <c r="E187" s="47" t="s">
        <v>207</v>
      </c>
    </row>
    <row r="188" spans="1:11" x14ac:dyDescent="0.25">
      <c r="A188" s="17">
        <f>C90</f>
        <v>1000</v>
      </c>
      <c r="B188" s="6">
        <f>C93</f>
        <v>87.905150456416195</v>
      </c>
      <c r="C188" s="102">
        <f>B188</f>
        <v>87.905150456416195</v>
      </c>
      <c r="D188" s="43">
        <f>C88-0.000001</f>
        <v>12999999.999999</v>
      </c>
      <c r="E188" s="106">
        <v>0</v>
      </c>
    </row>
    <row r="189" spans="1:11" ht="15.75" thickBot="1" x14ac:dyDescent="0.3">
      <c r="A189" s="17">
        <f>C89</f>
        <v>1000000</v>
      </c>
      <c r="B189" s="6">
        <f>C94</f>
        <v>52.499999999999993</v>
      </c>
      <c r="C189" s="102">
        <f>B189*C37</f>
        <v>29.251979819809144</v>
      </c>
      <c r="D189" s="20">
        <f>C88+0.000001</f>
        <v>13000000.000001</v>
      </c>
      <c r="E189" s="70">
        <f>IF(AND(ISNA(C101),ISNA(C106)),C109,IF(ISNA(C101),C106,C101))</f>
        <v>29.251979819809147</v>
      </c>
    </row>
    <row r="190" spans="1:11" ht="15.75" thickBot="1" x14ac:dyDescent="0.3">
      <c r="A190" s="20">
        <f>10^12</f>
        <v>1000000000000</v>
      </c>
      <c r="B190" s="22">
        <f>B189</f>
        <v>52.499999999999993</v>
      </c>
      <c r="C190" s="70">
        <f>C189</f>
        <v>29.251979819809144</v>
      </c>
    </row>
    <row r="191" spans="1:11" ht="15.75" thickBot="1" x14ac:dyDescent="0.3"/>
    <row r="192" spans="1:11" x14ac:dyDescent="0.25">
      <c r="A192" s="13"/>
      <c r="B192" s="14" t="s">
        <v>208</v>
      </c>
      <c r="C192" s="14"/>
      <c r="D192" s="14"/>
      <c r="E192" s="14"/>
      <c r="F192" s="14"/>
      <c r="G192" s="14"/>
      <c r="H192" s="14"/>
      <c r="I192" s="107"/>
      <c r="J192" s="13" t="s">
        <v>209</v>
      </c>
      <c r="K192" s="66"/>
    </row>
    <row r="193" spans="1:11" x14ac:dyDescent="0.25">
      <c r="A193" s="17" t="s">
        <v>210</v>
      </c>
      <c r="B193" s="108" t="s">
        <v>211</v>
      </c>
      <c r="C193" s="108"/>
      <c r="D193" s="108" t="s">
        <v>212</v>
      </c>
      <c r="E193" s="108"/>
      <c r="F193" s="109" t="s">
        <v>213</v>
      </c>
      <c r="G193" s="110"/>
      <c r="H193" s="108" t="s">
        <v>214</v>
      </c>
      <c r="I193" s="109"/>
      <c r="J193" s="17" t="s">
        <v>199</v>
      </c>
      <c r="K193" s="67" t="s">
        <v>200</v>
      </c>
    </row>
    <row r="194" spans="1:11" x14ac:dyDescent="0.25">
      <c r="A194" s="17" t="s">
        <v>215</v>
      </c>
      <c r="B194" s="6" t="s">
        <v>199</v>
      </c>
      <c r="C194" s="6" t="s">
        <v>200</v>
      </c>
      <c r="D194" s="6" t="s">
        <v>199</v>
      </c>
      <c r="E194" s="6" t="s">
        <v>200</v>
      </c>
      <c r="F194" s="6" t="s">
        <v>199</v>
      </c>
      <c r="G194" s="6" t="s">
        <v>200</v>
      </c>
      <c r="H194" s="6" t="s">
        <v>199</v>
      </c>
      <c r="I194" s="102" t="s">
        <v>200</v>
      </c>
      <c r="J194" s="17">
        <f>D195</f>
        <v>0</v>
      </c>
      <c r="K194" s="111">
        <f>E195</f>
        <v>29.251979819809147</v>
      </c>
    </row>
    <row r="195" spans="1:11" x14ac:dyDescent="0.25">
      <c r="A195" s="17">
        <v>1</v>
      </c>
      <c r="B195" s="6">
        <v>0</v>
      </c>
      <c r="C195" s="6">
        <v>0</v>
      </c>
      <c r="D195" s="6">
        <v>0</v>
      </c>
      <c r="E195" s="77">
        <f>C38</f>
        <v>29.251979819809147</v>
      </c>
      <c r="F195" s="6">
        <v>0</v>
      </c>
      <c r="G195" s="6">
        <f>IF(C24="Torsion",C10,C7)</f>
        <v>82</v>
      </c>
      <c r="H195" s="6">
        <v>0</v>
      </c>
      <c r="I195" s="112">
        <f>C38</f>
        <v>29.251979819809147</v>
      </c>
      <c r="J195" s="17">
        <f>(F196-(INTERCEPT(E195:E196,D195:D196)))/((SLOPE(E195:E196,D195:D196))-(-1))</f>
        <v>73.117978605181349</v>
      </c>
      <c r="K195" s="67">
        <f>-J195+F196</f>
        <v>8.8820213948186506</v>
      </c>
    </row>
    <row r="196" spans="1:11" ht="15.75" thickBot="1" x14ac:dyDescent="0.3">
      <c r="A196" s="20">
        <v>2</v>
      </c>
      <c r="B196" s="144">
        <f>C72</f>
        <v>16.391303134857896</v>
      </c>
      <c r="C196" s="144">
        <f>C71</f>
        <v>23.791564743205029</v>
      </c>
      <c r="D196" s="22">
        <f>IF(C24="Torsion",C9,C6)</f>
        <v>105</v>
      </c>
      <c r="E196" s="22">
        <v>0</v>
      </c>
      <c r="F196" s="22">
        <f>IF(C24="Torsion",C10,C7)</f>
        <v>82</v>
      </c>
      <c r="G196" s="22">
        <v>0</v>
      </c>
      <c r="H196" s="22">
        <f>IF(C24="Torsion",C10,C7)</f>
        <v>82</v>
      </c>
      <c r="I196" s="113">
        <v>0</v>
      </c>
      <c r="J196" s="20">
        <f>F196</f>
        <v>82</v>
      </c>
      <c r="K196" s="70">
        <f>G196</f>
        <v>0</v>
      </c>
    </row>
    <row r="197" spans="1:11" ht="15.75" thickBot="1" x14ac:dyDescent="0.3"/>
    <row r="198" spans="1:11" x14ac:dyDescent="0.25">
      <c r="A198" s="13" t="s">
        <v>216</v>
      </c>
      <c r="B198" s="14" t="s">
        <v>215</v>
      </c>
      <c r="C198" s="14" t="s">
        <v>206</v>
      </c>
      <c r="D198" s="66" t="s">
        <v>207</v>
      </c>
      <c r="I198" s="114"/>
    </row>
    <row r="199" spans="1:11" x14ac:dyDescent="0.25">
      <c r="A199" s="103" t="s">
        <v>217</v>
      </c>
      <c r="B199" s="6">
        <v>1</v>
      </c>
      <c r="C199" s="6">
        <v>0</v>
      </c>
      <c r="D199" s="111">
        <f>C38</f>
        <v>29.251979819809147</v>
      </c>
    </row>
    <row r="200" spans="1:11" x14ac:dyDescent="0.25">
      <c r="A200" s="103"/>
      <c r="B200" s="6">
        <v>2</v>
      </c>
      <c r="C200" s="6">
        <f>IF(C24="Torsion",C9,C6)</f>
        <v>105</v>
      </c>
      <c r="D200" s="67">
        <f>IF(C24="Torsion",C9,C6)</f>
        <v>105</v>
      </c>
      <c r="E200" t="s">
        <v>218</v>
      </c>
    </row>
    <row r="201" spans="1:11" x14ac:dyDescent="0.25">
      <c r="A201" s="103"/>
      <c r="B201" s="6">
        <v>3</v>
      </c>
      <c r="C201" s="6">
        <v>0</v>
      </c>
      <c r="D201" s="111">
        <f>-C38</f>
        <v>-29.251979819809147</v>
      </c>
    </row>
    <row r="202" spans="1:11" x14ac:dyDescent="0.25">
      <c r="A202" s="103" t="s">
        <v>219</v>
      </c>
      <c r="B202" s="6">
        <v>1</v>
      </c>
      <c r="C202" s="6">
        <f>C199</f>
        <v>0</v>
      </c>
      <c r="D202" s="111">
        <f>D199</f>
        <v>29.251979819809147</v>
      </c>
    </row>
    <row r="203" spans="1:11" x14ac:dyDescent="0.25">
      <c r="A203" s="103"/>
      <c r="B203" s="6">
        <v>2</v>
      </c>
      <c r="C203" s="6">
        <f>(IF(C24="Torsion",C10,C7)-C38)/((IF(C24="Torsion",C9,C6)-C38)/IF(C24="Torsion",C9,C6))</f>
        <v>73.117978605181349</v>
      </c>
      <c r="D203" s="67">
        <f>IF(C24="Torsion",C10,C7)</f>
        <v>82</v>
      </c>
    </row>
    <row r="204" spans="1:11" x14ac:dyDescent="0.25">
      <c r="A204" s="103"/>
      <c r="B204" s="6">
        <v>3</v>
      </c>
      <c r="C204" s="6">
        <f>IF(C24="Torsion",C10,C7)</f>
        <v>82</v>
      </c>
      <c r="D204" s="67">
        <f>IF(C24="Torsion",C10,C7)</f>
        <v>82</v>
      </c>
    </row>
    <row r="205" spans="1:11" x14ac:dyDescent="0.25">
      <c r="A205" s="103"/>
      <c r="B205" s="6">
        <v>4</v>
      </c>
      <c r="C205" s="6">
        <f>C203</f>
        <v>73.117978605181349</v>
      </c>
      <c r="D205" s="67">
        <f>-C38+((D201-D200)/(C201-C200))*(C205-0)</f>
        <v>64.235957210362699</v>
      </c>
    </row>
    <row r="206" spans="1:11" x14ac:dyDescent="0.25">
      <c r="A206" s="103"/>
      <c r="B206" s="6">
        <v>5</v>
      </c>
      <c r="C206" s="77">
        <v>0</v>
      </c>
      <c r="D206" s="111">
        <f>-C38</f>
        <v>-29.251979819809147</v>
      </c>
    </row>
    <row r="207" spans="1:11" x14ac:dyDescent="0.25">
      <c r="A207" s="103" t="s">
        <v>220</v>
      </c>
      <c r="B207" s="6">
        <v>1</v>
      </c>
      <c r="C207" s="6">
        <v>0</v>
      </c>
      <c r="D207" s="67">
        <v>0</v>
      </c>
    </row>
    <row r="208" spans="1:11" x14ac:dyDescent="0.25">
      <c r="A208" s="103"/>
      <c r="B208" s="6">
        <v>2</v>
      </c>
      <c r="C208" s="6">
        <f>IF(C24="Torsion",C9,C6)</f>
        <v>105</v>
      </c>
      <c r="D208" s="67">
        <f>IF(C24="Torsion",C9,C6)</f>
        <v>105</v>
      </c>
    </row>
    <row r="209" spans="1:5" x14ac:dyDescent="0.25">
      <c r="A209" s="103" t="s">
        <v>221</v>
      </c>
      <c r="B209" s="6">
        <v>1</v>
      </c>
      <c r="C209" s="146">
        <f>C72-0.000001</f>
        <v>16.391302134857895</v>
      </c>
      <c r="D209" s="148">
        <f>(C72-C71)</f>
        <v>-7.4002616083471331</v>
      </c>
    </row>
    <row r="210" spans="1:5" x14ac:dyDescent="0.25">
      <c r="A210" s="115"/>
      <c r="B210" s="57">
        <v>2</v>
      </c>
      <c r="C210" s="147">
        <f>C72+0.000001</f>
        <v>16.391304134857897</v>
      </c>
      <c r="D210" s="149">
        <f>(C72+C71)</f>
        <v>40.182867878062922</v>
      </c>
    </row>
    <row r="211" spans="1:5" x14ac:dyDescent="0.25">
      <c r="A211" s="116" t="s">
        <v>222</v>
      </c>
      <c r="B211" s="6">
        <v>1</v>
      </c>
      <c r="C211" s="6">
        <f>(D211-(-C38))/SLOPE(D200:D201,C200:C201)-0.000001</f>
        <v>22.878305042133768</v>
      </c>
      <c r="D211" s="67">
        <v>0</v>
      </c>
    </row>
    <row r="212" spans="1:5" ht="15.75" thickBot="1" x14ac:dyDescent="0.3">
      <c r="A212" s="105"/>
      <c r="B212" s="22">
        <v>2</v>
      </c>
      <c r="C212" s="22">
        <f>C211+0.000001</f>
        <v>22.878306042133769</v>
      </c>
      <c r="D212" s="70">
        <f>SLOPE(D199:D200,C199:C200)*C212+D199</f>
        <v>45.756612084267537</v>
      </c>
    </row>
    <row r="214" spans="1:5" ht="15.75" thickBot="1" x14ac:dyDescent="0.3"/>
    <row r="215" spans="1:5" x14ac:dyDescent="0.25">
      <c r="A215" s="117"/>
      <c r="B215" s="98" t="s">
        <v>223</v>
      </c>
      <c r="C215" s="101"/>
      <c r="D215" s="118" t="s">
        <v>224</v>
      </c>
      <c r="E215" s="101"/>
    </row>
    <row r="216" spans="1:5" ht="15.75" thickBot="1" x14ac:dyDescent="0.3">
      <c r="A216" s="119" t="s">
        <v>215</v>
      </c>
      <c r="B216" s="56" t="s">
        <v>206</v>
      </c>
      <c r="C216" s="69" t="s">
        <v>207</v>
      </c>
      <c r="D216" s="120" t="s">
        <v>206</v>
      </c>
      <c r="E216" s="69" t="s">
        <v>207</v>
      </c>
    </row>
    <row r="217" spans="1:5" x14ac:dyDescent="0.25">
      <c r="A217" s="117">
        <v>0</v>
      </c>
      <c r="B217" s="13">
        <f>IF($C$24="Torsion",$C$9,$C$6)*A217/$A$267</f>
        <v>0</v>
      </c>
      <c r="C217" s="66">
        <f>(1-(B217/IF($C$24="Torsion",$C$9,$C$6))^2)*$C$38</f>
        <v>29.251979819809147</v>
      </c>
      <c r="D217" s="121">
        <f>IF($C$24="Torsion",$C$10,$C$7)*A217/$A$267</f>
        <v>0</v>
      </c>
      <c r="E217" s="66">
        <f>SQRT((1-(D217/IF($C$24="Torsion",$C$10,$C$7))^2)*$C$38^2)</f>
        <v>29.251979819809147</v>
      </c>
    </row>
    <row r="218" spans="1:5" x14ac:dyDescent="0.25">
      <c r="A218" s="122">
        <v>1</v>
      </c>
      <c r="B218" s="17">
        <f>IF($C$24="Torsion",$C$9,$C$6)*A218/$A$267</f>
        <v>2.1</v>
      </c>
      <c r="C218" s="67">
        <f>(1-(B218/IF($C$24="Torsion",$C$9,$C$6))^2)*$C$38</f>
        <v>29.240279027881225</v>
      </c>
      <c r="D218" s="123">
        <f>IF($C$24="Torsion",$C$10,$C$7)*A218/$A$267</f>
        <v>1.64</v>
      </c>
      <c r="E218" s="67">
        <f>SQRT((1-(D218/IF($C$24="Torsion",$C$10,$C$7))^2)*$C$38^2)</f>
        <v>29.246128838688552</v>
      </c>
    </row>
    <row r="219" spans="1:5" x14ac:dyDescent="0.25">
      <c r="A219" s="122">
        <v>2</v>
      </c>
      <c r="B219" s="17">
        <f>IF($C$24="Torsion",$C$9,$C$6)*A219/$A$267</f>
        <v>4.2</v>
      </c>
      <c r="C219" s="67">
        <f>(1-(B219/IF($C$24="Torsion",$C$9,$C$6))^2)*$C$38</f>
        <v>29.20517665209745</v>
      </c>
      <c r="D219" s="123">
        <f>IF($C$24="Torsion",$C$10,$C$7)*A219/$A$267</f>
        <v>3.28</v>
      </c>
      <c r="E219" s="67">
        <f>SQRT((1-(D219/IF($C$24="Torsion",$C$10,$C$7))^2)*$C$38^2)</f>
        <v>29.228568867823753</v>
      </c>
    </row>
    <row r="220" spans="1:5" x14ac:dyDescent="0.25">
      <c r="A220" s="122">
        <v>3</v>
      </c>
      <c r="B220" s="17">
        <f>IF($C$24="Torsion",$C$9,$C$6)*A220/$A$267</f>
        <v>6.3</v>
      </c>
      <c r="C220" s="67">
        <f>(1-(B220/IF($C$24="Torsion",$C$9,$C$6))^2)*$C$38</f>
        <v>29.146672692457834</v>
      </c>
      <c r="D220" s="123">
        <f>IF($C$24="Torsion",$C$10,$C$7)*A220/$A$267</f>
        <v>4.92</v>
      </c>
      <c r="E220" s="67">
        <f>SQRT((1-(D220/IF($C$24="Torsion",$C$10,$C$7))^2)*$C$38^2)</f>
        <v>29.199278782435002</v>
      </c>
    </row>
    <row r="221" spans="1:5" x14ac:dyDescent="0.25">
      <c r="A221" s="122">
        <v>4</v>
      </c>
      <c r="B221" s="17">
        <f>IF($C$24="Torsion",$C$9,$C$6)*A221/$A$267</f>
        <v>8.4</v>
      </c>
      <c r="C221" s="67">
        <f>(1-(B221/IF($C$24="Torsion",$C$9,$C$6))^2)*$C$38</f>
        <v>29.064767148962371</v>
      </c>
      <c r="D221" s="123">
        <f>IF($C$24="Torsion",$C$10,$C$7)*A221/$A$267</f>
        <v>6.56</v>
      </c>
      <c r="E221" s="67">
        <f>SQRT((1-(D221/IF($C$24="Torsion",$C$10,$C$7))^2)*$C$38^2)</f>
        <v>29.158223233058955</v>
      </c>
    </row>
    <row r="222" spans="1:5" x14ac:dyDescent="0.25">
      <c r="A222" s="122">
        <v>5</v>
      </c>
      <c r="B222" s="17">
        <f>IF($C$24="Torsion",$C$9,$C$6)*A222/$A$267</f>
        <v>10.5</v>
      </c>
      <c r="C222" s="67">
        <f>(1-(B222/IF($C$24="Torsion",$C$9,$C$6))^2)*$C$38</f>
        <v>28.959460021611054</v>
      </c>
      <c r="D222" s="123">
        <f>IF($C$24="Torsion",$C$10,$C$7)*A222/$A$267</f>
        <v>8.1999999999999993</v>
      </c>
      <c r="E222" s="67">
        <f>SQRT((1-(D222/IF($C$24="Torsion",$C$10,$C$7))^2)*$C$38^2)</f>
        <v>29.10535243120647</v>
      </c>
    </row>
    <row r="223" spans="1:5" x14ac:dyDescent="0.25">
      <c r="A223" s="122">
        <v>6</v>
      </c>
      <c r="B223" s="17">
        <f>IF($C$24="Torsion",$C$9,$C$6)*A223/$A$267</f>
        <v>12.6</v>
      </c>
      <c r="C223" s="67">
        <f>(1-(B223/IF($C$24="Torsion",$C$9,$C$6))^2)*$C$38</f>
        <v>28.830751310403897</v>
      </c>
      <c r="D223" s="123">
        <f>IF($C$24="Torsion",$C$10,$C$7)*A223/$A$267</f>
        <v>9.84</v>
      </c>
      <c r="E223" s="67">
        <f>SQRT((1-(D223/IF($C$24="Torsion",$C$10,$C$7))^2)*$C$38^2)</f>
        <v>29.040601845035354</v>
      </c>
    </row>
    <row r="224" spans="1:5" x14ac:dyDescent="0.25">
      <c r="A224" s="122">
        <v>7</v>
      </c>
      <c r="B224" s="17">
        <f>IF($C$24="Torsion",$C$9,$C$6)*A224/$A$267</f>
        <v>14.7</v>
      </c>
      <c r="C224" s="67">
        <f>(1-(B224/IF($C$24="Torsion",$C$9,$C$6))^2)*$C$38</f>
        <v>28.67864101534089</v>
      </c>
      <c r="D224" s="123">
        <f>IF($C$24="Torsion",$C$10,$C$7)*A224/$A$267</f>
        <v>11.48</v>
      </c>
      <c r="E224" s="67">
        <f>SQRT((1-(D224/IF($C$24="Torsion",$C$10,$C$7))^2)*$C$38^2)</f>
        <v>28.963891800659361</v>
      </c>
    </row>
    <row r="225" spans="1:5" x14ac:dyDescent="0.25">
      <c r="A225" s="122">
        <v>8</v>
      </c>
      <c r="B225" s="17">
        <f>IF($C$24="Torsion",$C$9,$C$6)*A225/$A$267</f>
        <v>16.8</v>
      </c>
      <c r="C225" s="67">
        <f>(1-(B225/IF($C$24="Torsion",$C$9,$C$6))^2)*$C$38</f>
        <v>28.503129136422036</v>
      </c>
      <c r="D225" s="123">
        <f>IF($C$24="Torsion",$C$10,$C$7)*A225/$A$267</f>
        <v>13.12</v>
      </c>
      <c r="E225" s="67">
        <f>SQRT((1-(D225/IF($C$24="Torsion",$C$10,$C$7))^2)*$C$38^2)</f>
        <v>28.875126983271112</v>
      </c>
    </row>
    <row r="226" spans="1:5" x14ac:dyDescent="0.25">
      <c r="A226" s="122">
        <v>9</v>
      </c>
      <c r="B226" s="17">
        <f>IF($C$24="Torsion",$C$9,$C$6)*A226/$A$267</f>
        <v>18.899999999999999</v>
      </c>
      <c r="C226" s="67">
        <f>(1-(B226/IF($C$24="Torsion",$C$9,$C$6))^2)*$C$38</f>
        <v>28.304215673647331</v>
      </c>
      <c r="D226" s="123">
        <f>IF($C$24="Torsion",$C$10,$C$7)*A226/$A$267</f>
        <v>14.76</v>
      </c>
      <c r="E226" s="67">
        <f>SQRT((1-(D226/IF($C$24="Torsion",$C$10,$C$7))^2)*$C$38^2)</f>
        <v>28.774195830658023</v>
      </c>
    </row>
    <row r="227" spans="1:5" x14ac:dyDescent="0.25">
      <c r="A227" s="122">
        <v>10</v>
      </c>
      <c r="B227" s="17">
        <f>IF($C$24="Torsion",$C$9,$C$6)*A227/$A$267</f>
        <v>21</v>
      </c>
      <c r="C227" s="67">
        <f>(1-(B227/IF($C$24="Torsion",$C$9,$C$6))^2)*$C$38</f>
        <v>28.081900627016779</v>
      </c>
      <c r="D227" s="123">
        <f>IF($C$24="Torsion",$C$10,$C$7)*A227/$A$267</f>
        <v>16.399999999999999</v>
      </c>
      <c r="E227" s="67">
        <f>SQRT((1-(D227/IF($C$24="Torsion",$C$10,$C$7))^2)*$C$38^2)</f>
        <v>28.66096980988921</v>
      </c>
    </row>
    <row r="228" spans="1:5" x14ac:dyDescent="0.25">
      <c r="A228" s="122">
        <v>11</v>
      </c>
      <c r="B228" s="17">
        <f>IF($C$24="Torsion",$C$9,$C$6)*A228/$A$267</f>
        <v>23.1</v>
      </c>
      <c r="C228" s="67">
        <f>(1-(B228/IF($C$24="Torsion",$C$9,$C$6))^2)*$C$38</f>
        <v>27.836183996530384</v>
      </c>
      <c r="D228" s="123">
        <f>IF($C$24="Torsion",$C$10,$C$7)*A228/$A$267</f>
        <v>18.04</v>
      </c>
      <c r="E228" s="67">
        <f>SQRT((1-(D228/IF($C$24="Torsion",$C$10,$C$7))^2)*$C$38^2)</f>
        <v>28.535302565891975</v>
      </c>
    </row>
    <row r="229" spans="1:5" x14ac:dyDescent="0.25">
      <c r="A229" s="122">
        <v>12</v>
      </c>
      <c r="B229" s="17">
        <f>IF($C$24="Torsion",$C$9,$C$6)*A229/$A$267</f>
        <v>25.2</v>
      </c>
      <c r="C229" s="67">
        <f>(1-(B229/IF($C$24="Torsion",$C$9,$C$6))^2)*$C$38</f>
        <v>27.567065782188141</v>
      </c>
      <c r="D229" s="123">
        <f>IF($C$24="Torsion",$C$10,$C$7)*A229/$A$267</f>
        <v>19.68</v>
      </c>
      <c r="E229" s="67">
        <f>SQRT((1-(D229/IF($C$24="Torsion",$C$10,$C$7))^2)*$C$38^2)</f>
        <v>28.397028928250904</v>
      </c>
    </row>
    <row r="230" spans="1:5" x14ac:dyDescent="0.25">
      <c r="A230" s="122">
        <v>13</v>
      </c>
      <c r="B230" s="17">
        <f>IF($C$24="Torsion",$C$9,$C$6)*A230/$A$267</f>
        <v>27.3</v>
      </c>
      <c r="C230" s="67">
        <f>(1-(B230/IF($C$24="Torsion",$C$9,$C$6))^2)*$C$38</f>
        <v>27.274545983990048</v>
      </c>
      <c r="D230" s="123">
        <f>IF($C$24="Torsion",$C$10,$C$7)*A230/$A$267</f>
        <v>21.32</v>
      </c>
      <c r="E230" s="67">
        <f>SQRT((1-(D230/IF($C$24="Torsion",$C$10,$C$7))^2)*$C$38^2)</f>
        <v>28.245963759768113</v>
      </c>
    </row>
    <row r="231" spans="1:5" x14ac:dyDescent="0.25">
      <c r="A231" s="122">
        <v>14</v>
      </c>
      <c r="B231" s="17">
        <f>IF($C$24="Torsion",$C$9,$C$6)*A231/$A$267</f>
        <v>29.4</v>
      </c>
      <c r="C231" s="67">
        <f>(1-(B231/IF($C$24="Torsion",$C$9,$C$6))^2)*$C$38</f>
        <v>26.958624601936108</v>
      </c>
      <c r="D231" s="123">
        <f>IF($C$24="Torsion",$C$10,$C$7)*A231/$A$267</f>
        <v>22.96</v>
      </c>
      <c r="E231" s="67">
        <f>SQRT((1-(D231/IF($C$24="Torsion",$C$10,$C$7))^2)*$C$38^2)</f>
        <v>28.081900627016783</v>
      </c>
    </row>
    <row r="232" spans="1:5" x14ac:dyDescent="0.25">
      <c r="A232" s="122">
        <v>15</v>
      </c>
      <c r="B232" s="17">
        <f>IF($C$24="Torsion",$C$9,$C$6)*A232/$A$267</f>
        <v>31.5</v>
      </c>
      <c r="C232" s="67">
        <f>(1-(B232/IF($C$24="Torsion",$C$9,$C$6))^2)*$C$38</f>
        <v>26.619301636026325</v>
      </c>
      <c r="D232" s="123">
        <f>IF($C$24="Torsion",$C$10,$C$7)*A232/$A$267</f>
        <v>24.6</v>
      </c>
      <c r="E232" s="67">
        <f>SQRT((1-(D232/IF($C$24="Torsion",$C$10,$C$7))^2)*$C$38^2)</f>
        <v>27.904610269173347</v>
      </c>
    </row>
    <row r="233" spans="1:5" x14ac:dyDescent="0.25">
      <c r="A233" s="122">
        <v>16</v>
      </c>
      <c r="B233" s="17">
        <f>IF($C$24="Torsion",$C$9,$C$6)*A233/$A$267</f>
        <v>33.6</v>
      </c>
      <c r="C233" s="67">
        <f>(1-(B233/IF($C$24="Torsion",$C$9,$C$6))^2)*$C$38</f>
        <v>26.256577086260688</v>
      </c>
      <c r="D233" s="123">
        <f>IF($C$24="Torsion",$C$10,$C$7)*A233/$A$267</f>
        <v>26.24</v>
      </c>
      <c r="E233" s="67">
        <f>SQRT((1-(D233/IF($C$24="Torsion",$C$10,$C$7))^2)*$C$38^2)</f>
        <v>27.713838836663552</v>
      </c>
    </row>
    <row r="234" spans="1:5" x14ac:dyDescent="0.25">
      <c r="A234" s="122">
        <v>17</v>
      </c>
      <c r="B234" s="17">
        <f>IF($C$24="Torsion",$C$9,$C$6)*A234/$A$267</f>
        <v>35.700000000000003</v>
      </c>
      <c r="C234" s="67">
        <f>(1-(B234/IF($C$24="Torsion",$C$9,$C$6))^2)*$C$38</f>
        <v>25.87045095263921</v>
      </c>
      <c r="D234" s="123">
        <f>IF($C$24="Torsion",$C$10,$C$7)*A234/$A$267</f>
        <v>27.88</v>
      </c>
      <c r="E234" s="67">
        <f>SQRT((1-(D234/IF($C$24="Torsion",$C$10,$C$7))^2)*$C$38^2)</f>
        <v>27.509305865396978</v>
      </c>
    </row>
    <row r="235" spans="1:5" x14ac:dyDescent="0.25">
      <c r="A235" s="122">
        <v>18</v>
      </c>
      <c r="B235" s="17">
        <f>IF($C$24="Torsion",$C$9,$C$6)*A235/$A$267</f>
        <v>37.799999999999997</v>
      </c>
      <c r="C235" s="67">
        <f>(1-(B235/IF($C$24="Torsion",$C$9,$C$6))^2)*$C$38</f>
        <v>25.460923235161882</v>
      </c>
      <c r="D235" s="123">
        <f>IF($C$24="Torsion",$C$10,$C$7)*A235/$A$267</f>
        <v>29.52</v>
      </c>
      <c r="E235" s="67">
        <f>SQRT((1-(D235/IF($C$24="Torsion",$C$10,$C$7))^2)*$C$38^2)</f>
        <v>27.290701945326823</v>
      </c>
    </row>
    <row r="236" spans="1:5" x14ac:dyDescent="0.25">
      <c r="A236" s="122">
        <v>19</v>
      </c>
      <c r="B236" s="17">
        <f>IF($C$24="Torsion",$C$9,$C$6)*A236/$A$267</f>
        <v>39.9</v>
      </c>
      <c r="C236" s="67">
        <f>(1-(B236/IF($C$24="Torsion",$C$9,$C$6))^2)*$C$38</f>
        <v>25.027993933828707</v>
      </c>
      <c r="D236" s="123">
        <f>IF($C$24="Torsion",$C$10,$C$7)*A236/$A$267</f>
        <v>31.16</v>
      </c>
      <c r="E236" s="67">
        <f>SQRT((1-(D236/IF($C$24="Torsion",$C$10,$C$7))^2)*$C$38^2)</f>
        <v>27.05768603341134</v>
      </c>
    </row>
    <row r="237" spans="1:5" x14ac:dyDescent="0.25">
      <c r="A237" s="122">
        <v>20</v>
      </c>
      <c r="B237" s="17">
        <f>IF($C$24="Torsion",$C$9,$C$6)*A237/$A$267</f>
        <v>42</v>
      </c>
      <c r="C237" s="67">
        <f>(1-(B237/IF($C$24="Torsion",$C$9,$C$6))^2)*$C$38</f>
        <v>24.571663048639682</v>
      </c>
      <c r="D237" s="123">
        <f>IF($C$24="Torsion",$C$10,$C$7)*A237/$A$267</f>
        <v>32.799999999999997</v>
      </c>
      <c r="E237" s="67">
        <f>SQRT((1-(D237/IF($C$24="Torsion",$C$10,$C$7))^2)*$C$38^2)</f>
        <v>26.809882350319224</v>
      </c>
    </row>
    <row r="238" spans="1:5" x14ac:dyDescent="0.25">
      <c r="A238" s="122">
        <v>21</v>
      </c>
      <c r="B238" s="17">
        <f>IF($C$24="Torsion",$C$9,$C$6)*A238/$A$267</f>
        <v>44.1</v>
      </c>
      <c r="C238" s="67">
        <f>(1-(B238/IF($C$24="Torsion",$C$9,$C$6))^2)*$C$38</f>
        <v>24.091930579594813</v>
      </c>
      <c r="D238" s="123">
        <f>IF($C$24="Torsion",$C$10,$C$7)*A238/$A$267</f>
        <v>34.44</v>
      </c>
      <c r="E238" s="67">
        <f>SQRT((1-(D238/IF($C$24="Torsion",$C$10,$C$7))^2)*$C$38^2)</f>
        <v>26.546876786819016</v>
      </c>
    </row>
    <row r="239" spans="1:5" x14ac:dyDescent="0.25">
      <c r="A239" s="122">
        <v>22</v>
      </c>
      <c r="B239" s="17">
        <f>IF($C$24="Torsion",$C$9,$C$6)*A239/$A$267</f>
        <v>46.2</v>
      </c>
      <c r="C239" s="67">
        <f>(1-(B239/IF($C$24="Torsion",$C$9,$C$6))^2)*$C$38</f>
        <v>23.588796526694097</v>
      </c>
      <c r="D239" s="123">
        <f>IF($C$24="Torsion",$C$10,$C$7)*A239/$A$267</f>
        <v>36.08</v>
      </c>
      <c r="E239" s="67">
        <f>SQRT((1-(D239/IF($C$24="Torsion",$C$10,$C$7))^2)*$C$38^2)</f>
        <v>26.26821272893228</v>
      </c>
    </row>
    <row r="240" spans="1:5" x14ac:dyDescent="0.25">
      <c r="A240" s="122">
        <v>23</v>
      </c>
      <c r="B240" s="17">
        <f>IF($C$24="Torsion",$C$9,$C$6)*A240/$A$267</f>
        <v>48.3</v>
      </c>
      <c r="C240" s="67">
        <f>(1-(B240/IF($C$24="Torsion",$C$9,$C$6))^2)*$C$38</f>
        <v>23.06226088993753</v>
      </c>
      <c r="D240" s="123">
        <f>IF($C$24="Torsion",$C$10,$C$7)*A240/$A$267</f>
        <v>37.72</v>
      </c>
      <c r="E240" s="67">
        <f>SQRT((1-(D240/IF($C$24="Torsion",$C$10,$C$7))^2)*$C$38^2)</f>
        <v>25.973386189552304</v>
      </c>
    </row>
    <row r="241" spans="1:5" x14ac:dyDescent="0.25">
      <c r="A241" s="122">
        <v>24</v>
      </c>
      <c r="B241" s="17">
        <f>IF($C$24="Torsion",$C$9,$C$6)*A241/$A$267</f>
        <v>50.4</v>
      </c>
      <c r="C241" s="67">
        <f>(1-(B241/IF($C$24="Torsion",$C$9,$C$6))^2)*$C$38</f>
        <v>22.51232366932512</v>
      </c>
      <c r="D241" s="123">
        <f>IF($C$24="Torsion",$C$10,$C$7)*A241/$A$267</f>
        <v>39.36</v>
      </c>
      <c r="E241" s="67">
        <f>SQRT((1-(D241/IF($C$24="Torsion",$C$10,$C$7))^2)*$C$38^2)</f>
        <v>25.661840106900172</v>
      </c>
    </row>
    <row r="242" spans="1:5" x14ac:dyDescent="0.25">
      <c r="A242" s="122">
        <v>25</v>
      </c>
      <c r="B242" s="17">
        <f>IF($C$24="Torsion",$C$9,$C$6)*A242/$A$267</f>
        <v>52.5</v>
      </c>
      <c r="C242" s="67">
        <f>(1-(B242/IF($C$24="Torsion",$C$9,$C$6))^2)*$C$38</f>
        <v>21.93898486485686</v>
      </c>
      <c r="D242" s="123">
        <f>IF($C$24="Torsion",$C$10,$C$7)*A242/$A$267</f>
        <v>41</v>
      </c>
      <c r="E242" s="67">
        <f>SQRT((1-(D242/IF($C$24="Torsion",$C$10,$C$7))^2)*$C$38^2)</f>
        <v>25.332957634944467</v>
      </c>
    </row>
    <row r="243" spans="1:5" x14ac:dyDescent="0.25">
      <c r="A243" s="122">
        <v>26</v>
      </c>
      <c r="B243" s="17">
        <f>IF($C$24="Torsion",$C$9,$C$6)*A243/$A$267</f>
        <v>54.6</v>
      </c>
      <c r="C243" s="67">
        <f>(1-(B243/IF($C$24="Torsion",$C$9,$C$6))^2)*$C$38</f>
        <v>21.342244476532755</v>
      </c>
      <c r="D243" s="123">
        <f>IF($C$24="Torsion",$C$10,$C$7)*A243/$A$267</f>
        <v>42.64</v>
      </c>
      <c r="E243" s="67">
        <f>SQRT((1-(D243/IF($C$24="Torsion",$C$10,$C$7))^2)*$C$38^2)</f>
        <v>24.986054205035444</v>
      </c>
    </row>
    <row r="244" spans="1:5" x14ac:dyDescent="0.25">
      <c r="A244" s="122">
        <v>27</v>
      </c>
      <c r="B244" s="17">
        <f>IF($C$24="Torsion",$C$9,$C$6)*A244/$A$267</f>
        <v>56.7</v>
      </c>
      <c r="C244" s="67">
        <f>(1-(B244/IF($C$24="Torsion",$C$9,$C$6))^2)*$C$38</f>
        <v>20.722102504352797</v>
      </c>
      <c r="D244" s="123">
        <f>IF($C$24="Torsion",$C$10,$C$7)*A244/$A$267</f>
        <v>44.28</v>
      </c>
      <c r="E244" s="67">
        <f>SQRT((1-(D244/IF($C$24="Torsion",$C$10,$C$7))^2)*$C$38^2)</f>
        <v>24.620368077698284</v>
      </c>
    </row>
    <row r="245" spans="1:5" x14ac:dyDescent="0.25">
      <c r="A245" s="122">
        <v>28</v>
      </c>
      <c r="B245" s="17">
        <f>IF($C$24="Torsion",$C$9,$C$6)*A245/$A$267</f>
        <v>58.8</v>
      </c>
      <c r="C245" s="67">
        <f>(1-(B245/IF($C$24="Torsion",$C$9,$C$6))^2)*$C$38</f>
        <v>20.078558948317003</v>
      </c>
      <c r="D245" s="123">
        <f>IF($C$24="Torsion",$C$10,$C$7)*A245/$A$267</f>
        <v>45.92</v>
      </c>
      <c r="E245" s="67">
        <f>SQRT((1-(D245/IF($C$24="Torsion",$C$10,$C$7))^2)*$C$38^2)</f>
        <v>24.235049023408578</v>
      </c>
    </row>
    <row r="246" spans="1:5" x14ac:dyDescent="0.25">
      <c r="A246" s="122">
        <v>29</v>
      </c>
      <c r="B246" s="17">
        <f>IF($C$24="Torsion",$C$9,$C$6)*A246/$A$267</f>
        <v>60.9</v>
      </c>
      <c r="C246" s="67">
        <f>(1-(B246/IF($C$24="Torsion",$C$9,$C$6))^2)*$C$38</f>
        <v>19.411613808425351</v>
      </c>
      <c r="D246" s="123">
        <f>IF($C$24="Torsion",$C$10,$C$7)*A246/$A$267</f>
        <v>47.56</v>
      </c>
      <c r="E246" s="67">
        <f>SQRT((1-(D246/IF($C$24="Torsion",$C$10,$C$7))^2)*$C$38^2)</f>
        <v>23.829144663499502</v>
      </c>
    </row>
    <row r="247" spans="1:5" x14ac:dyDescent="0.25">
      <c r="A247" s="122">
        <v>30</v>
      </c>
      <c r="B247" s="17">
        <f>IF($C$24="Torsion",$C$9,$C$6)*A247/$A$267</f>
        <v>63</v>
      </c>
      <c r="C247" s="67">
        <f>(1-(B247/IF($C$24="Torsion",$C$9,$C$6))^2)*$C$38</f>
        <v>18.721267084677855</v>
      </c>
      <c r="D247" s="123">
        <f>IF($C$24="Torsion",$C$10,$C$7)*A247/$A$267</f>
        <v>49.2</v>
      </c>
      <c r="E247" s="67">
        <f>SQRT((1-(D247/IF($C$24="Torsion",$C$10,$C$7))^2)*$C$38^2)</f>
        <v>23.401583855847317</v>
      </c>
    </row>
    <row r="248" spans="1:5" x14ac:dyDescent="0.25">
      <c r="A248" s="122">
        <v>31</v>
      </c>
      <c r="B248" s="17">
        <f>IF($C$24="Torsion",$C$9,$C$6)*A248/$A$267</f>
        <v>65.099999999999994</v>
      </c>
      <c r="C248" s="67">
        <f>(1-(B248/IF($C$24="Torsion",$C$9,$C$6))^2)*$C$38</f>
        <v>18.007518777074509</v>
      </c>
      <c r="D248" s="123">
        <f>IF($C$24="Torsion",$C$10,$C$7)*A248/$A$267</f>
        <v>50.84</v>
      </c>
      <c r="E248" s="67">
        <f>SQRT((1-(D248/IF($C$24="Torsion",$C$10,$C$7))^2)*$C$38^2)</f>
        <v>22.951156307947052</v>
      </c>
    </row>
    <row r="249" spans="1:5" x14ac:dyDescent="0.25">
      <c r="A249" s="122">
        <v>32</v>
      </c>
      <c r="B249" s="17">
        <f>IF($C$24="Torsion",$C$9,$C$6)*A249/$A$267</f>
        <v>67.2</v>
      </c>
      <c r="C249" s="67">
        <f>(1-(B249/IF($C$24="Torsion",$C$9,$C$6))^2)*$C$38</f>
        <v>17.270368885615323</v>
      </c>
      <c r="D249" s="123">
        <f>IF($C$24="Torsion",$C$10,$C$7)*A249/$A$267</f>
        <v>52.48</v>
      </c>
      <c r="E249" s="67">
        <f>SQRT((1-(D249/IF($C$24="Torsion",$C$10,$C$7))^2)*$C$38^2)</f>
        <v>22.476487317253984</v>
      </c>
    </row>
    <row r="250" spans="1:5" x14ac:dyDescent="0.25">
      <c r="A250" s="122">
        <v>33</v>
      </c>
      <c r="B250" s="17">
        <f>IF($C$24="Torsion",$C$9,$C$6)*A250/$A$267</f>
        <v>69.3</v>
      </c>
      <c r="C250" s="67">
        <f>(1-(B250/IF($C$24="Torsion",$C$9,$C$6))^2)*$C$38</f>
        <v>16.509817410300286</v>
      </c>
      <c r="D250" s="123">
        <f>IF($C$24="Torsion",$C$10,$C$7)*A250/$A$267</f>
        <v>54.12</v>
      </c>
      <c r="E250" s="67">
        <f>SQRT((1-(D250/IF($C$24="Torsion",$C$10,$C$7))^2)*$C$38^2)</f>
        <v>21.976006136576267</v>
      </c>
    </row>
    <row r="251" spans="1:5" x14ac:dyDescent="0.25">
      <c r="A251" s="122">
        <v>34</v>
      </c>
      <c r="B251" s="17">
        <f>IF($C$24="Torsion",$C$9,$C$6)*A251/$A$267</f>
        <v>71.400000000000006</v>
      </c>
      <c r="C251" s="67">
        <f>(1-(B251/IF($C$24="Torsion",$C$9,$C$6))^2)*$C$38</f>
        <v>15.725864351129394</v>
      </c>
      <c r="D251" s="123">
        <f>IF($C$24="Torsion",$C$10,$C$7)*A251/$A$267</f>
        <v>55.76</v>
      </c>
      <c r="E251" s="67">
        <f>SQRT((1-(D251/IF($C$24="Torsion",$C$10,$C$7))^2)*$C$38^2)</f>
        <v>21.44790588025538</v>
      </c>
    </row>
    <row r="252" spans="1:5" x14ac:dyDescent="0.25">
      <c r="A252" s="122">
        <v>35</v>
      </c>
      <c r="B252" s="17">
        <f>IF($C$24="Torsion",$C$9,$C$6)*A252/$A$267</f>
        <v>73.5</v>
      </c>
      <c r="C252" s="67">
        <f>(1-(B252/IF($C$24="Torsion",$C$9,$C$6))^2)*$C$38</f>
        <v>14.918509708102665</v>
      </c>
      <c r="D252" s="123">
        <f>IF($C$24="Torsion",$C$10,$C$7)*A252/$A$267</f>
        <v>57.4</v>
      </c>
      <c r="E252" s="67">
        <f>SQRT((1-(D252/IF($C$24="Torsion",$C$10,$C$7))^2)*$C$38^2)</f>
        <v>20.89009202763468</v>
      </c>
    </row>
    <row r="253" spans="1:5" x14ac:dyDescent="0.25">
      <c r="A253" s="122">
        <v>36</v>
      </c>
      <c r="B253" s="17">
        <f>IF($C$24="Torsion",$C$9,$C$6)*A253/$A$267</f>
        <v>75.599999999999994</v>
      </c>
      <c r="C253" s="67">
        <f>(1-(B253/IF($C$24="Torsion",$C$9,$C$6))^2)*$C$38</f>
        <v>14.087753481220085</v>
      </c>
      <c r="D253" s="123">
        <f>IF($C$24="Torsion",$C$10,$C$7)*A253/$A$267</f>
        <v>59.04</v>
      </c>
      <c r="E253" s="67">
        <f>SQRT((1-(D253/IF($C$24="Torsion",$C$10,$C$7))^2)*$C$38^2)</f>
        <v>20.300115283886839</v>
      </c>
    </row>
    <row r="254" spans="1:5" x14ac:dyDescent="0.25">
      <c r="A254" s="122">
        <v>37</v>
      </c>
      <c r="B254" s="17">
        <f>IF($C$24="Torsion",$C$9,$C$6)*A254/$A$267</f>
        <v>77.7</v>
      </c>
      <c r="C254" s="67">
        <f>(1-(B254/IF($C$24="Torsion",$C$9,$C$6))^2)*$C$38</f>
        <v>13.233595670481659</v>
      </c>
      <c r="D254" s="123">
        <f>IF($C$24="Torsion",$C$10,$C$7)*A254/$A$267</f>
        <v>60.68</v>
      </c>
      <c r="E254" s="67">
        <f>SQRT((1-(D254/IF($C$24="Torsion",$C$10,$C$7))^2)*$C$38^2)</f>
        <v>19.67508255373896</v>
      </c>
    </row>
    <row r="255" spans="1:5" x14ac:dyDescent="0.25">
      <c r="A255" s="122">
        <v>38</v>
      </c>
      <c r="B255" s="17">
        <f>IF($C$24="Torsion",$C$9,$C$6)*A255/$A$267</f>
        <v>79.8</v>
      </c>
      <c r="C255" s="67">
        <f>(1-(B255/IF($C$24="Torsion",$C$9,$C$6))^2)*$C$38</f>
        <v>12.356036275887384</v>
      </c>
      <c r="D255" s="123">
        <f>IF($C$24="Torsion",$C$10,$C$7)*A255/$A$267</f>
        <v>62.32</v>
      </c>
      <c r="E255" s="67">
        <f>SQRT((1-(D255/IF($C$24="Torsion",$C$10,$C$7))^2)*$C$38^2)</f>
        <v>19.011536597421248</v>
      </c>
    </row>
    <row r="256" spans="1:5" x14ac:dyDescent="0.25">
      <c r="A256" s="122">
        <v>39</v>
      </c>
      <c r="B256" s="17">
        <f>IF($C$24="Torsion",$C$9,$C$6)*A256/$A$267</f>
        <v>81.900000000000006</v>
      </c>
      <c r="C256" s="67">
        <f>(1-(B256/IF($C$24="Torsion",$C$9,$C$6))^2)*$C$38</f>
        <v>11.455075297437261</v>
      </c>
      <c r="D256" s="123">
        <f>IF($C$24="Torsion",$C$10,$C$7)*A256/$A$267</f>
        <v>63.96</v>
      </c>
      <c r="E256" s="67">
        <f>SQRT((1-(D256/IF($C$24="Torsion",$C$10,$C$7))^2)*$C$38^2)</f>
        <v>18.305289711857309</v>
      </c>
    </row>
    <row r="257" spans="1:5" x14ac:dyDescent="0.25">
      <c r="A257" s="122">
        <v>40</v>
      </c>
      <c r="B257" s="17">
        <f>IF($C$24="Torsion",$C$9,$C$6)*A257/$A$267</f>
        <v>84</v>
      </c>
      <c r="C257" s="67">
        <f>(1-(B257/IF($C$24="Torsion",$C$9,$C$6))^2)*$C$38</f>
        <v>10.530712735131289</v>
      </c>
      <c r="D257" s="123">
        <f>IF($C$24="Torsion",$C$10,$C$7)*A257/$A$267</f>
        <v>65.599999999999994</v>
      </c>
      <c r="E257" s="67">
        <f>SQRT((1-(D257/IF($C$24="Torsion",$C$10,$C$7))^2)*$C$38^2)</f>
        <v>17.55118789188549</v>
      </c>
    </row>
    <row r="258" spans="1:5" x14ac:dyDescent="0.25">
      <c r="A258" s="122">
        <v>41</v>
      </c>
      <c r="B258" s="17">
        <f>IF($C$24="Torsion",$C$9,$C$6)*A258/$A$267</f>
        <v>86.1</v>
      </c>
      <c r="C258" s="67">
        <f>(1-(B258/IF($C$24="Torsion",$C$9,$C$6))^2)*$C$38</f>
        <v>9.5829485889694794</v>
      </c>
      <c r="D258" s="123">
        <f>IF($C$24="Torsion",$C$10,$C$7)*A258/$A$267</f>
        <v>67.239999999999995</v>
      </c>
      <c r="E258" s="67">
        <f>SQRT((1-(D258/IF($C$24="Torsion",$C$10,$C$7))^2)*$C$38^2)</f>
        <v>16.742766161504012</v>
      </c>
    </row>
    <row r="259" spans="1:5" x14ac:dyDescent="0.25">
      <c r="A259" s="122">
        <v>42</v>
      </c>
      <c r="B259" s="17">
        <f>IF($C$24="Torsion",$C$9,$C$6)*A259/$A$267</f>
        <v>88.2</v>
      </c>
      <c r="C259" s="67">
        <f>(1-(B259/IF($C$24="Torsion",$C$9,$C$6))^2)*$C$38</f>
        <v>8.6117828589518091</v>
      </c>
      <c r="D259" s="123">
        <f>IF($C$24="Torsion",$C$10,$C$7)*A259/$A$267</f>
        <v>68.88</v>
      </c>
      <c r="E259" s="67">
        <f>SQRT((1-(D259/IF($C$24="Torsion",$C$10,$C$7))^2)*$C$38^2)</f>
        <v>15.871726383813352</v>
      </c>
    </row>
    <row r="260" spans="1:5" x14ac:dyDescent="0.25">
      <c r="A260" s="122">
        <v>43</v>
      </c>
      <c r="B260" s="17">
        <f>IF($C$24="Torsion",$C$9,$C$6)*A260/$A$267</f>
        <v>90.3</v>
      </c>
      <c r="C260" s="67">
        <f>(1-(B260/IF($C$24="Torsion",$C$9,$C$6))^2)*$C$38</f>
        <v>7.6172155450783041</v>
      </c>
      <c r="D260" s="123">
        <f>IF($C$24="Torsion",$C$10,$C$7)*A260/$A$267</f>
        <v>70.52</v>
      </c>
      <c r="E260" s="67">
        <f>SQRT((1-(D260/IF($C$24="Torsion",$C$10,$C$7))^2)*$C$38^2)</f>
        <v>14.927110752177297</v>
      </c>
    </row>
    <row r="261" spans="1:5" x14ac:dyDescent="0.25">
      <c r="A261" s="122">
        <v>44</v>
      </c>
      <c r="B261" s="17">
        <f>IF($C$24="Torsion",$C$9,$C$6)*A261/$A$267</f>
        <v>92.4</v>
      </c>
      <c r="C261" s="67">
        <f>(1-(B261/IF($C$24="Torsion",$C$9,$C$6))^2)*$C$38</f>
        <v>6.5992466473489442</v>
      </c>
      <c r="D261" s="123">
        <f>IF($C$24="Torsion",$C$10,$C$7)*A261/$A$267</f>
        <v>72.16</v>
      </c>
      <c r="E261" s="67">
        <f>SQRT((1-(D261/IF($C$24="Torsion",$C$10,$C$7))^2)*$C$38^2)</f>
        <v>13.893920604141744</v>
      </c>
    </row>
    <row r="262" spans="1:5" x14ac:dyDescent="0.25">
      <c r="A262" s="122">
        <v>45</v>
      </c>
      <c r="B262" s="17">
        <f>IF($C$24="Torsion",$C$9,$C$6)*A262/$A$267</f>
        <v>94.5</v>
      </c>
      <c r="C262" s="67">
        <f>(1-(B262/IF($C$24="Torsion",$C$9,$C$6))^2)*$C$38</f>
        <v>5.5578761657637363</v>
      </c>
      <c r="D262" s="123">
        <f>IF($C$24="Torsion",$C$10,$C$7)*A262/$A$267</f>
        <v>73.8</v>
      </c>
      <c r="E262" s="67">
        <f>SQRT((1-(D262/IF($C$24="Torsion",$C$10,$C$7))^2)*$C$38^2)</f>
        <v>12.750642393303925</v>
      </c>
    </row>
    <row r="263" spans="1:5" x14ac:dyDescent="0.25">
      <c r="A263" s="122">
        <v>46</v>
      </c>
      <c r="B263" s="17">
        <f>IF($C$24="Torsion",$C$9,$C$6)*A263/$A$267</f>
        <v>96.6</v>
      </c>
      <c r="C263" s="67">
        <f>(1-(B263/IF($C$24="Torsion",$C$9,$C$6))^2)*$C$38</f>
        <v>4.4931041003226904</v>
      </c>
      <c r="D263" s="123">
        <f>IF($C$24="Torsion",$C$10,$C$7)*A263/$A$267</f>
        <v>75.44</v>
      </c>
      <c r="E263" s="67">
        <f>SQRT((1-(D263/IF($C$24="Torsion",$C$10,$C$7))^2)*$C$38^2)</f>
        <v>11.464387923955691</v>
      </c>
    </row>
    <row r="264" spans="1:5" x14ac:dyDescent="0.25">
      <c r="A264" s="122">
        <v>47</v>
      </c>
      <c r="B264" s="17">
        <f>IF($C$24="Torsion",$C$9,$C$6)*A264/$A$267</f>
        <v>98.7</v>
      </c>
      <c r="C264" s="67">
        <f>(1-(B264/IF($C$24="Torsion",$C$9,$C$6))^2)*$C$38</f>
        <v>3.4049304510257801</v>
      </c>
      <c r="D264" s="123">
        <f>IF($C$24="Torsion",$C$10,$C$7)*A264/$A$267</f>
        <v>77.08</v>
      </c>
      <c r="E264" s="67">
        <f>SQRT((1-(D264/IF($C$24="Torsion",$C$10,$C$7))^2)*$C$38^2)</f>
        <v>9.9800278978197223</v>
      </c>
    </row>
    <row r="265" spans="1:5" x14ac:dyDescent="0.25">
      <c r="A265" s="122">
        <v>48</v>
      </c>
      <c r="B265" s="17">
        <f>IF($C$24="Torsion",$C$9,$C$6)*A265/$A$267</f>
        <v>100.8</v>
      </c>
      <c r="C265" s="67">
        <f>(1-(B265/IF($C$24="Torsion",$C$9,$C$6))^2)*$C$38</f>
        <v>2.2933552178730379</v>
      </c>
      <c r="D265" s="123">
        <f>IF($C$24="Torsion",$C$10,$C$7)*A265/$A$267</f>
        <v>78.72</v>
      </c>
      <c r="E265" s="67">
        <f>SQRT((1-(D265/IF($C$24="Torsion",$C$10,$C$7))^2)*$C$38^2)</f>
        <v>8.1905543495465629</v>
      </c>
    </row>
    <row r="266" spans="1:5" x14ac:dyDescent="0.25">
      <c r="A266" s="122">
        <v>49</v>
      </c>
      <c r="B266" s="17">
        <f>IF($C$24="Torsion",$C$9,$C$6)*A266/$A$267</f>
        <v>102.9</v>
      </c>
      <c r="C266" s="67">
        <f>(1-(B266/IF($C$24="Torsion",$C$9,$C$6))^2)*$C$38</f>
        <v>1.158378400864438</v>
      </c>
      <c r="D266" s="123">
        <f>IF($C$24="Torsion",$C$10,$C$7)*A266/$A$267</f>
        <v>80.36</v>
      </c>
      <c r="E266" s="67">
        <f>SQRT((1-(D266/IF($C$24="Torsion",$C$10,$C$7))^2)*$C$38^2)</f>
        <v>5.8210704862413003</v>
      </c>
    </row>
    <row r="267" spans="1:5" ht="15.75" thickBot="1" x14ac:dyDescent="0.3">
      <c r="A267" s="124">
        <v>50</v>
      </c>
      <c r="B267" s="20">
        <f>IF($C$24="Torsion",$C$9,$C$6)*A267/$A$267</f>
        <v>105</v>
      </c>
      <c r="C267" s="70">
        <f>(1-(B267/IF($C$24="Torsion",$C$9,$C$6))^2)*$C$38</f>
        <v>0</v>
      </c>
      <c r="D267" s="125">
        <f>IF($C$24="Torsion",$C$10,$C$7)*A267/$A$267</f>
        <v>82</v>
      </c>
      <c r="E267" s="70">
        <f>SQRT((1-(D267/IF($C$24="Torsion",$C$10,$C$7))^2)*$C$38^2)</f>
        <v>0</v>
      </c>
    </row>
  </sheetData>
  <mergeCells count="29">
    <mergeCell ref="A202:A206"/>
    <mergeCell ref="A207:A208"/>
    <mergeCell ref="A209:A210"/>
    <mergeCell ref="B215:C215"/>
    <mergeCell ref="D215:E215"/>
    <mergeCell ref="D186:E186"/>
    <mergeCell ref="B193:C193"/>
    <mergeCell ref="D193:E193"/>
    <mergeCell ref="F193:G193"/>
    <mergeCell ref="H193:I193"/>
    <mergeCell ref="A199:A201"/>
    <mergeCell ref="A102:D102"/>
    <mergeCell ref="A107:D107"/>
    <mergeCell ref="A111:D111"/>
    <mergeCell ref="G71:J71"/>
    <mergeCell ref="A185:C185"/>
    <mergeCell ref="D185:E185"/>
    <mergeCell ref="A40:D40"/>
    <mergeCell ref="A52:D52"/>
    <mergeCell ref="A61:D61"/>
    <mergeCell ref="A76:D76"/>
    <mergeCell ref="A87:D87"/>
    <mergeCell ref="A97:D97"/>
    <mergeCell ref="A1:D1"/>
    <mergeCell ref="AH1:AI1"/>
    <mergeCell ref="A3:D3"/>
    <mergeCell ref="A14:D14"/>
    <mergeCell ref="A23:D23"/>
    <mergeCell ref="A28:D28"/>
  </mergeCells>
  <conditionalFormatting sqref="C93">
    <cfRule type="cellIs" dxfId="3" priority="4" operator="equal">
      <formula>$C$6</formula>
    </cfRule>
  </conditionalFormatting>
  <conditionalFormatting sqref="C12">
    <cfRule type="containsText" dxfId="2" priority="3" operator="containsText" text="Eq">
      <formula>NOT(ISERROR(SEARCH("Eq",C12)))</formula>
    </cfRule>
  </conditionalFormatting>
  <conditionalFormatting sqref="B70">
    <cfRule type="containsText" dxfId="1" priority="2" operator="containsText" text="No">
      <formula>NOT(ISERROR(SEARCH("No",B70)))</formula>
    </cfRule>
  </conditionalFormatting>
  <conditionalFormatting sqref="I75">
    <cfRule type="containsText" dxfId="0" priority="1" operator="containsText" text="Check">
      <formula>NOT(ISERROR(SEARCH("Check",I75)))</formula>
    </cfRule>
  </conditionalFormatting>
  <dataValidations disablePrompts="1" count="2">
    <dataValidation type="list" allowBlank="1" showInputMessage="1" showErrorMessage="1" sqref="C24" xr:uid="{B0D2458E-140F-4AE0-8020-4939B6A2749C}">
      <formula1>StressType</formula1>
    </dataValidation>
    <dataValidation type="list" allowBlank="1" showInputMessage="1" showErrorMessage="1" sqref="C15" xr:uid="{07822AB2-358F-4365-9F04-C0DD0D985AD5}">
      <formula1>SurfaceFinish</formula1>
    </dataValidation>
  </dataValidations>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Shaft Fatigue</vt:lpstr>
      <vt:lpstr>'Shaft Fatigue'!StressType</vt:lpstr>
      <vt:lpstr>'Shaft Fatigue'!SurfaceFinish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Williams, Justin</dc:creator>
  <cp:lastModifiedBy>Williams, Justin</cp:lastModifiedBy>
  <dcterms:created xsi:type="dcterms:W3CDTF">2022-06-03T17:42:24Z</dcterms:created>
  <dcterms:modified xsi:type="dcterms:W3CDTF">2022-06-03T20:09:00Z</dcterms:modified>
</cp:coreProperties>
</file>