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Departments\Engineering\Users\Justin Williams\Spreadsheets\"/>
    </mc:Choice>
  </mc:AlternateContent>
  <xr:revisionPtr revIDLastSave="0" documentId="13_ncr:1_{9AC9DBF6-C4A9-424A-9E42-3396BD8D1E48}" xr6:coauthVersionLast="46" xr6:coauthVersionMax="46" xr10:uidLastSave="{00000000-0000-0000-0000-000000000000}"/>
  <bookViews>
    <workbookView xWindow="-120" yWindow="-120" windowWidth="29040" windowHeight="15840" activeTab="1" xr2:uid="{E2A2FB18-83FB-4A94-8FB6-9241F013E1E8}"/>
  </bookViews>
  <sheets>
    <sheet name="Sheet1" sheetId="1" r:id="rId1"/>
    <sheet name="Draft" sheetId="4" r:id="rId2"/>
    <sheet name="Reference" sheetId="3" r:id="rId3"/>
  </sheets>
  <definedNames>
    <definedName name="Direction_of_Turn">Reference!$AA$2:$AA$3</definedName>
    <definedName name="Leaf_Spring_Types">Reference!$AC$2:$AC$3</definedName>
    <definedName name="Tire_Location">Reference!$AB$2:$AB$5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9" i="4" l="1"/>
  <c r="Y4" i="4"/>
  <c r="AA5" i="4"/>
  <c r="AA7" i="4"/>
  <c r="AA4" i="4"/>
  <c r="AF8" i="4"/>
  <c r="AH8" i="4" s="1"/>
  <c r="AF7" i="4"/>
  <c r="AF5" i="4"/>
  <c r="AH5" i="4" s="1"/>
  <c r="AH3" i="4"/>
  <c r="AC57" i="4"/>
  <c r="AC58" i="4"/>
  <c r="AC51" i="4"/>
  <c r="AC52" i="4"/>
  <c r="AC53" i="4"/>
  <c r="AC54" i="4"/>
  <c r="AC55" i="4"/>
  <c r="AC56" i="4"/>
  <c r="AC50" i="4"/>
  <c r="M50" i="4"/>
  <c r="R6" i="4"/>
  <c r="M13" i="4"/>
  <c r="K15" i="4"/>
  <c r="A28" i="3" a="1"/>
  <c r="B28" i="3" s="1"/>
  <c r="D25" i="3"/>
  <c r="D26" i="3"/>
  <c r="D17" i="3"/>
  <c r="D18" i="3"/>
  <c r="D19" i="3"/>
  <c r="D20" i="3"/>
  <c r="D21" i="3"/>
  <c r="D22" i="3"/>
  <c r="D23" i="3"/>
  <c r="D24" i="3"/>
  <c r="K31" i="4"/>
  <c r="K42" i="4"/>
  <c r="K39" i="4"/>
  <c r="AF9" i="4" l="1"/>
  <c r="AH7" i="4"/>
  <c r="AA9" i="4"/>
  <c r="AF6" i="4"/>
  <c r="AF10" i="4" s="1"/>
  <c r="AF11" i="4" s="1"/>
  <c r="AH11" i="4" s="1"/>
  <c r="AA8" i="4"/>
  <c r="AH4" i="4"/>
  <c r="M49" i="4"/>
  <c r="D28" i="3"/>
  <c r="A28" i="3"/>
  <c r="C28" i="3"/>
  <c r="E28" i="3"/>
  <c r="M97" i="4"/>
  <c r="M96" i="4"/>
  <c r="K95" i="4"/>
  <c r="K99" i="4" s="1"/>
  <c r="M99" i="4" s="1"/>
  <c r="K94" i="4"/>
  <c r="K98" i="4" s="1"/>
  <c r="M98" i="4" s="1"/>
  <c r="M92" i="4"/>
  <c r="M91" i="4"/>
  <c r="M90" i="4"/>
  <c r="M83" i="4"/>
  <c r="M82" i="4"/>
  <c r="K70" i="4"/>
  <c r="M69" i="4"/>
  <c r="M68" i="4"/>
  <c r="M9" i="4"/>
  <c r="D22" i="4"/>
  <c r="F22" i="4" s="1"/>
  <c r="K12" i="4"/>
  <c r="M11" i="4"/>
  <c r="M10" i="4"/>
  <c r="M6" i="4"/>
  <c r="M30" i="4"/>
  <c r="M42" i="4"/>
  <c r="D12" i="4"/>
  <c r="F12" i="4" s="1"/>
  <c r="F11" i="4"/>
  <c r="F10" i="4"/>
  <c r="M8" i="4"/>
  <c r="F9" i="4"/>
  <c r="R8" i="4"/>
  <c r="T8" i="4" s="1"/>
  <c r="M7" i="4"/>
  <c r="M36" i="4"/>
  <c r="D8" i="4"/>
  <c r="F8" i="4" s="1"/>
  <c r="T7" i="4"/>
  <c r="K38" i="4"/>
  <c r="M38" i="4" s="1"/>
  <c r="F7" i="4"/>
  <c r="M37" i="4"/>
  <c r="F6" i="4"/>
  <c r="K5" i="4"/>
  <c r="K32" i="4" s="1"/>
  <c r="D5" i="4"/>
  <c r="T4" i="4"/>
  <c r="M4" i="4"/>
  <c r="F4" i="4"/>
  <c r="T3" i="4"/>
  <c r="M3" i="4"/>
  <c r="F3" i="4"/>
  <c r="I31" i="3"/>
  <c r="I32" i="3"/>
  <c r="I33" i="3"/>
  <c r="I34" i="3"/>
  <c r="I35" i="3"/>
  <c r="I36" i="3"/>
  <c r="I37" i="3"/>
  <c r="I38" i="3"/>
  <c r="I30" i="3"/>
  <c r="I21" i="3"/>
  <c r="I22" i="3"/>
  <c r="I23" i="3"/>
  <c r="I24" i="3"/>
  <c r="I25" i="3"/>
  <c r="I26" i="3"/>
  <c r="I27" i="3"/>
  <c r="I28" i="3"/>
  <c r="I20"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19" i="3"/>
  <c r="M16" i="3"/>
  <c r="D16" i="3"/>
  <c r="AA9" i="1"/>
  <c r="AA8" i="1"/>
  <c r="AA7" i="1"/>
  <c r="AA4" i="1"/>
  <c r="AA3" i="1"/>
  <c r="Y9" i="1"/>
  <c r="Y8" i="1"/>
  <c r="D8" i="1"/>
  <c r="D22" i="1"/>
  <c r="D23" i="1"/>
  <c r="F23" i="1" s="1"/>
  <c r="F22" i="1"/>
  <c r="L56" i="3" l="1"/>
  <c r="M26" i="3"/>
  <c r="L25" i="3"/>
  <c r="L48" i="3"/>
  <c r="L39" i="3"/>
  <c r="L37" i="3"/>
  <c r="L35" i="3"/>
  <c r="M53" i="3"/>
  <c r="M52" i="3"/>
  <c r="M21" i="3"/>
  <c r="M29" i="3"/>
  <c r="M40" i="3"/>
  <c r="M20" i="3"/>
  <c r="L38" i="3"/>
  <c r="M32" i="3"/>
  <c r="L53" i="3"/>
  <c r="M47" i="3"/>
  <c r="L31" i="3"/>
  <c r="L23" i="3"/>
  <c r="L28" i="3"/>
  <c r="L45" i="3"/>
  <c r="M44" i="3"/>
  <c r="L55" i="3"/>
  <c r="L51" i="3"/>
  <c r="M43" i="3"/>
  <c r="M27" i="3"/>
  <c r="M22" i="3"/>
  <c r="L24" i="3"/>
  <c r="L36" i="3"/>
  <c r="M48" i="3"/>
  <c r="M36" i="3"/>
  <c r="L41" i="3"/>
  <c r="L44" i="3"/>
  <c r="M54" i="3"/>
  <c r="L58" i="3"/>
  <c r="L50" i="3"/>
  <c r="L42" i="3"/>
  <c r="M34" i="3"/>
  <c r="M19" i="3"/>
  <c r="L52" i="3"/>
  <c r="L46" i="3"/>
  <c r="M55" i="3"/>
  <c r="M28" i="3"/>
  <c r="L40" i="3"/>
  <c r="M39" i="3"/>
  <c r="L54" i="3"/>
  <c r="M57" i="3"/>
  <c r="L49" i="3"/>
  <c r="L33" i="3"/>
  <c r="K45" i="4"/>
  <c r="M45" i="4" s="1"/>
  <c r="K44" i="4"/>
  <c r="M44" i="4" s="1"/>
  <c r="M39" i="4"/>
  <c r="K40" i="4"/>
  <c r="K43" i="4" s="1"/>
  <c r="K17" i="4"/>
  <c r="K16" i="4"/>
  <c r="K24" i="4" s="1"/>
  <c r="K18" i="4"/>
  <c r="D23" i="4"/>
  <c r="D24" i="4" s="1"/>
  <c r="F24" i="4" s="1"/>
  <c r="M12" i="4"/>
  <c r="D13" i="4"/>
  <c r="D16" i="4" s="1"/>
  <c r="R9" i="4"/>
  <c r="T9" i="4" s="1"/>
  <c r="M32" i="4"/>
  <c r="M31" i="4"/>
  <c r="K71" i="4"/>
  <c r="F5" i="4"/>
  <c r="M5" i="4"/>
  <c r="M70" i="4"/>
  <c r="L34" i="3"/>
  <c r="L57" i="3"/>
  <c r="M56" i="3"/>
  <c r="M51" i="3"/>
  <c r="L43" i="3"/>
  <c r="M58" i="3"/>
  <c r="M50" i="3"/>
  <c r="L32" i="3"/>
  <c r="L26" i="3"/>
  <c r="M25" i="3"/>
  <c r="L47" i="3"/>
  <c r="M46" i="3"/>
  <c r="M42" i="3"/>
  <c r="M38" i="3"/>
  <c r="M49" i="3"/>
  <c r="M45" i="3"/>
  <c r="M41" i="3"/>
  <c r="M37" i="3"/>
  <c r="M35" i="3"/>
  <c r="L27" i="3"/>
  <c r="M33" i="3"/>
  <c r="M24" i="3"/>
  <c r="L30" i="3"/>
  <c r="L22" i="3"/>
  <c r="M31" i="3"/>
  <c r="M23" i="3"/>
  <c r="L19" i="3"/>
  <c r="L29" i="3"/>
  <c r="L21" i="3"/>
  <c r="M30" i="3"/>
  <c r="L20" i="3"/>
  <c r="D24" i="1"/>
  <c r="K28" i="4" l="1"/>
  <c r="K74" i="4" s="1"/>
  <c r="M74" i="4" s="1"/>
  <c r="K46" i="4"/>
  <c r="D15" i="4"/>
  <c r="D19" i="4" s="1"/>
  <c r="M40" i="4"/>
  <c r="D17" i="4"/>
  <c r="K19" i="4"/>
  <c r="K22" i="4"/>
  <c r="K23" i="4"/>
  <c r="K25" i="4"/>
  <c r="K20" i="4"/>
  <c r="M20" i="4" s="1"/>
  <c r="F13" i="4"/>
  <c r="F23" i="4"/>
  <c r="D14" i="4"/>
  <c r="F14" i="4" s="1"/>
  <c r="M43" i="4"/>
  <c r="K41" i="4"/>
  <c r="M41" i="4" s="1"/>
  <c r="D20" i="4"/>
  <c r="D25" i="4" s="1"/>
  <c r="F25" i="4" s="1"/>
  <c r="K80" i="4"/>
  <c r="K81" i="4"/>
  <c r="M71" i="4"/>
  <c r="K33" i="4"/>
  <c r="M17" i="4"/>
  <c r="K34" i="4"/>
  <c r="M18" i="4"/>
  <c r="F24" i="1"/>
  <c r="M40" i="1"/>
  <c r="M39" i="1"/>
  <c r="M38" i="1"/>
  <c r="F7" i="1"/>
  <c r="F6" i="1"/>
  <c r="F9" i="1"/>
  <c r="D12" i="1"/>
  <c r="K47" i="4" l="1"/>
  <c r="M34" i="4"/>
  <c r="K48" i="4"/>
  <c r="M48" i="4" s="1"/>
  <c r="M19" i="4"/>
  <c r="K21" i="4"/>
  <c r="M21" i="4" s="1"/>
  <c r="M46" i="4"/>
  <c r="M28" i="4"/>
  <c r="K29" i="4"/>
  <c r="K75" i="4" s="1"/>
  <c r="M75" i="4" s="1"/>
  <c r="K27" i="4"/>
  <c r="K73" i="4" s="1"/>
  <c r="M73" i="4" s="1"/>
  <c r="K26" i="4"/>
  <c r="K72" i="4" s="1"/>
  <c r="M72" i="4" s="1"/>
  <c r="M33" i="4"/>
  <c r="F15" i="4"/>
  <c r="D21" i="4"/>
  <c r="D26" i="4" s="1"/>
  <c r="D27" i="4" s="1"/>
  <c r="D18" i="4"/>
  <c r="K85" i="4"/>
  <c r="K89" i="4"/>
  <c r="K88" i="4"/>
  <c r="D5" i="1"/>
  <c r="F5" i="1" s="1"/>
  <c r="F12" i="1"/>
  <c r="F11" i="1"/>
  <c r="F10" i="1"/>
  <c r="F8" i="1"/>
  <c r="F4" i="1"/>
  <c r="F3" i="1"/>
  <c r="M3" i="1"/>
  <c r="M31" i="1"/>
  <c r="M30" i="1"/>
  <c r="M25" i="1"/>
  <c r="M24" i="1"/>
  <c r="K26" i="1"/>
  <c r="M45" i="1"/>
  <c r="M44" i="1"/>
  <c r="M23" i="1"/>
  <c r="K43" i="1"/>
  <c r="K47" i="1" s="1"/>
  <c r="M47" i="1" s="1"/>
  <c r="K42" i="1"/>
  <c r="K46" i="1" s="1"/>
  <c r="M46" i="1" s="1"/>
  <c r="K17" i="1"/>
  <c r="M17" i="1" s="1"/>
  <c r="M15" i="1"/>
  <c r="M16" i="1"/>
  <c r="M14" i="1"/>
  <c r="T4" i="1"/>
  <c r="R3" i="1"/>
  <c r="T3" i="1" s="1"/>
  <c r="T12" i="1"/>
  <c r="T9" i="1"/>
  <c r="T8" i="1"/>
  <c r="T7" i="1"/>
  <c r="T6" i="1"/>
  <c r="K7" i="1"/>
  <c r="M7" i="1" s="1"/>
  <c r="K12" i="1"/>
  <c r="M12" i="1" s="1"/>
  <c r="K9" i="1"/>
  <c r="M8" i="1"/>
  <c r="M6" i="1"/>
  <c r="M4" i="1"/>
  <c r="M47" i="4" l="1"/>
  <c r="K52" i="4"/>
  <c r="M52" i="4" s="1"/>
  <c r="K53" i="4"/>
  <c r="M53" i="4" s="1"/>
  <c r="K54" i="4"/>
  <c r="M54" i="4" s="1"/>
  <c r="K51" i="4"/>
  <c r="M51" i="4" s="1"/>
  <c r="M27" i="4"/>
  <c r="M26" i="4"/>
  <c r="M29" i="4"/>
  <c r="F26" i="4"/>
  <c r="D28" i="4"/>
  <c r="F27" i="4"/>
  <c r="M88" i="4"/>
  <c r="K102" i="4"/>
  <c r="K103" i="4"/>
  <c r="M89" i="4"/>
  <c r="K87" i="4"/>
  <c r="K86" i="4"/>
  <c r="K5" i="1"/>
  <c r="K27" i="1" s="1"/>
  <c r="K28" i="1" s="1"/>
  <c r="R5" i="1"/>
  <c r="T5" i="1" s="1"/>
  <c r="D13" i="1"/>
  <c r="M26" i="1"/>
  <c r="K20" i="1"/>
  <c r="M20" i="1" s="1"/>
  <c r="K21" i="1"/>
  <c r="M21" i="1" s="1"/>
  <c r="K10" i="1"/>
  <c r="K22" i="1" s="1"/>
  <c r="M22" i="1" s="1"/>
  <c r="M9" i="1"/>
  <c r="K55" i="4" l="1"/>
  <c r="K76" i="4" s="1"/>
  <c r="M76" i="4" s="1"/>
  <c r="K56" i="4"/>
  <c r="K57" i="4"/>
  <c r="K58" i="4"/>
  <c r="M55" i="4"/>
  <c r="K101" i="4"/>
  <c r="M101" i="4" s="1"/>
  <c r="M87" i="4"/>
  <c r="M103" i="4"/>
  <c r="M102" i="4"/>
  <c r="K100" i="4"/>
  <c r="M100" i="4" s="1"/>
  <c r="M86" i="4"/>
  <c r="K18" i="1"/>
  <c r="M18" i="1" s="1"/>
  <c r="K19" i="1"/>
  <c r="M19" i="1" s="1"/>
  <c r="D17" i="1"/>
  <c r="D15" i="1"/>
  <c r="D14" i="1"/>
  <c r="D16" i="1"/>
  <c r="F13" i="1"/>
  <c r="K29" i="1"/>
  <c r="M27" i="1"/>
  <c r="K11" i="1"/>
  <c r="M11" i="1" s="1"/>
  <c r="M10" i="1"/>
  <c r="K13" i="1"/>
  <c r="M5" i="1"/>
  <c r="R13" i="1"/>
  <c r="M13" i="1"/>
  <c r="R10" i="1"/>
  <c r="R11" i="1"/>
  <c r="M58" i="4" l="1"/>
  <c r="M62" i="4" s="1"/>
  <c r="K62" i="4" s="1"/>
  <c r="K79" i="4"/>
  <c r="M79" i="4" s="1"/>
  <c r="M57" i="4"/>
  <c r="M61" i="4" s="1"/>
  <c r="K61" i="4" s="1"/>
  <c r="K78" i="4"/>
  <c r="M78" i="4" s="1"/>
  <c r="M56" i="4"/>
  <c r="M60" i="4" s="1"/>
  <c r="K60" i="4" s="1"/>
  <c r="K77" i="4"/>
  <c r="M77" i="4" s="1"/>
  <c r="M59" i="4"/>
  <c r="K59" i="4" s="1"/>
  <c r="K105" i="4"/>
  <c r="M105" i="4" s="1"/>
  <c r="K104" i="4"/>
  <c r="M104" i="4" s="1"/>
  <c r="D20" i="1"/>
  <c r="D25" i="1" s="1"/>
  <c r="F25" i="1" s="1"/>
  <c r="D18" i="1"/>
  <c r="D21" i="1"/>
  <c r="D26" i="1" s="1"/>
  <c r="D19" i="1"/>
  <c r="F15" i="1"/>
  <c r="F14" i="1"/>
  <c r="K33" i="1"/>
  <c r="K36" i="1"/>
  <c r="K37" i="1"/>
  <c r="T10" i="1"/>
  <c r="T11" i="1"/>
  <c r="T13" i="1"/>
  <c r="R14" i="1"/>
  <c r="T14" i="1" s="1"/>
  <c r="K64" i="4" l="1"/>
  <c r="M64" i="4" s="1"/>
  <c r="K65" i="4"/>
  <c r="M65" i="4" s="1"/>
  <c r="K63" i="4"/>
  <c r="M63" i="4" s="1"/>
  <c r="F26" i="1"/>
  <c r="D27" i="1"/>
  <c r="M37" i="1"/>
  <c r="K51" i="1"/>
  <c r="M36" i="1"/>
  <c r="K50" i="1"/>
  <c r="K34" i="1"/>
  <c r="K35" i="1"/>
  <c r="R15" i="1"/>
  <c r="T15" i="1" s="1"/>
  <c r="R16" i="1"/>
  <c r="T16" i="1" s="1"/>
  <c r="K67" i="4" l="1"/>
  <c r="K66" i="4"/>
  <c r="M66" i="4" s="1"/>
  <c r="D28" i="1"/>
  <c r="F27" i="1"/>
  <c r="M50" i="1"/>
  <c r="M51" i="1"/>
  <c r="M35" i="1"/>
  <c r="K49" i="1"/>
  <c r="M49" i="1" s="1"/>
  <c r="M34" i="1"/>
  <c r="K48" i="1"/>
  <c r="M48" i="1" s="1"/>
  <c r="K53" i="1" l="1"/>
  <c r="M53" i="1" s="1"/>
  <c r="K52" i="1"/>
  <c r="M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I20" authorId="0" shapeId="0" xr:uid="{B36F5FF5-5CB4-412D-810B-89ADB8006401}">
      <text>
        <r>
          <rPr>
            <b/>
            <sz val="9"/>
            <color indexed="81"/>
            <rFont val="Tahoma"/>
            <family val="2"/>
          </rPr>
          <t>Williams, Justin:</t>
        </r>
        <r>
          <rPr>
            <sz val="9"/>
            <color indexed="81"/>
            <rFont val="Tahoma"/>
            <family val="2"/>
          </rPr>
          <t xml:space="preserve">
Assumes tires maintain traction and do not skid and car stays on constant radius.
Also assumes center of gravity at car centerline.</t>
        </r>
      </text>
    </comment>
    <comment ref="B21" authorId="0" shapeId="0" xr:uid="{83B6CA05-0364-4D41-8512-371E626903A7}">
      <text>
        <r>
          <rPr>
            <b/>
            <sz val="9"/>
            <color indexed="81"/>
            <rFont val="Tahoma"/>
            <family val="2"/>
          </rPr>
          <t>Williams, Justin:</t>
        </r>
        <r>
          <rPr>
            <sz val="9"/>
            <color indexed="81"/>
            <rFont val="Tahoma"/>
            <family val="2"/>
          </rPr>
          <t xml:space="preserve">
Try to get the front and rear natural frequencies to match somewhat closely if possible.
However, make sure front has a bit of lower frequency than the rear, so that after hitting bump, the front takes a bit longer to cycle through than the rear. At speed, the front will hit first, but ultimately want to move at same time to prevent pitching of vehicle, so have front take longer to cycle.
0.5-1 Hz Typical passenger car
1.0-1.5 Hz Typical pickup
1.5-2.0 Hz Typical Street/Strip Car
&gt; 2.0 Hz Typical racecar</t>
        </r>
      </text>
    </comment>
    <comment ref="I21" authorId="0" shapeId="0" xr:uid="{66BF81D5-52FE-4574-9D23-1AAAA37AFBEE}">
      <text>
        <r>
          <rPr>
            <b/>
            <sz val="9"/>
            <color indexed="81"/>
            <rFont val="Tahoma"/>
            <family val="2"/>
          </rPr>
          <t>Williams, Justin:</t>
        </r>
        <r>
          <rPr>
            <sz val="9"/>
            <color indexed="81"/>
            <rFont val="Tahoma"/>
            <family val="2"/>
          </rPr>
          <t xml:space="preserve">
Assumes tires maintain traction and do not skid and car stays on constant radius.
Also assumes center of gravity at car centerline.</t>
        </r>
      </text>
    </comment>
    <comment ref="I22" authorId="0" shapeId="0" xr:uid="{D5414FB9-AE96-4420-8413-E38AC3010C29}">
      <text>
        <r>
          <rPr>
            <b/>
            <sz val="9"/>
            <color indexed="81"/>
            <rFont val="Tahoma"/>
            <family val="2"/>
          </rPr>
          <t>Williams, Justin:</t>
        </r>
        <r>
          <rPr>
            <sz val="9"/>
            <color indexed="81"/>
            <rFont val="Tahoma"/>
            <family val="2"/>
          </rPr>
          <t xml:space="preserve">
This assumes that the CoG location does NOT change during cornering.</t>
        </r>
      </text>
    </comment>
    <comment ref="B27" authorId="0" shapeId="0" xr:uid="{7025B41F-FDB1-46C2-92BF-2AC922D062CC}">
      <text>
        <r>
          <rPr>
            <b/>
            <sz val="9"/>
            <color indexed="81"/>
            <rFont val="Tahoma"/>
            <family val="2"/>
          </rPr>
          <t>Williams, Justin:</t>
        </r>
        <r>
          <rPr>
            <sz val="9"/>
            <color indexed="81"/>
            <rFont val="Tahoma"/>
            <family val="2"/>
          </rPr>
          <t xml:space="preserve">
Assumes rear natural period is held as independent variable</t>
        </r>
      </text>
    </comment>
    <comment ref="I52" authorId="0" shapeId="0" xr:uid="{00A04CAD-E4DA-4D3B-984A-BA3AD5108F71}">
      <text>
        <r>
          <rPr>
            <b/>
            <sz val="9"/>
            <color indexed="81"/>
            <rFont val="Tahoma"/>
            <family val="2"/>
          </rPr>
          <t>Williams, Justin:</t>
        </r>
        <r>
          <rPr>
            <sz val="9"/>
            <color indexed="81"/>
            <rFont val="Tahoma"/>
            <family val="2"/>
          </rPr>
          <t xml:space="preserve">
Total Lateral weight transfer = 
weight transfer due to body roll (centrifugal force ating on CG) + 
WT due to roll center height + 
WT due to unsprung weight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AD4" authorId="0" shapeId="0" xr:uid="{C92A73D8-3BEA-4208-96D5-B32857926F51}">
      <text>
        <r>
          <rPr>
            <b/>
            <sz val="9"/>
            <color indexed="81"/>
            <rFont val="Tahoma"/>
            <charset val="1"/>
          </rPr>
          <t>Williams, Justin:</t>
        </r>
        <r>
          <rPr>
            <sz val="9"/>
            <color indexed="81"/>
            <rFont val="Tahoma"/>
            <charset val="1"/>
          </rPr>
          <t xml:space="preserve">
This assumes spring acts on lower control arm</t>
        </r>
      </text>
    </comment>
    <comment ref="AD5" authorId="0" shapeId="0" xr:uid="{4237BC23-34C2-47AA-BAB3-BCE9E61202D9}">
      <text>
        <r>
          <rPr>
            <b/>
            <sz val="9"/>
            <color indexed="81"/>
            <rFont val="Tahoma"/>
            <charset val="1"/>
          </rPr>
          <t>Williams, Justin:</t>
        </r>
        <r>
          <rPr>
            <sz val="9"/>
            <color indexed="81"/>
            <rFont val="Tahoma"/>
            <charset val="1"/>
          </rPr>
          <t xml:space="preserve">
This assumes spring acts on lower control arm.</t>
        </r>
      </text>
    </comment>
    <comment ref="K7" authorId="0" shapeId="0" xr:uid="{FDE7A0A9-00A9-4E8D-8D8A-25BEFD69B9AD}">
      <text>
        <r>
          <rPr>
            <b/>
            <sz val="9"/>
            <color indexed="81"/>
            <rFont val="Tahoma"/>
            <family val="2"/>
          </rPr>
          <t>Williams, Justin:</t>
        </r>
        <r>
          <rPr>
            <sz val="9"/>
            <color indexed="81"/>
            <rFont val="Tahoma"/>
            <family val="2"/>
          </rPr>
          <t xml:space="preserve">
If unknown, estimate half the wheelbase for center of vehicle.</t>
        </r>
      </text>
    </comment>
    <comment ref="AD7" authorId="0" shapeId="0" xr:uid="{2058E392-9E62-464A-B770-DAF33D250F90}">
      <text>
        <r>
          <rPr>
            <b/>
            <sz val="9"/>
            <color indexed="81"/>
            <rFont val="Tahoma"/>
            <charset val="1"/>
          </rPr>
          <t>Williams, Justin:</t>
        </r>
        <r>
          <rPr>
            <sz val="9"/>
            <color indexed="81"/>
            <rFont val="Tahoma"/>
            <charset val="1"/>
          </rPr>
          <t xml:space="preserve">
This assumes spring acts on lower control arm.</t>
        </r>
      </text>
    </comment>
    <comment ref="K8" authorId="0" shapeId="0" xr:uid="{5E3BEEEC-7330-4427-ABD2-2888AEC8578E}">
      <text>
        <r>
          <rPr>
            <b/>
            <sz val="9"/>
            <color indexed="81"/>
            <rFont val="Tahoma"/>
            <family val="2"/>
          </rPr>
          <t>Williams, Justin:</t>
        </r>
        <r>
          <rPr>
            <sz val="9"/>
            <color indexed="81"/>
            <rFont val="Tahoma"/>
            <family val="2"/>
          </rPr>
          <t xml:space="preserve">
If unknown, enter 0 for center of vehicle.</t>
        </r>
      </text>
    </comment>
    <comment ref="W8" authorId="0" shapeId="0" xr:uid="{06888AB9-0A6B-47D8-A01F-E72AAA956AF7}">
      <text>
        <r>
          <rPr>
            <b/>
            <sz val="9"/>
            <color indexed="81"/>
            <rFont val="Tahoma"/>
            <charset val="1"/>
          </rPr>
          <t>Williams, Justin:</t>
        </r>
        <r>
          <rPr>
            <sz val="9"/>
            <color indexed="81"/>
            <rFont val="Tahoma"/>
            <charset val="1"/>
          </rPr>
          <t xml:space="preserve">
Between Mounting Points, not arc length.</t>
        </r>
      </text>
    </comment>
    <comment ref="AD8" authorId="0" shapeId="0" xr:uid="{080DED42-D95D-4D95-8BD2-23D19A9C6683}">
      <text>
        <r>
          <rPr>
            <b/>
            <sz val="9"/>
            <color indexed="81"/>
            <rFont val="Tahoma"/>
            <charset val="1"/>
          </rPr>
          <t>Williams, Justin:</t>
        </r>
        <r>
          <rPr>
            <sz val="9"/>
            <color indexed="81"/>
            <rFont val="Tahoma"/>
            <charset val="1"/>
          </rPr>
          <t xml:space="preserve">
This assumes spring acts on lower control arm.</t>
        </r>
      </text>
    </comment>
    <comment ref="I14" authorId="0" shapeId="0" xr:uid="{0FD5AA4E-D417-45FE-BFB2-1138097B557B}">
      <text>
        <r>
          <rPr>
            <b/>
            <sz val="9"/>
            <color indexed="81"/>
            <rFont val="Tahoma"/>
            <family val="2"/>
          </rPr>
          <t>Williams, Justin:</t>
        </r>
        <r>
          <rPr>
            <sz val="9"/>
            <color indexed="81"/>
            <rFont val="Tahoma"/>
            <family val="2"/>
          </rPr>
          <t xml:space="preserve">
Typical to place in rear right.
This will increase static loading on this location by the wedge weight, as well as increase the static loading on the opposing corner of the vehicle, while lowering the static loading by the same amount on the other two corners.</t>
        </r>
      </text>
    </comment>
    <comment ref="B21" authorId="0" shapeId="0" xr:uid="{4EED6732-331F-442F-9126-3D915D17A182}">
      <text>
        <r>
          <rPr>
            <b/>
            <sz val="9"/>
            <color indexed="81"/>
            <rFont val="Tahoma"/>
            <family val="2"/>
          </rPr>
          <t>Williams, Justin:</t>
        </r>
        <r>
          <rPr>
            <sz val="9"/>
            <color indexed="81"/>
            <rFont val="Tahoma"/>
            <family val="2"/>
          </rPr>
          <t xml:space="preserve">
Try to get the front and rear natural frequencies to match somewhat closely if possible.
However, make sure front has a bit of lower frequency than the rear, so that after hitting bump, the front takes a bit longer to cycle through than the rear. At speed, the front will hit first, but ultimately want to move at same time to prevent pitching of vehicle, so have front take longer to cycle.
0.5-1 Hz Typical passenger car
1.0-1.5 Hz Typical pickup
1.5-2.0 Hz Typical Street/Strip Car
&gt; 2.0 Hz Typical racecar</t>
        </r>
      </text>
    </comment>
    <comment ref="B27" authorId="0" shapeId="0" xr:uid="{17B778A9-EF79-4C99-BF0F-04D0552A879D}">
      <text>
        <r>
          <rPr>
            <b/>
            <sz val="9"/>
            <color indexed="81"/>
            <rFont val="Tahoma"/>
            <family val="2"/>
          </rPr>
          <t>Williams, Justin:</t>
        </r>
        <r>
          <rPr>
            <sz val="9"/>
            <color indexed="81"/>
            <rFont val="Tahoma"/>
            <family val="2"/>
          </rPr>
          <t xml:space="preserve">
Assumes rear natural period is held as independent variable</t>
        </r>
      </text>
    </comment>
    <comment ref="K30" authorId="0" shapeId="0" xr:uid="{CE8BF2C8-87B3-49D5-8C78-94FB8EE71185}">
      <text>
        <r>
          <rPr>
            <b/>
            <sz val="9"/>
            <color indexed="81"/>
            <rFont val="Tahoma"/>
            <family val="2"/>
          </rPr>
          <t>Williams, Justin:</t>
        </r>
        <r>
          <rPr>
            <sz val="9"/>
            <color indexed="81"/>
            <rFont val="Tahoma"/>
            <family val="2"/>
          </rPr>
          <t xml:space="preserve">
Enter a negative number for a braking event.</t>
        </r>
      </text>
    </comment>
    <comment ref="K36" authorId="0" shapeId="0" xr:uid="{296955C8-71BA-465B-936B-F214A8F05358}">
      <text>
        <r>
          <rPr>
            <b/>
            <sz val="9"/>
            <color indexed="81"/>
            <rFont val="Tahoma"/>
            <family val="2"/>
          </rPr>
          <t>Williams, Justin:</t>
        </r>
        <r>
          <rPr>
            <sz val="9"/>
            <color indexed="81"/>
            <rFont val="Tahoma"/>
            <family val="2"/>
          </rPr>
          <t xml:space="preserve">
If none, enter 0.
Alternatively, can enter very high number.
</t>
        </r>
      </text>
    </comment>
    <comment ref="I44" authorId="0" shapeId="0" xr:uid="{6A5D6996-83C2-4EAB-9EDA-6D90D989E905}">
      <text>
        <r>
          <rPr>
            <b/>
            <sz val="9"/>
            <color indexed="81"/>
            <rFont val="Tahoma"/>
            <family val="2"/>
          </rPr>
          <t>Williams, Justin:</t>
        </r>
        <r>
          <rPr>
            <sz val="9"/>
            <color indexed="81"/>
            <rFont val="Tahoma"/>
            <family val="2"/>
          </rPr>
          <t xml:space="preserve">
Assumes tires maintain traction and do not skid and car stays on constant radius.
Also assumes center of gravity at car centerline.</t>
        </r>
      </text>
    </comment>
    <comment ref="I45" authorId="0" shapeId="0" xr:uid="{0BD6C902-4358-41A3-9049-7962EDDB8E7C}">
      <text>
        <r>
          <rPr>
            <b/>
            <sz val="9"/>
            <color indexed="81"/>
            <rFont val="Tahoma"/>
            <family val="2"/>
          </rPr>
          <t>Williams, Justin:</t>
        </r>
        <r>
          <rPr>
            <sz val="9"/>
            <color indexed="81"/>
            <rFont val="Tahoma"/>
            <family val="2"/>
          </rPr>
          <t xml:space="preserve">
Assumes tires maintain traction and do not skid and car stays on constant radius.
Also assumes center of gravity at car centerline.</t>
        </r>
      </text>
    </comment>
    <comment ref="I46" authorId="0" shapeId="0" xr:uid="{4086212C-D3D9-4C50-93DC-2496AD51E34E}">
      <text>
        <r>
          <rPr>
            <b/>
            <sz val="9"/>
            <color indexed="81"/>
            <rFont val="Tahoma"/>
            <family val="2"/>
          </rPr>
          <t>Williams, Justin:</t>
        </r>
        <r>
          <rPr>
            <sz val="9"/>
            <color indexed="81"/>
            <rFont val="Tahoma"/>
            <family val="2"/>
          </rPr>
          <t xml:space="preserve">
This assumes that the CoG location does NOT change during cornering.
This does take into account weight shift from longitudinal acceleration as well.</t>
        </r>
      </text>
    </comment>
    <comment ref="I47" authorId="0" shapeId="0" xr:uid="{0EFAA0CB-91FC-4198-AED8-101032E86926}">
      <text>
        <r>
          <rPr>
            <b/>
            <sz val="9"/>
            <color indexed="81"/>
            <rFont val="Tahoma"/>
            <family val="2"/>
          </rPr>
          <t>Williams, Justin:</t>
        </r>
        <r>
          <rPr>
            <sz val="9"/>
            <color indexed="81"/>
            <rFont val="Tahoma"/>
            <family val="2"/>
          </rPr>
          <t xml:space="preserve">
This does take into account weight shift from longitudinal acceleration as well.
This assumes that the CoG location does NOT change during cornering.
</t>
        </r>
      </text>
    </comment>
    <comment ref="I48" authorId="0" shapeId="0" xr:uid="{74F310F2-5E7D-4A75-828B-3E41F84E3378}">
      <text>
        <r>
          <rPr>
            <b/>
            <sz val="9"/>
            <color indexed="81"/>
            <rFont val="Tahoma"/>
            <family val="2"/>
          </rPr>
          <t>Williams, Justin:</t>
        </r>
        <r>
          <rPr>
            <sz val="9"/>
            <color indexed="81"/>
            <rFont val="Tahoma"/>
            <family val="2"/>
          </rPr>
          <t xml:space="preserve">
This does take into account weight shift from longitudinal acceleration as well.
This assumes that the CoG location does NOT change during cornering.</t>
        </r>
      </text>
    </comment>
    <comment ref="I59" authorId="0" shapeId="0" xr:uid="{D9CF0919-F388-43E4-801B-E66534F1A2F4}">
      <text>
        <r>
          <rPr>
            <b/>
            <sz val="9"/>
            <color indexed="81"/>
            <rFont val="Tahoma"/>
            <family val="2"/>
          </rPr>
          <t>Williams, Justin:</t>
        </r>
        <r>
          <rPr>
            <sz val="9"/>
            <color indexed="81"/>
            <rFont val="Tahoma"/>
            <family val="2"/>
          </rPr>
          <t xml:space="preserve">
Uses Tire Traction Chart on Reference Sheet for now. This data should be updated for whatever tire you are using.</t>
        </r>
      </text>
    </comment>
    <comment ref="I60" authorId="0" shapeId="0" xr:uid="{57ADB480-259E-4D7E-A523-3D77986AD6F0}">
      <text>
        <r>
          <rPr>
            <b/>
            <sz val="9"/>
            <color indexed="81"/>
            <rFont val="Tahoma"/>
            <family val="2"/>
          </rPr>
          <t>Williams, Justin:</t>
        </r>
        <r>
          <rPr>
            <sz val="9"/>
            <color indexed="81"/>
            <rFont val="Tahoma"/>
            <family val="2"/>
          </rPr>
          <t xml:space="preserve">
Uses Tire Traction Chart on Reference Sheet for now. This data should be updated for whatever tire you are using.</t>
        </r>
      </text>
    </comment>
    <comment ref="I61" authorId="0" shapeId="0" xr:uid="{588AA504-305C-4E7B-A650-8EAAA6E48BA4}">
      <text>
        <r>
          <rPr>
            <b/>
            <sz val="9"/>
            <color indexed="81"/>
            <rFont val="Tahoma"/>
            <family val="2"/>
          </rPr>
          <t>Williams, Justin:</t>
        </r>
        <r>
          <rPr>
            <sz val="9"/>
            <color indexed="81"/>
            <rFont val="Tahoma"/>
            <family val="2"/>
          </rPr>
          <t xml:space="preserve">
Uses Tire Traction Chart on Reference Sheet for now. This data should be updated for whatever tire you are using.</t>
        </r>
      </text>
    </comment>
    <comment ref="I62" authorId="0" shapeId="0" xr:uid="{F9348A37-F742-4724-BAF5-09B9509A1691}">
      <text>
        <r>
          <rPr>
            <b/>
            <sz val="9"/>
            <color indexed="81"/>
            <rFont val="Tahoma"/>
            <family val="2"/>
          </rPr>
          <t>Williams, Justin:</t>
        </r>
        <r>
          <rPr>
            <sz val="9"/>
            <color indexed="81"/>
            <rFont val="Tahoma"/>
            <family val="2"/>
          </rPr>
          <t xml:space="preserve">
Uses Tire Traction Chart on Reference Sheet for now. This data should be updated for whatever tire you are using.</t>
        </r>
      </text>
    </comment>
    <comment ref="I104" authorId="0" shapeId="0" xr:uid="{A043CA02-A3BD-4001-AB6F-452167A67341}">
      <text>
        <r>
          <rPr>
            <b/>
            <sz val="9"/>
            <color indexed="81"/>
            <rFont val="Tahoma"/>
            <family val="2"/>
          </rPr>
          <t>Williams, Justin:</t>
        </r>
        <r>
          <rPr>
            <sz val="9"/>
            <color indexed="81"/>
            <rFont val="Tahoma"/>
            <family val="2"/>
          </rPr>
          <t xml:space="preserve">
Total Lateral weight transfer = 
weight transfer due to body roll (centrifugal force ating on CG) + 
WT due to roll center height + 
WT due to unsprung weight</t>
        </r>
      </text>
    </comment>
  </commentList>
</comments>
</file>

<file path=xl/sharedStrings.xml><?xml version="1.0" encoding="utf-8"?>
<sst xmlns="http://schemas.openxmlformats.org/spreadsheetml/2006/main" count="939" uniqueCount="283">
  <si>
    <t>Mass of Vehicle</t>
  </si>
  <si>
    <t>kg</t>
  </si>
  <si>
    <t>lbm</t>
  </si>
  <si>
    <t>Acceleration due to gravity</t>
  </si>
  <si>
    <t>m/s^2</t>
  </si>
  <si>
    <t>ft/s^2</t>
  </si>
  <si>
    <t>Cornering Speed of vehicle</t>
  </si>
  <si>
    <t>kph</t>
  </si>
  <si>
    <t>mph</t>
  </si>
  <si>
    <t>Cornering Radius</t>
  </si>
  <si>
    <t>m</t>
  </si>
  <si>
    <t>ft</t>
  </si>
  <si>
    <t>Centrifugal Force due to Cornering</t>
  </si>
  <si>
    <t>Weight of Vehicle</t>
  </si>
  <si>
    <t>lbf</t>
  </si>
  <si>
    <t>N</t>
  </si>
  <si>
    <t>Radial Speed of Vehicle</t>
  </si>
  <si>
    <t>rad/s</t>
  </si>
  <si>
    <t>Description</t>
  </si>
  <si>
    <t>Abbreviation</t>
  </si>
  <si>
    <t>Value</t>
  </si>
  <si>
    <t>Unit</t>
  </si>
  <si>
    <t>Alt Value</t>
  </si>
  <si>
    <t>Alt Unit</t>
  </si>
  <si>
    <t>Average Cornering Force on each tire</t>
  </si>
  <si>
    <t>Lateral Acceleration</t>
  </si>
  <si>
    <t>g</t>
  </si>
  <si>
    <t>m/s</t>
  </si>
  <si>
    <t>ft/s</t>
  </si>
  <si>
    <t>Tire</t>
  </si>
  <si>
    <t>Higher Slip Angle</t>
  </si>
  <si>
    <t>Less Grip</t>
  </si>
  <si>
    <t>Part</t>
  </si>
  <si>
    <t>Action</t>
  </si>
  <si>
    <t>Effect</t>
  </si>
  <si>
    <t>Changing Pressure</t>
  </si>
  <si>
    <t>Effects grip and oversteer/understeer characteristics. Best to try to avoid changing to change handling characteristics if possible to not sacrifice grip.</t>
  </si>
  <si>
    <t>Not sure this is linear….and thus not always true.</t>
  </si>
  <si>
    <t>Lean top of tire (camber)</t>
  </si>
  <si>
    <t>Bottom of tire wants to go laterally towards top of tire direction.</t>
  </si>
  <si>
    <t>Camber</t>
  </si>
  <si>
    <t>Neutral camber has best tire grip. Positive camber has less grip than negative camber at same angle.</t>
  </si>
  <si>
    <t>Inertia Force</t>
  </si>
  <si>
    <t>Weight Transfer due to fore-aft lean</t>
  </si>
  <si>
    <t>Wheelbase</t>
  </si>
  <si>
    <t>L_wb</t>
  </si>
  <si>
    <t>in</t>
  </si>
  <si>
    <t>mm</t>
  </si>
  <si>
    <t>Height of Center of Gravity</t>
  </si>
  <si>
    <t>Center of Gravity Forward of Rear Axle</t>
  </si>
  <si>
    <t>Center of Gravity Lateral from centerline (neg is towards driver)</t>
  </si>
  <si>
    <t>Static Weight Front</t>
  </si>
  <si>
    <t>Static Weight Rear</t>
  </si>
  <si>
    <t>Static Weight Left</t>
  </si>
  <si>
    <t>Static Weight Right</t>
  </si>
  <si>
    <r>
      <t>m</t>
    </r>
    <r>
      <rPr>
        <vertAlign val="subscript"/>
        <sz val="11"/>
        <color theme="1"/>
        <rFont val="Calibri"/>
        <family val="2"/>
        <scheme val="minor"/>
      </rPr>
      <t>v</t>
    </r>
  </si>
  <si>
    <r>
      <t>W</t>
    </r>
    <r>
      <rPr>
        <vertAlign val="subscript"/>
        <sz val="11"/>
        <color theme="1"/>
        <rFont val="Calibri"/>
        <family val="2"/>
        <scheme val="minor"/>
      </rPr>
      <t>veh</t>
    </r>
  </si>
  <si>
    <r>
      <t>s</t>
    </r>
    <r>
      <rPr>
        <vertAlign val="subscript"/>
        <sz val="11"/>
        <color theme="1"/>
        <rFont val="Calibri"/>
        <family val="2"/>
        <scheme val="minor"/>
      </rPr>
      <t>veh_corn</t>
    </r>
  </si>
  <si>
    <r>
      <t>s</t>
    </r>
    <r>
      <rPr>
        <vertAlign val="subscript"/>
        <sz val="11"/>
        <color theme="1"/>
        <rFont val="Calibri"/>
        <family val="2"/>
        <scheme val="minor"/>
      </rPr>
      <t>veh_corn_mps</t>
    </r>
  </si>
  <si>
    <r>
      <t>R</t>
    </r>
    <r>
      <rPr>
        <vertAlign val="subscript"/>
        <sz val="11"/>
        <color theme="1"/>
        <rFont val="Calibri"/>
        <family val="2"/>
        <scheme val="minor"/>
      </rPr>
      <t>corn</t>
    </r>
  </si>
  <si>
    <t>ω</t>
  </si>
  <si>
    <r>
      <t>F</t>
    </r>
    <r>
      <rPr>
        <vertAlign val="subscript"/>
        <sz val="11"/>
        <color theme="1"/>
        <rFont val="Calibri"/>
        <family val="2"/>
        <scheme val="minor"/>
      </rPr>
      <t>cent</t>
    </r>
  </si>
  <si>
    <r>
      <t>F</t>
    </r>
    <r>
      <rPr>
        <vertAlign val="subscript"/>
        <sz val="11"/>
        <color theme="1"/>
        <rFont val="Calibri"/>
        <family val="2"/>
        <scheme val="minor"/>
      </rPr>
      <t>cent_avg</t>
    </r>
  </si>
  <si>
    <r>
      <t>a</t>
    </r>
    <r>
      <rPr>
        <vertAlign val="subscript"/>
        <sz val="11"/>
        <color theme="1"/>
        <rFont val="Calibri"/>
        <family val="2"/>
        <scheme val="minor"/>
      </rPr>
      <t>lat</t>
    </r>
  </si>
  <si>
    <r>
      <t>g</t>
    </r>
    <r>
      <rPr>
        <vertAlign val="subscript"/>
        <sz val="11"/>
        <color theme="1"/>
        <rFont val="Calibri"/>
        <family val="2"/>
        <scheme val="minor"/>
      </rPr>
      <t>lat</t>
    </r>
  </si>
  <si>
    <r>
      <t>CG</t>
    </r>
    <r>
      <rPr>
        <vertAlign val="subscript"/>
        <sz val="11"/>
        <color theme="1"/>
        <rFont val="Calibri"/>
        <family val="2"/>
        <scheme val="minor"/>
      </rPr>
      <t>height</t>
    </r>
  </si>
  <si>
    <r>
      <t>CG</t>
    </r>
    <r>
      <rPr>
        <vertAlign val="subscript"/>
        <sz val="11"/>
        <color theme="1"/>
        <rFont val="Calibri"/>
        <family val="2"/>
        <scheme val="minor"/>
      </rPr>
      <t>longitudinal_from_rear</t>
    </r>
  </si>
  <si>
    <r>
      <t>CG</t>
    </r>
    <r>
      <rPr>
        <vertAlign val="subscript"/>
        <sz val="11"/>
        <color theme="1"/>
        <rFont val="Calibri"/>
        <family val="2"/>
        <scheme val="minor"/>
      </rPr>
      <t>lateral_from_center</t>
    </r>
  </si>
  <si>
    <r>
      <t>W</t>
    </r>
    <r>
      <rPr>
        <vertAlign val="subscript"/>
        <sz val="11"/>
        <color theme="1"/>
        <rFont val="Calibri"/>
        <family val="2"/>
        <scheme val="minor"/>
      </rPr>
      <t>static_front</t>
    </r>
  </si>
  <si>
    <r>
      <t>W</t>
    </r>
    <r>
      <rPr>
        <vertAlign val="subscript"/>
        <sz val="11"/>
        <color theme="1"/>
        <rFont val="Calibri"/>
        <family val="2"/>
        <scheme val="minor"/>
      </rPr>
      <t>static_rear</t>
    </r>
  </si>
  <si>
    <r>
      <t>W</t>
    </r>
    <r>
      <rPr>
        <vertAlign val="subscript"/>
        <sz val="11"/>
        <color theme="1"/>
        <rFont val="Calibri"/>
        <family val="2"/>
        <scheme val="minor"/>
      </rPr>
      <t>static_left</t>
    </r>
  </si>
  <si>
    <r>
      <t>W</t>
    </r>
    <r>
      <rPr>
        <vertAlign val="subscript"/>
        <sz val="11"/>
        <color theme="1"/>
        <rFont val="Calibri"/>
        <family val="2"/>
        <scheme val="minor"/>
      </rPr>
      <t>static_right</t>
    </r>
  </si>
  <si>
    <r>
      <t>a</t>
    </r>
    <r>
      <rPr>
        <vertAlign val="subscript"/>
        <sz val="11"/>
        <color theme="1"/>
        <rFont val="Calibri"/>
        <family val="2"/>
        <scheme val="minor"/>
      </rPr>
      <t>lon</t>
    </r>
  </si>
  <si>
    <t>Longitudinal Acceleration</t>
  </si>
  <si>
    <t>Weight on Front Tires during Acceleration</t>
  </si>
  <si>
    <r>
      <t>W</t>
    </r>
    <r>
      <rPr>
        <vertAlign val="subscript"/>
        <sz val="11"/>
        <color theme="1"/>
        <rFont val="Calibri"/>
        <family val="2"/>
        <scheme val="minor"/>
      </rPr>
      <t>transfer_accel</t>
    </r>
  </si>
  <si>
    <r>
      <t>F</t>
    </r>
    <r>
      <rPr>
        <vertAlign val="subscript"/>
        <sz val="11"/>
        <color theme="1"/>
        <rFont val="Calibri"/>
        <family val="2"/>
        <scheme val="minor"/>
      </rPr>
      <t>Inertia_accel_lon</t>
    </r>
  </si>
  <si>
    <r>
      <t>W</t>
    </r>
    <r>
      <rPr>
        <vertAlign val="subscript"/>
        <sz val="11"/>
        <color theme="1"/>
        <rFont val="Calibri"/>
        <family val="2"/>
        <scheme val="minor"/>
      </rPr>
      <t>front_tires_accel</t>
    </r>
  </si>
  <si>
    <r>
      <t>W</t>
    </r>
    <r>
      <rPr>
        <vertAlign val="subscript"/>
        <sz val="11"/>
        <color theme="1"/>
        <rFont val="Calibri"/>
        <family val="2"/>
        <scheme val="minor"/>
      </rPr>
      <t>rear_tires_accel</t>
    </r>
  </si>
  <si>
    <t>Max Speed at Radius (Tipping)</t>
  </si>
  <si>
    <t>Weight Transfer due to cornering</t>
  </si>
  <si>
    <r>
      <t>s</t>
    </r>
    <r>
      <rPr>
        <vertAlign val="subscript"/>
        <sz val="11"/>
        <color theme="1"/>
        <rFont val="Calibri"/>
        <family val="2"/>
        <scheme val="minor"/>
      </rPr>
      <t>max_turn_tip</t>
    </r>
  </si>
  <si>
    <r>
      <t>W</t>
    </r>
    <r>
      <rPr>
        <vertAlign val="subscript"/>
        <sz val="11"/>
        <color theme="1"/>
        <rFont val="Calibri"/>
        <family val="2"/>
        <scheme val="minor"/>
      </rPr>
      <t>transfer_corner</t>
    </r>
  </si>
  <si>
    <r>
      <t>s</t>
    </r>
    <r>
      <rPr>
        <vertAlign val="subscript"/>
        <sz val="11"/>
        <color theme="1"/>
        <rFont val="Calibri"/>
        <family val="2"/>
        <scheme val="minor"/>
      </rPr>
      <t>max_turn_tip_mps</t>
    </r>
  </si>
  <si>
    <t>Lateral Acceleration &amp; Weight Transfer due to Cornering</t>
  </si>
  <si>
    <t>Weight Transfer due to Longitudinal Acceleration</t>
  </si>
  <si>
    <t>Front Roll Couple</t>
  </si>
  <si>
    <t>Front Roll Stiffness</t>
  </si>
  <si>
    <t>Rear Roll Stiffness</t>
  </si>
  <si>
    <t>Total Roll Stiffness</t>
  </si>
  <si>
    <t>Rear Roll Couple</t>
  </si>
  <si>
    <t>Total Roll Couple</t>
  </si>
  <si>
    <t>Front Weight Transfer due to Body Roll</t>
  </si>
  <si>
    <t>Front Trackwidth</t>
  </si>
  <si>
    <t>Rear Trackwidth</t>
  </si>
  <si>
    <t>Trackwidth (avg)</t>
  </si>
  <si>
    <t>Rear Weight Transfer due to Body Roll</t>
  </si>
  <si>
    <t>Centrifugal Force on Front Roll Center</t>
  </si>
  <si>
    <t>Centrifugal Force on Rear Roll Center</t>
  </si>
  <si>
    <t>Sprung Weight</t>
  </si>
  <si>
    <t>Unsprung Weight</t>
  </si>
  <si>
    <t>Centrifugal Force due to Sprung Weight Cornering</t>
  </si>
  <si>
    <t>Center of Gravity of Sprung Weight from Rear Axle</t>
  </si>
  <si>
    <t>Ratio of Sprung to Unsprung Weight</t>
  </si>
  <si>
    <t>Ratio of Sprung to Total Weight</t>
  </si>
  <si>
    <r>
      <t>L</t>
    </r>
    <r>
      <rPr>
        <vertAlign val="subscript"/>
        <sz val="11"/>
        <color theme="1"/>
        <rFont val="Calibri"/>
        <family val="2"/>
        <scheme val="minor"/>
      </rPr>
      <t>wb</t>
    </r>
  </si>
  <si>
    <r>
      <t>L</t>
    </r>
    <r>
      <rPr>
        <vertAlign val="subscript"/>
        <sz val="11"/>
        <color theme="1"/>
        <rFont val="Calibri"/>
        <family val="2"/>
        <scheme val="minor"/>
      </rPr>
      <t>tw</t>
    </r>
  </si>
  <si>
    <r>
      <t>L</t>
    </r>
    <r>
      <rPr>
        <vertAlign val="subscript"/>
        <sz val="11"/>
        <color theme="1"/>
        <rFont val="Calibri"/>
        <family val="2"/>
        <scheme val="minor"/>
      </rPr>
      <t>tw_rear</t>
    </r>
  </si>
  <si>
    <r>
      <t>L</t>
    </r>
    <r>
      <rPr>
        <vertAlign val="subscript"/>
        <sz val="11"/>
        <color theme="1"/>
        <rFont val="Calibri"/>
        <family val="2"/>
        <scheme val="minor"/>
      </rPr>
      <t>tw_front</t>
    </r>
  </si>
  <si>
    <t>Front Weight Transfer due to Roll-Center Height</t>
  </si>
  <si>
    <t>Front Roll Center Height</t>
  </si>
  <si>
    <t>Rear Roll Center Height</t>
  </si>
  <si>
    <t>Rear Weight Transfer due to Roll-Center Height</t>
  </si>
  <si>
    <t>Centrifugal Force on Unsprung Front Components</t>
  </si>
  <si>
    <t>Centrifugal Force on Unsprung Rear Components</t>
  </si>
  <si>
    <t>Rear Unsprung Weight</t>
  </si>
  <si>
    <t>Front Unsprung Weight</t>
  </si>
  <si>
    <t>Front Weight Transfer due to Unsprung Mass</t>
  </si>
  <si>
    <t>Front Unsprung Mass Center of Gravity Height</t>
  </si>
  <si>
    <t>Rear Unsprung Mass Center of Gravity Height</t>
  </si>
  <si>
    <t>Rear Total Weight Transfer</t>
  </si>
  <si>
    <t>Front Total Weight Transfer</t>
  </si>
  <si>
    <t>Rear Weight Transfer due to Unsprung Mass</t>
  </si>
  <si>
    <t>N*mm/deg</t>
  </si>
  <si>
    <t>lbf*in/deg</t>
  </si>
  <si>
    <t>Weight on Rear Tires during Acceleration</t>
  </si>
  <si>
    <t>Topic</t>
  </si>
  <si>
    <t>Bump Steer</t>
  </si>
  <si>
    <t>Change in toe/tire direction through suspension travel range.</t>
  </si>
  <si>
    <t>Sprung Weight Front</t>
  </si>
  <si>
    <t>Sprung Weight Rear</t>
  </si>
  <si>
    <t>Front Spring Rate</t>
  </si>
  <si>
    <t>N/mm</t>
  </si>
  <si>
    <t>Rear Spring Rate</t>
  </si>
  <si>
    <t>Hz</t>
  </si>
  <si>
    <t>Natural Frequency of Suspension</t>
  </si>
  <si>
    <t>Front Suspension Natural Frequency</t>
  </si>
  <si>
    <t>Rear Suspension Natural Frequency</t>
  </si>
  <si>
    <t>Ratio of Sprung to Unsprung Weight of Rear</t>
  </si>
  <si>
    <t>Ratio of Sprung to Unsprung Weight of Front</t>
  </si>
  <si>
    <t>-</t>
  </si>
  <si>
    <t>lbf/in</t>
  </si>
  <si>
    <t>Time Delay for Bump affecting Rear after affecting Front</t>
  </si>
  <si>
    <t>Speed of Vehicle</t>
  </si>
  <si>
    <t>Speed of Vehicle (mps)</t>
  </si>
  <si>
    <t>s</t>
  </si>
  <si>
    <t>ms</t>
  </si>
  <si>
    <t>Natural Period of Front</t>
  </si>
  <si>
    <t>Natural Period of Rear</t>
  </si>
  <si>
    <t>Ideal Natural Period of Front at Speed of Vehicle</t>
  </si>
  <si>
    <t>Ideal Front Suspension Natural Frequency at Speed of Vehicle</t>
  </si>
  <si>
    <t>Diameter of Spring Wire</t>
  </si>
  <si>
    <t>G</t>
  </si>
  <si>
    <t>N_free</t>
  </si>
  <si>
    <t>Number of free coils</t>
  </si>
  <si>
    <t>Number of active coils</t>
  </si>
  <si>
    <t>N_active</t>
  </si>
  <si>
    <t>Diameter of coil (to center of wire)</t>
  </si>
  <si>
    <t>Spring Stiffness</t>
  </si>
  <si>
    <t>Outer Diameter of Coil</t>
  </si>
  <si>
    <t>Shear Modulus</t>
  </si>
  <si>
    <t>psi</t>
  </si>
  <si>
    <t>Mpa</t>
  </si>
  <si>
    <t>N/m</t>
  </si>
  <si>
    <t>d_wire</t>
  </si>
  <si>
    <t>d_outer</t>
  </si>
  <si>
    <t>d</t>
  </si>
  <si>
    <t>k</t>
  </si>
  <si>
    <t>Vertical Load</t>
  </si>
  <si>
    <t>Traction Available</t>
  </si>
  <si>
    <t>Cornering Efficiency</t>
  </si>
  <si>
    <t>Vertical Load Applied</t>
  </si>
  <si>
    <t>Tire Cornering Efficiency</t>
  </si>
  <si>
    <t>Available Tire Traction Force</t>
  </si>
  <si>
    <t>x</t>
  </si>
  <si>
    <t>y</t>
  </si>
  <si>
    <t>angle</t>
  </si>
  <si>
    <t>index</t>
  </si>
  <si>
    <t>label</t>
  </si>
  <si>
    <t>Right Turn</t>
  </si>
  <si>
    <t>Full Accel</t>
  </si>
  <si>
    <t>Left Turn</t>
  </si>
  <si>
    <t>Full Brake</t>
  </si>
  <si>
    <t>Static Weight Distribution Front</t>
  </si>
  <si>
    <t>Static Weight Distribution Left</t>
  </si>
  <si>
    <t>Static Weight Distribution Front Left</t>
  </si>
  <si>
    <t>Static Weight Distribution Front Right</t>
  </si>
  <si>
    <t>Static Weight Distribution Rear Left</t>
  </si>
  <si>
    <t>Static Weight Distribution Rear Right</t>
  </si>
  <si>
    <t>Weight Transfer due to Lateral (Cornering) and Longitudinal Acceleration</t>
  </si>
  <si>
    <t>Inertia Force (longitudinal acceleration)</t>
  </si>
  <si>
    <t>Direction of Turn</t>
  </si>
  <si>
    <t>Dir_turn</t>
  </si>
  <si>
    <t>Direction_of_Turn</t>
  </si>
  <si>
    <t>Left</t>
  </si>
  <si>
    <t>Right</t>
  </si>
  <si>
    <t>Weight on Front Tires during Longitudinal Acceleration</t>
  </si>
  <si>
    <t>Weight on Rear Tires during Longitudinal Acceleration</t>
  </si>
  <si>
    <t>Static Tire Loading - Front Left</t>
  </si>
  <si>
    <t>Satic Tire Loading - Front Right</t>
  </si>
  <si>
    <t>Satic Tire Loading - Rear Left</t>
  </si>
  <si>
    <t>Satic Tire Loading - Rear Right</t>
  </si>
  <si>
    <t>Tire Dynamic Load - Front Left</t>
  </si>
  <si>
    <t>Tire Dynamic Load - Front Right</t>
  </si>
  <si>
    <t>Tire Dynamic Load - Rear Left</t>
  </si>
  <si>
    <t>Tire Dynamic Load - Rear Right</t>
  </si>
  <si>
    <t>Tire Traction Available - Front Left</t>
  </si>
  <si>
    <t>Tire Traction Available - Front Right</t>
  </si>
  <si>
    <t>Tire Traction Available - Rear Left</t>
  </si>
  <si>
    <t>Tire Traction Available - Rear Right</t>
  </si>
  <si>
    <t>A</t>
  </si>
  <si>
    <t>B</t>
  </si>
  <si>
    <t>C</t>
  </si>
  <si>
    <t>D</t>
  </si>
  <si>
    <t>E</t>
  </si>
  <si>
    <t>Front Cornering 'Force'</t>
  </si>
  <si>
    <t>Rear Cornering 'Force'</t>
  </si>
  <si>
    <t>Total Cornering 'Force'</t>
  </si>
  <si>
    <t>Tendency to Under/Over Steer</t>
  </si>
  <si>
    <t>Limiting Cornering 'Force'</t>
  </si>
  <si>
    <t>Wedge Weight</t>
  </si>
  <si>
    <t>Wedge Location</t>
  </si>
  <si>
    <t>Tire Location</t>
  </si>
  <si>
    <t>Front Left</t>
  </si>
  <si>
    <t>Front Right</t>
  </si>
  <si>
    <t>Rear Left</t>
  </si>
  <si>
    <t>Rear Right</t>
  </si>
  <si>
    <t>Trackwidth (Avg)</t>
  </si>
  <si>
    <t>Body Roll</t>
  </si>
  <si>
    <t>Body roll on front and rear affects over/understeer</t>
  </si>
  <si>
    <t>Body Rolll</t>
  </si>
  <si>
    <t>When car rolls, tires change camber angle to track. Best way to reduce is to change roll stiffness of suspension by using stabalizer bars.</t>
  </si>
  <si>
    <t>Weight Transfer - Front Left</t>
  </si>
  <si>
    <t>Weight Transfer - Front Right</t>
  </si>
  <si>
    <t>Weight Transfer - Rear Left</t>
  </si>
  <si>
    <t>Weight Transfer - Rear Right</t>
  </si>
  <si>
    <t>Static Left-Side Weight Bias</t>
  </si>
  <si>
    <t>Lateral Weight Transfer due to Cornering</t>
  </si>
  <si>
    <t>Lateral Weight Transfer due to Cornering (Rear)</t>
  </si>
  <si>
    <t>Lateral Weight Transfer due to Cornering (Front)</t>
  </si>
  <si>
    <t>Lateral Weight Transfer due to Front Stabalizer Bar</t>
  </si>
  <si>
    <t>Lateral Weight Transfer due to Rear Stabalizer Bar</t>
  </si>
  <si>
    <t>Roll stiffness</t>
  </si>
  <si>
    <t>increase rear roll stiffness reduces understeer. (Stiffening roll stiffness in front increases understeer, stiffening roll stiffness in rear increases oversteer).</t>
  </si>
  <si>
    <t>Sprung Weight on Front Left Tire</t>
  </si>
  <si>
    <t>Sprung Weight on Front Right Tire</t>
  </si>
  <si>
    <t>Sprung Weight on Rear Right Tire</t>
  </si>
  <si>
    <t>Sprung Weight on Rear Left Tire</t>
  </si>
  <si>
    <t>Want to account for cornering force changing distribution of unsprung weight</t>
  </si>
  <si>
    <t>Sprung Weight on Front Left Tire (Static Load Only)</t>
  </si>
  <si>
    <t>Sprung Weight on Front Right Tire (Static Load Only)</t>
  </si>
  <si>
    <t>Sprung Weight on Rear Left Tire (Static Load Only)</t>
  </si>
  <si>
    <t>Sprung Weight on Rear Right Tire (Static Load Only)</t>
  </si>
  <si>
    <t>Spring Rate</t>
  </si>
  <si>
    <t>Spring Load</t>
  </si>
  <si>
    <t>Spring Stiffness (Spring Rate)</t>
  </si>
  <si>
    <t>Distance fom Control Arm Inner Conctrol Arm Pivots to Center Point where Spring acts on Lower Control Arm</t>
  </si>
  <si>
    <t>a</t>
  </si>
  <si>
    <t>b</t>
  </si>
  <si>
    <t>c</t>
  </si>
  <si>
    <t>Length of Lower Control Arm from Ball Joint to Inner Pivots</t>
  </si>
  <si>
    <t>Distance from Center of Tire Contact Patch to Front Suspension Instanct Center</t>
  </si>
  <si>
    <t>Wheel Rate</t>
  </si>
  <si>
    <t>Ratio of Spring Lever Arm to Ball Joint Lever Arm</t>
  </si>
  <si>
    <t>Ratio of Ball Joint to Instant Center Distance to Tire Patch Center to Instant Center Distance</t>
  </si>
  <si>
    <t>Wheel Rate
(if spring not mounted directly to axle)
(Use this for typical independent suspension)</t>
  </si>
  <si>
    <t>Distance from Lower Ball Joint to Front Suspension Instant Center
(Believe instant center is point made by intersecting lines from lower ball joint to lower control arm pivots out with the line of the upper ball joint ot the upper control armpivots)</t>
  </si>
  <si>
    <t>Ratio of Wheel Rate to Spring Rate</t>
  </si>
  <si>
    <t>Coil Spring Stiffness (Rate)</t>
  </si>
  <si>
    <t>Leaf Spring Stiffness (Rate)</t>
  </si>
  <si>
    <t>Width of Leaves</t>
  </si>
  <si>
    <t>Young's Modulus</t>
  </si>
  <si>
    <t>GPa</t>
  </si>
  <si>
    <t>Number of  Leaves</t>
  </si>
  <si>
    <t>Thickness of Leaves</t>
  </si>
  <si>
    <t>t</t>
  </si>
  <si>
    <t>W</t>
  </si>
  <si>
    <t>L</t>
  </si>
  <si>
    <t>Leaf_Spring_Types</t>
  </si>
  <si>
    <t>Semi-Elliptic Laminated</t>
  </si>
  <si>
    <t>Quarter-Elliptic Laminated</t>
  </si>
  <si>
    <t>Leaf Spring Type</t>
  </si>
  <si>
    <t>Length of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</si>
</sst>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
    <numFmt numFmtId="167" formatCode="0.0%"/>
    <numFmt numFmtId="168" formatCode="0.00000000000"/>
    <numFmt numFmtId="169" formatCode="0.0000000000"/>
    <numFmt numFmtId="170" formatCode="0.0000000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vertAlign val="subscript"/>
      <sz val="11"/>
      <color theme="1"/>
      <name val="Calibri"/>
      <family val="2"/>
      <scheme val="minor"/>
    </font>
    <font>
      <sz val="11"/>
      <color theme="1"/>
      <name val="Calibri"/>
      <family val="2"/>
    </font>
    <font>
      <sz val="9"/>
      <color indexed="81"/>
      <name val="Tahoma"/>
      <family val="2"/>
    </font>
    <font>
      <b/>
      <sz val="9"/>
      <color indexed="81"/>
      <name val="Tahoma"/>
      <family val="2"/>
    </font>
    <font>
      <sz val="11"/>
      <color theme="1"/>
      <name val="Calibri"/>
      <family val="2"/>
      <scheme val="minor"/>
    </font>
    <font>
      <i/>
      <sz val="11"/>
      <color theme="1"/>
      <name val="Calibri"/>
      <family val="2"/>
      <scheme val="minor"/>
    </font>
    <font>
      <sz val="11"/>
      <color theme="0" tint="-0.499984740745262"/>
      <name val="Calibri"/>
      <family val="2"/>
      <scheme val="minor"/>
    </font>
    <font>
      <sz val="11"/>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s>
  <cellStyleXfs count="2">
    <xf numFmtId="0" fontId="0" fillId="0" borderId="0"/>
    <xf numFmtId="9" fontId="7" fillId="0" borderId="0" applyFont="0" applyFill="0" applyBorder="0" applyAlignment="0" applyProtection="0"/>
  </cellStyleXfs>
  <cellXfs count="164">
    <xf numFmtId="0" fontId="0" fillId="0" borderId="0" xfId="0"/>
    <xf numFmtId="0" fontId="1" fillId="0" borderId="0" xfId="0" applyFont="1"/>
    <xf numFmtId="0" fontId="0" fillId="0" borderId="1" xfId="0" applyBorder="1"/>
    <xf numFmtId="0" fontId="0" fillId="0" borderId="2" xfId="0" applyBorder="1"/>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applyFill="1" applyBorder="1"/>
    <xf numFmtId="0" fontId="0" fillId="2" borderId="2" xfId="0" applyFill="1" applyBorder="1"/>
    <xf numFmtId="0" fontId="0" fillId="2" borderId="1" xfId="0" applyFill="1" applyBorder="1"/>
    <xf numFmtId="0" fontId="4" fillId="0" borderId="1" xfId="0" applyFont="1" applyBorder="1"/>
    <xf numFmtId="0" fontId="0" fillId="0" borderId="6"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2" xfId="0" applyFill="1" applyBorder="1"/>
    <xf numFmtId="0" fontId="0" fillId="0" borderId="13" xfId="0" applyFill="1" applyBorder="1"/>
    <xf numFmtId="0" fontId="0" fillId="0" borderId="15" xfId="0" applyBorder="1"/>
    <xf numFmtId="0" fontId="0" fillId="0" borderId="14" xfId="0" applyBorder="1"/>
    <xf numFmtId="0" fontId="0" fillId="0" borderId="16" xfId="0" applyBorder="1"/>
    <xf numFmtId="2" fontId="0" fillId="0" borderId="1" xfId="0" applyNumberFormat="1" applyBorder="1"/>
    <xf numFmtId="164" fontId="0" fillId="0" borderId="1" xfId="0" applyNumberFormat="1" applyBorder="1"/>
    <xf numFmtId="2" fontId="0" fillId="0" borderId="15" xfId="0" applyNumberFormat="1" applyBorder="1"/>
    <xf numFmtId="165" fontId="0" fillId="0" borderId="1" xfId="0" applyNumberFormat="1" applyBorder="1"/>
    <xf numFmtId="166" fontId="0" fillId="0" borderId="1" xfId="0" applyNumberFormat="1" applyBorder="1"/>
    <xf numFmtId="2" fontId="0" fillId="0" borderId="2" xfId="0" applyNumberFormat="1" applyBorder="1"/>
    <xf numFmtId="0" fontId="0" fillId="0" borderId="17" xfId="0" applyFill="1" applyBorder="1"/>
    <xf numFmtId="0" fontId="0" fillId="0" borderId="18" xfId="0" applyFill="1" applyBorder="1"/>
    <xf numFmtId="0" fontId="0" fillId="0" borderId="18" xfId="0" applyBorder="1"/>
    <xf numFmtId="0" fontId="0" fillId="0" borderId="19" xfId="0" applyFill="1" applyBorder="1"/>
    <xf numFmtId="165" fontId="0" fillId="2" borderId="1" xfId="0" applyNumberFormat="1" applyFill="1" applyBorder="1"/>
    <xf numFmtId="0" fontId="0" fillId="0" borderId="20" xfId="0" applyBorder="1"/>
    <xf numFmtId="0" fontId="0" fillId="0" borderId="21" xfId="0" applyBorder="1"/>
    <xf numFmtId="2" fontId="0" fillId="0" borderId="21" xfId="0" applyNumberFormat="1" applyBorder="1"/>
    <xf numFmtId="0" fontId="0" fillId="0" borderId="22" xfId="0" applyBorder="1"/>
    <xf numFmtId="165" fontId="0" fillId="2" borderId="2" xfId="0" applyNumberFormat="1" applyFill="1" applyBorder="1"/>
    <xf numFmtId="165" fontId="0" fillId="2" borderId="21" xfId="0" applyNumberFormat="1" applyFill="1" applyBorder="1"/>
    <xf numFmtId="165" fontId="0" fillId="0" borderId="1" xfId="0" applyNumberFormat="1" applyFill="1" applyBorder="1"/>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0" fillId="2" borderId="21" xfId="0" applyFill="1" applyBorder="1"/>
    <xf numFmtId="0" fontId="0" fillId="0" borderId="14" xfId="0" applyFill="1" applyBorder="1"/>
    <xf numFmtId="0" fontId="0" fillId="0" borderId="15" xfId="0" applyFill="1" applyBorder="1"/>
    <xf numFmtId="0" fontId="0" fillId="0" borderId="17" xfId="0" applyBorder="1"/>
    <xf numFmtId="165" fontId="0" fillId="0" borderId="18" xfId="0" applyNumberFormat="1" applyBorder="1"/>
    <xf numFmtId="0" fontId="0" fillId="0" borderId="19" xfId="0" applyBorder="1"/>
    <xf numFmtId="0" fontId="0" fillId="0" borderId="10" xfId="0" applyFill="1" applyBorder="1"/>
    <xf numFmtId="0" fontId="0" fillId="0" borderId="2" xfId="0" applyFill="1" applyBorder="1"/>
    <xf numFmtId="0" fontId="0" fillId="0" borderId="22" xfId="0" applyFill="1" applyBorder="1"/>
    <xf numFmtId="0" fontId="0" fillId="0" borderId="16" xfId="0" applyFill="1" applyBorder="1"/>
    <xf numFmtId="0" fontId="0" fillId="0" borderId="20" xfId="0" applyFill="1" applyBorder="1"/>
    <xf numFmtId="0" fontId="0" fillId="0" borderId="0" xfId="0" applyFont="1"/>
    <xf numFmtId="0" fontId="0" fillId="0" borderId="1" xfId="0" applyFont="1" applyBorder="1"/>
    <xf numFmtId="0" fontId="0" fillId="0" borderId="1" xfId="0" applyFont="1" applyFill="1" applyBorder="1"/>
    <xf numFmtId="164" fontId="0" fillId="0" borderId="1" xfId="0" applyNumberFormat="1" applyFont="1" applyBorder="1"/>
    <xf numFmtId="0" fontId="0" fillId="0" borderId="20" xfId="0" applyFont="1" applyBorder="1" applyAlignment="1">
      <alignment horizontal="center" vertical="center" wrapText="1"/>
    </xf>
    <xf numFmtId="0" fontId="0" fillId="0" borderId="21" xfId="0" applyFont="1" applyBorder="1"/>
    <xf numFmtId="0" fontId="0" fillId="0" borderId="22" xfId="0" applyFont="1" applyBorder="1"/>
    <xf numFmtId="0" fontId="0" fillId="0" borderId="12" xfId="0" applyFont="1" applyBorder="1" applyAlignment="1">
      <alignment horizontal="center" vertical="center" wrapText="1"/>
    </xf>
    <xf numFmtId="0" fontId="0" fillId="0" borderId="13" xfId="0" applyFont="1" applyBorder="1"/>
    <xf numFmtId="0" fontId="0" fillId="0" borderId="12" xfId="0" applyFont="1" applyBorder="1"/>
    <xf numFmtId="0" fontId="0" fillId="0" borderId="13" xfId="0" applyFont="1" applyFill="1" applyBorder="1"/>
    <xf numFmtId="0" fontId="0" fillId="0" borderId="14" xfId="0" applyFont="1" applyBorder="1"/>
    <xf numFmtId="0" fontId="0" fillId="0" borderId="15" xfId="0" applyFont="1" applyBorder="1"/>
    <xf numFmtId="0" fontId="0" fillId="0" borderId="16" xfId="0" applyFont="1" applyFill="1" applyBorder="1"/>
    <xf numFmtId="9" fontId="0" fillId="0" borderId="0" xfId="1" applyFont="1"/>
    <xf numFmtId="167" fontId="0" fillId="0" borderId="1" xfId="1" applyNumberFormat="1" applyFont="1" applyBorder="1"/>
    <xf numFmtId="2" fontId="0" fillId="0" borderId="18" xfId="0" applyNumberFormat="1" applyBorder="1"/>
    <xf numFmtId="165" fontId="0" fillId="0" borderId="15" xfId="0" applyNumberFormat="1" applyBorder="1"/>
    <xf numFmtId="0" fontId="0" fillId="0" borderId="11" xfId="0" applyFill="1" applyBorder="1"/>
    <xf numFmtId="0" fontId="0" fillId="2" borderId="1" xfId="0" applyNumberFormat="1" applyFill="1" applyBorder="1"/>
    <xf numFmtId="168" fontId="0" fillId="0" borderId="0" xfId="0" applyNumberFormat="1"/>
    <xf numFmtId="169" fontId="0" fillId="0" borderId="0" xfId="0" applyNumberFormat="1"/>
    <xf numFmtId="165" fontId="0" fillId="0" borderId="0" xfId="0" applyNumberFormat="1"/>
    <xf numFmtId="0" fontId="0" fillId="3" borderId="12" xfId="0" applyFill="1" applyBorder="1"/>
    <xf numFmtId="0" fontId="0" fillId="3" borderId="1" xfId="0" applyFill="1" applyBorder="1"/>
    <xf numFmtId="165" fontId="0" fillId="3" borderId="1" xfId="0" applyNumberFormat="1" applyFill="1" applyBorder="1"/>
    <xf numFmtId="0" fontId="0" fillId="3" borderId="13" xfId="0" applyFill="1" applyBorder="1"/>
    <xf numFmtId="167" fontId="0" fillId="3" borderId="1" xfId="1" applyNumberFormat="1" applyFont="1" applyFill="1" applyBorder="1"/>
    <xf numFmtId="2" fontId="0" fillId="3" borderId="1" xfId="0" applyNumberFormat="1" applyFill="1" applyBorder="1"/>
    <xf numFmtId="0" fontId="0" fillId="3" borderId="10" xfId="0" applyFill="1" applyBorder="1"/>
    <xf numFmtId="0" fontId="0" fillId="3" borderId="2" xfId="0" applyFill="1" applyBorder="1"/>
    <xf numFmtId="0" fontId="0" fillId="3" borderId="17" xfId="0" applyFill="1" applyBorder="1"/>
    <xf numFmtId="0" fontId="0" fillId="3" borderId="18" xfId="0" applyFill="1" applyBorder="1"/>
    <xf numFmtId="165" fontId="0" fillId="3" borderId="18" xfId="0" applyNumberFormat="1" applyFill="1" applyBorder="1"/>
    <xf numFmtId="2" fontId="0" fillId="3" borderId="18" xfId="0" applyNumberFormat="1" applyFill="1" applyBorder="1"/>
    <xf numFmtId="0" fontId="0" fillId="3" borderId="19" xfId="0" applyFill="1" applyBorder="1"/>
    <xf numFmtId="2" fontId="0" fillId="3" borderId="2" xfId="0" applyNumberFormat="1" applyFill="1" applyBorder="1"/>
    <xf numFmtId="0" fontId="0" fillId="3" borderId="11" xfId="0" applyFill="1" applyBorder="1"/>
    <xf numFmtId="0" fontId="0" fillId="3" borderId="20" xfId="0" applyFill="1" applyBorder="1"/>
    <xf numFmtId="0" fontId="0" fillId="3" borderId="21" xfId="0" applyFill="1" applyBorder="1"/>
    <xf numFmtId="2" fontId="0" fillId="3" borderId="21" xfId="0" applyNumberFormat="1" applyFill="1" applyBorder="1"/>
    <xf numFmtId="0" fontId="0" fillId="3" borderId="22" xfId="0" applyFill="1" applyBorder="1"/>
    <xf numFmtId="164" fontId="0" fillId="2" borderId="21" xfId="0" applyNumberFormat="1" applyFill="1" applyBorder="1"/>
    <xf numFmtId="0" fontId="4" fillId="3" borderId="1" xfId="0" applyFont="1" applyFill="1" applyBorder="1"/>
    <xf numFmtId="0" fontId="0" fillId="4" borderId="1" xfId="0" applyFill="1" applyBorder="1"/>
    <xf numFmtId="165" fontId="0" fillId="0" borderId="12" xfId="0" applyNumberFormat="1" applyBorder="1"/>
    <xf numFmtId="9" fontId="0" fillId="0" borderId="13" xfId="1" applyFont="1" applyBorder="1"/>
    <xf numFmtId="9" fontId="0" fillId="0" borderId="13" xfId="1" applyNumberFormat="1" applyFont="1" applyBorder="1"/>
    <xf numFmtId="9" fontId="0" fillId="0" borderId="16" xfId="1" applyFont="1" applyBorder="1"/>
    <xf numFmtId="165" fontId="0" fillId="0" borderId="10" xfId="0" applyNumberFormat="1" applyBorder="1"/>
    <xf numFmtId="165" fontId="0" fillId="0" borderId="2" xfId="0" applyNumberFormat="1" applyBorder="1"/>
    <xf numFmtId="9" fontId="0" fillId="0" borderId="11" xfId="1" applyFont="1" applyBorder="1"/>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0" fillId="3" borderId="14" xfId="0" applyFill="1" applyBorder="1"/>
    <xf numFmtId="0" fontId="0" fillId="3" borderId="15" xfId="0" applyFill="1" applyBorder="1"/>
    <xf numFmtId="0" fontId="0" fillId="3" borderId="16" xfId="0" applyFill="1" applyBorder="1"/>
    <xf numFmtId="2" fontId="0" fillId="0" borderId="1" xfId="0" applyNumberFormat="1" applyFill="1" applyBorder="1"/>
    <xf numFmtId="0" fontId="0" fillId="0" borderId="21" xfId="0" applyFill="1" applyBorder="1"/>
    <xf numFmtId="2" fontId="0" fillId="0" borderId="21" xfId="0" applyNumberFormat="1" applyFill="1" applyBorder="1"/>
    <xf numFmtId="170" fontId="0" fillId="0" borderId="0" xfId="0" applyNumberFormat="1" applyFont="1"/>
    <xf numFmtId="167" fontId="0" fillId="0" borderId="2" xfId="1" applyNumberFormat="1" applyFont="1" applyBorder="1"/>
    <xf numFmtId="170" fontId="0" fillId="0" borderId="0" xfId="0" applyNumberFormat="1"/>
    <xf numFmtId="1" fontId="0" fillId="0" borderId="0" xfId="0" applyNumberFormat="1"/>
    <xf numFmtId="1" fontId="0" fillId="0" borderId="1" xfId="0" applyNumberFormat="1" applyBorder="1"/>
    <xf numFmtId="1" fontId="0" fillId="0" borderId="15" xfId="0" applyNumberFormat="1" applyBorder="1"/>
    <xf numFmtId="165" fontId="0" fillId="0" borderId="0" xfId="0" applyNumberFormat="1" applyFont="1"/>
    <xf numFmtId="165" fontId="0" fillId="2" borderId="15" xfId="0" applyNumberFormat="1" applyFill="1" applyBorder="1"/>
    <xf numFmtId="2" fontId="0" fillId="3" borderId="15" xfId="0" applyNumberFormat="1" applyFill="1" applyBorder="1"/>
    <xf numFmtId="2" fontId="0" fillId="0" borderId="2" xfId="0" applyNumberFormat="1" applyFill="1" applyBorder="1"/>
    <xf numFmtId="2" fontId="0" fillId="0" borderId="18" xfId="0" applyNumberFormat="1" applyFill="1" applyBorder="1"/>
    <xf numFmtId="0" fontId="0" fillId="0" borderId="20" xfId="0" applyFont="1" applyBorder="1" applyAlignment="1">
      <alignment horizontal="left" vertical="center" wrapText="1"/>
    </xf>
    <xf numFmtId="0" fontId="0" fillId="0" borderId="12" xfId="0" applyFont="1" applyBorder="1" applyAlignment="1">
      <alignment horizontal="left" vertical="center" wrapText="1"/>
    </xf>
    <xf numFmtId="0" fontId="0" fillId="3" borderId="27" xfId="0" applyFill="1" applyBorder="1"/>
    <xf numFmtId="2" fontId="0" fillId="3" borderId="15" xfId="0" applyNumberFormat="1" applyFill="1" applyBorder="1" applyAlignment="1">
      <alignment horizontal="right"/>
    </xf>
    <xf numFmtId="164" fontId="0" fillId="0" borderId="1" xfId="0" applyNumberFormat="1" applyFill="1" applyBorder="1"/>
    <xf numFmtId="164" fontId="0" fillId="0" borderId="15" xfId="0" applyNumberFormat="1" applyFill="1" applyBorder="1"/>
    <xf numFmtId="0" fontId="9" fillId="0" borderId="12" xfId="0" applyFont="1" applyBorder="1"/>
    <xf numFmtId="0" fontId="9" fillId="0" borderId="1" xfId="0" applyFont="1" applyBorder="1"/>
    <xf numFmtId="165" fontId="9" fillId="0" borderId="1" xfId="0" applyNumberFormat="1" applyFont="1" applyBorder="1"/>
    <xf numFmtId="2" fontId="9" fillId="0" borderId="1" xfId="0" applyNumberFormat="1" applyFont="1" applyBorder="1"/>
    <xf numFmtId="0" fontId="9" fillId="0" borderId="13" xfId="0" applyFont="1" applyBorder="1"/>
    <xf numFmtId="164" fontId="0" fillId="0" borderId="2" xfId="0" applyNumberFormat="1" applyFill="1" applyBorder="1"/>
    <xf numFmtId="0" fontId="0" fillId="5" borderId="21" xfId="0" applyFill="1" applyBorder="1"/>
    <xf numFmtId="0" fontId="0" fillId="5" borderId="15" xfId="0" applyFill="1" applyBorder="1"/>
    <xf numFmtId="0" fontId="9" fillId="0" borderId="0" xfId="0" applyFont="1"/>
    <xf numFmtId="0" fontId="10" fillId="0" borderId="0" xfId="0" applyFont="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3" xfId="0" applyBorder="1" applyAlignment="1">
      <alignment horizontal="center"/>
    </xf>
    <xf numFmtId="0" fontId="0" fillId="0" borderId="0" xfId="0" applyFont="1" applyFill="1" applyBorder="1"/>
    <xf numFmtId="0" fontId="0" fillId="0" borderId="2" xfId="0" applyFont="1" applyBorder="1"/>
    <xf numFmtId="0" fontId="0" fillId="0" borderId="2" xfId="0" applyFont="1" applyFill="1" applyBorder="1"/>
    <xf numFmtId="0" fontId="0" fillId="0" borderId="23" xfId="0" applyBorder="1" applyAlignment="1">
      <alignment horizontal="center" wrapText="1"/>
    </xf>
    <xf numFmtId="0" fontId="0" fillId="0" borderId="2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0" fillId="0" borderId="0" xfId="0" applyFont="1" applyBorder="1"/>
    <xf numFmtId="0" fontId="0" fillId="0" borderId="0" xfId="0" applyBorder="1" applyAlignment="1">
      <alignment horizontal="center" vertical="center"/>
    </xf>
    <xf numFmtId="0" fontId="0" fillId="0" borderId="10" xfId="0" applyFont="1" applyBorder="1"/>
    <xf numFmtId="0" fontId="0" fillId="0" borderId="11" xfId="0" applyFont="1" applyFill="1" applyBorder="1"/>
    <xf numFmtId="0" fontId="0" fillId="2" borderId="2" xfId="0" applyFill="1" applyBorder="1" applyAlignment="1">
      <alignment horizontal="center"/>
    </xf>
    <xf numFmtId="0" fontId="0" fillId="0" borderId="12" xfId="0"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Circle of Traction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Reference!$M$18</c:f>
              <c:strCache>
                <c:ptCount val="1"/>
                <c:pt idx="0">
                  <c:v>y</c:v>
                </c:pt>
              </c:strCache>
            </c:strRef>
          </c:tx>
          <c:spPr>
            <a:ln w="12700" cap="rnd">
              <a:solidFill>
                <a:schemeClr val="tx1"/>
              </a:solidFill>
              <a:round/>
            </a:ln>
            <a:effectLst/>
          </c:spPr>
          <c:marker>
            <c:symbol val="none"/>
          </c:marker>
          <c:dLbls>
            <c:dLbl>
              <c:idx val="0"/>
              <c:tx>
                <c:rich>
                  <a:bodyPr/>
                  <a:lstStyle/>
                  <a:p>
                    <a:fld id="{84FC4F0B-1B6E-4BCF-8195-9216793C5B0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F61-46FE-97D7-9F1925C625FE}"/>
                </c:ext>
              </c:extLst>
            </c:dLbl>
            <c:dLbl>
              <c:idx val="1"/>
              <c:tx>
                <c:rich>
                  <a:bodyPr/>
                  <a:lstStyle/>
                  <a:p>
                    <a:fld id="{CD069CD7-9FDD-4ABD-81C2-AA876915E11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F61-46FE-97D7-9F1925C625FE}"/>
                </c:ext>
              </c:extLst>
            </c:dLbl>
            <c:dLbl>
              <c:idx val="2"/>
              <c:tx>
                <c:rich>
                  <a:bodyPr/>
                  <a:lstStyle/>
                  <a:p>
                    <a:fld id="{90B996C0-C9A2-425A-8524-8393A091E2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F61-46FE-97D7-9F1925C625FE}"/>
                </c:ext>
              </c:extLst>
            </c:dLbl>
            <c:dLbl>
              <c:idx val="3"/>
              <c:tx>
                <c:rich>
                  <a:bodyPr/>
                  <a:lstStyle/>
                  <a:p>
                    <a:fld id="{1961A104-ACCA-4894-9291-92BAC1D31B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F61-46FE-97D7-9F1925C625FE}"/>
                </c:ext>
              </c:extLst>
            </c:dLbl>
            <c:dLbl>
              <c:idx val="4"/>
              <c:tx>
                <c:rich>
                  <a:bodyPr/>
                  <a:lstStyle/>
                  <a:p>
                    <a:fld id="{C674C434-8792-4857-8A2C-60D06AD15EF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F61-46FE-97D7-9F1925C625FE}"/>
                </c:ext>
              </c:extLst>
            </c:dLbl>
            <c:dLbl>
              <c:idx val="5"/>
              <c:tx>
                <c:rich>
                  <a:bodyPr/>
                  <a:lstStyle/>
                  <a:p>
                    <a:fld id="{6E197163-34F3-4CA2-8850-C04DDE72DFA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F61-46FE-97D7-9F1925C625FE}"/>
                </c:ext>
              </c:extLst>
            </c:dLbl>
            <c:dLbl>
              <c:idx val="6"/>
              <c:tx>
                <c:rich>
                  <a:bodyPr/>
                  <a:lstStyle/>
                  <a:p>
                    <a:fld id="{93915A1F-6126-4ED4-963F-C333E32D59C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F61-46FE-97D7-9F1925C625FE}"/>
                </c:ext>
              </c:extLst>
            </c:dLbl>
            <c:dLbl>
              <c:idx val="7"/>
              <c:tx>
                <c:rich>
                  <a:bodyPr/>
                  <a:lstStyle/>
                  <a:p>
                    <a:fld id="{570548EF-90E6-4D6E-A393-81354B04220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F61-46FE-97D7-9F1925C625FE}"/>
                </c:ext>
              </c:extLst>
            </c:dLbl>
            <c:dLbl>
              <c:idx val="8"/>
              <c:tx>
                <c:rich>
                  <a:bodyPr/>
                  <a:lstStyle/>
                  <a:p>
                    <a:fld id="{C56059BA-C087-41AC-8131-2118C4F067F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F61-46FE-97D7-9F1925C625FE}"/>
                </c:ext>
              </c:extLst>
            </c:dLbl>
            <c:dLbl>
              <c:idx val="9"/>
              <c:tx>
                <c:rich>
                  <a:bodyPr/>
                  <a:lstStyle/>
                  <a:p>
                    <a:fld id="{3D061CC3-970A-427A-A2D9-B784E55315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F61-46FE-97D7-9F1925C625FE}"/>
                </c:ext>
              </c:extLst>
            </c:dLbl>
            <c:dLbl>
              <c:idx val="10"/>
              <c:tx>
                <c:rich>
                  <a:bodyPr/>
                  <a:lstStyle/>
                  <a:p>
                    <a:fld id="{7D023E6B-6A3F-43AC-94DA-DFA770CF8D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9F61-46FE-97D7-9F1925C625FE}"/>
                </c:ext>
              </c:extLst>
            </c:dLbl>
            <c:dLbl>
              <c:idx val="11"/>
              <c:tx>
                <c:rich>
                  <a:bodyPr/>
                  <a:lstStyle/>
                  <a:p>
                    <a:fld id="{C5D245CC-0129-44D0-B246-EF887E2AFAC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9F61-46FE-97D7-9F1925C625FE}"/>
                </c:ext>
              </c:extLst>
            </c:dLbl>
            <c:dLbl>
              <c:idx val="12"/>
              <c:tx>
                <c:rich>
                  <a:bodyPr/>
                  <a:lstStyle/>
                  <a:p>
                    <a:fld id="{DC50F2B2-FA69-411E-85F3-4DE6CCB9F9E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9F61-46FE-97D7-9F1925C625FE}"/>
                </c:ext>
              </c:extLst>
            </c:dLbl>
            <c:dLbl>
              <c:idx val="13"/>
              <c:tx>
                <c:rich>
                  <a:bodyPr/>
                  <a:lstStyle/>
                  <a:p>
                    <a:fld id="{F64BDC6D-072B-4175-8CA3-7B0B091950C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9F61-46FE-97D7-9F1925C625FE}"/>
                </c:ext>
              </c:extLst>
            </c:dLbl>
            <c:dLbl>
              <c:idx val="14"/>
              <c:tx>
                <c:rich>
                  <a:bodyPr/>
                  <a:lstStyle/>
                  <a:p>
                    <a:fld id="{C4273E0B-76E2-4C3B-B200-7F8498C804B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9F61-46FE-97D7-9F1925C625FE}"/>
                </c:ext>
              </c:extLst>
            </c:dLbl>
            <c:dLbl>
              <c:idx val="15"/>
              <c:tx>
                <c:rich>
                  <a:bodyPr/>
                  <a:lstStyle/>
                  <a:p>
                    <a:fld id="{385FD2F2-B0BA-4EE4-8302-C055F93557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9F61-46FE-97D7-9F1925C625FE}"/>
                </c:ext>
              </c:extLst>
            </c:dLbl>
            <c:dLbl>
              <c:idx val="16"/>
              <c:tx>
                <c:rich>
                  <a:bodyPr/>
                  <a:lstStyle/>
                  <a:p>
                    <a:fld id="{8A830BD3-03E4-48D6-86AC-319F0C6F45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9F61-46FE-97D7-9F1925C625FE}"/>
                </c:ext>
              </c:extLst>
            </c:dLbl>
            <c:dLbl>
              <c:idx val="17"/>
              <c:tx>
                <c:rich>
                  <a:bodyPr/>
                  <a:lstStyle/>
                  <a:p>
                    <a:fld id="{F3B88281-3404-487F-958C-882CF8956E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9F61-46FE-97D7-9F1925C625FE}"/>
                </c:ext>
              </c:extLst>
            </c:dLbl>
            <c:dLbl>
              <c:idx val="18"/>
              <c:tx>
                <c:rich>
                  <a:bodyPr/>
                  <a:lstStyle/>
                  <a:p>
                    <a:fld id="{4658143F-4595-4A59-96F6-4A1900B7433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F61-46FE-97D7-9F1925C625FE}"/>
                </c:ext>
              </c:extLst>
            </c:dLbl>
            <c:dLbl>
              <c:idx val="19"/>
              <c:tx>
                <c:rich>
                  <a:bodyPr/>
                  <a:lstStyle/>
                  <a:p>
                    <a:fld id="{50F9C9C3-043C-4752-B463-F62BEFDD62B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9F61-46FE-97D7-9F1925C625FE}"/>
                </c:ext>
              </c:extLst>
            </c:dLbl>
            <c:dLbl>
              <c:idx val="20"/>
              <c:tx>
                <c:rich>
                  <a:bodyPr/>
                  <a:lstStyle/>
                  <a:p>
                    <a:fld id="{1D63529C-68E9-4239-92A4-32166F09E3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9F61-46FE-97D7-9F1925C625FE}"/>
                </c:ext>
              </c:extLst>
            </c:dLbl>
            <c:dLbl>
              <c:idx val="21"/>
              <c:tx>
                <c:rich>
                  <a:bodyPr/>
                  <a:lstStyle/>
                  <a:p>
                    <a:fld id="{180C3F36-66D3-4131-80D8-AA841F897CD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9F61-46FE-97D7-9F1925C625FE}"/>
                </c:ext>
              </c:extLst>
            </c:dLbl>
            <c:dLbl>
              <c:idx val="22"/>
              <c:tx>
                <c:rich>
                  <a:bodyPr/>
                  <a:lstStyle/>
                  <a:p>
                    <a:fld id="{45B47F8D-673B-4395-AE31-74122C0E006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61-46FE-97D7-9F1925C625FE}"/>
                </c:ext>
              </c:extLst>
            </c:dLbl>
            <c:dLbl>
              <c:idx val="23"/>
              <c:tx>
                <c:rich>
                  <a:bodyPr/>
                  <a:lstStyle/>
                  <a:p>
                    <a:fld id="{DDD73CC1-DF9F-4B93-8DCE-297942A924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61-46FE-97D7-9F1925C625FE}"/>
                </c:ext>
              </c:extLst>
            </c:dLbl>
            <c:dLbl>
              <c:idx val="24"/>
              <c:tx>
                <c:rich>
                  <a:bodyPr/>
                  <a:lstStyle/>
                  <a:p>
                    <a:fld id="{9A596F17-516F-4BCE-B95D-4B1A4E2E492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61-46FE-97D7-9F1925C625FE}"/>
                </c:ext>
              </c:extLst>
            </c:dLbl>
            <c:dLbl>
              <c:idx val="25"/>
              <c:tx>
                <c:rich>
                  <a:bodyPr/>
                  <a:lstStyle/>
                  <a:p>
                    <a:fld id="{089082E8-E370-4819-BCFE-6F9A23F7E2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61-46FE-97D7-9F1925C625FE}"/>
                </c:ext>
              </c:extLst>
            </c:dLbl>
            <c:dLbl>
              <c:idx val="26"/>
              <c:tx>
                <c:rich>
                  <a:bodyPr/>
                  <a:lstStyle/>
                  <a:p>
                    <a:fld id="{656FC79B-9708-4D5E-906B-8FFC943247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61-46FE-97D7-9F1925C625FE}"/>
                </c:ext>
              </c:extLst>
            </c:dLbl>
            <c:dLbl>
              <c:idx val="27"/>
              <c:tx>
                <c:rich>
                  <a:bodyPr/>
                  <a:lstStyle/>
                  <a:p>
                    <a:fld id="{8FD06220-5DED-463F-9E45-C62C98A3A1D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61-46FE-97D7-9F1925C625FE}"/>
                </c:ext>
              </c:extLst>
            </c:dLbl>
            <c:dLbl>
              <c:idx val="28"/>
              <c:tx>
                <c:rich>
                  <a:bodyPr/>
                  <a:lstStyle/>
                  <a:p>
                    <a:fld id="{25698795-B642-4D21-BABE-84DB2FB0920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9F61-46FE-97D7-9F1925C625FE}"/>
                </c:ext>
              </c:extLst>
            </c:dLbl>
            <c:dLbl>
              <c:idx val="29"/>
              <c:tx>
                <c:rich>
                  <a:bodyPr/>
                  <a:lstStyle/>
                  <a:p>
                    <a:fld id="{B8474B0C-7172-4E9D-9E9B-185EC46B2A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61-46FE-97D7-9F1925C625FE}"/>
                </c:ext>
              </c:extLst>
            </c:dLbl>
            <c:dLbl>
              <c:idx val="30"/>
              <c:tx>
                <c:rich>
                  <a:bodyPr/>
                  <a:lstStyle/>
                  <a:p>
                    <a:fld id="{9E19181C-39E7-4CF7-B334-00CA4F594C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61-46FE-97D7-9F1925C625FE}"/>
                </c:ext>
              </c:extLst>
            </c:dLbl>
            <c:dLbl>
              <c:idx val="31"/>
              <c:tx>
                <c:rich>
                  <a:bodyPr/>
                  <a:lstStyle/>
                  <a:p>
                    <a:fld id="{1EB6154F-E67C-4EF9-80C3-D18C57D8F19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61-46FE-97D7-9F1925C625FE}"/>
                </c:ext>
              </c:extLst>
            </c:dLbl>
            <c:dLbl>
              <c:idx val="32"/>
              <c:tx>
                <c:rich>
                  <a:bodyPr/>
                  <a:lstStyle/>
                  <a:p>
                    <a:fld id="{D2AF755F-66A7-4A97-BDCC-9407D1BAB3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61-46FE-97D7-9F1925C625FE}"/>
                </c:ext>
              </c:extLst>
            </c:dLbl>
            <c:dLbl>
              <c:idx val="33"/>
              <c:tx>
                <c:rich>
                  <a:bodyPr/>
                  <a:lstStyle/>
                  <a:p>
                    <a:fld id="{12C0206B-46CB-4A5B-AE52-9DEB3472FF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61-46FE-97D7-9F1925C625FE}"/>
                </c:ext>
              </c:extLst>
            </c:dLbl>
            <c:dLbl>
              <c:idx val="34"/>
              <c:tx>
                <c:rich>
                  <a:bodyPr/>
                  <a:lstStyle/>
                  <a:p>
                    <a:fld id="{848FD1D9-A5ED-40B4-B374-D1D0E422EBA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61-46FE-97D7-9F1925C625FE}"/>
                </c:ext>
              </c:extLst>
            </c:dLbl>
            <c:dLbl>
              <c:idx val="35"/>
              <c:tx>
                <c:rich>
                  <a:bodyPr/>
                  <a:lstStyle/>
                  <a:p>
                    <a:fld id="{77D6113E-95FA-41F0-BDE2-84CF13FCDF7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9F61-46FE-97D7-9F1925C625FE}"/>
                </c:ext>
              </c:extLst>
            </c:dLbl>
            <c:dLbl>
              <c:idx val="36"/>
              <c:tx>
                <c:rich>
                  <a:bodyPr/>
                  <a:lstStyle/>
                  <a:p>
                    <a:fld id="{4F8EE633-986D-44E1-9B9F-18961A21E05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9F61-46FE-97D7-9F1925C625FE}"/>
                </c:ext>
              </c:extLst>
            </c:dLbl>
            <c:dLbl>
              <c:idx val="37"/>
              <c:tx>
                <c:rich>
                  <a:bodyPr/>
                  <a:lstStyle/>
                  <a:p>
                    <a:fld id="{45DB7AE7-DE8E-4B66-85A5-A98E117478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9F61-46FE-97D7-9F1925C625FE}"/>
                </c:ext>
              </c:extLst>
            </c:dLbl>
            <c:dLbl>
              <c:idx val="38"/>
              <c:tx>
                <c:rich>
                  <a:bodyPr/>
                  <a:lstStyle/>
                  <a:p>
                    <a:fld id="{CF0911D8-8BF8-462B-B637-C119DCA5F00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9F61-46FE-97D7-9F1925C625FE}"/>
                </c:ext>
              </c:extLst>
            </c:dLbl>
            <c:dLbl>
              <c:idx val="39"/>
              <c:tx>
                <c:rich>
                  <a:bodyPr/>
                  <a:lstStyle/>
                  <a:p>
                    <a:fld id="{045B28FE-7B0F-4417-AB32-B4177E8792C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9F61-46FE-97D7-9F1925C625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Reference!$L$19:$L$58</c:f>
              <c:numCache>
                <c:formatCode>General</c:formatCode>
                <c:ptCount val="40"/>
                <c:pt idx="0">
                  <c:v>1000</c:v>
                </c:pt>
                <c:pt idx="1">
                  <c:v>987.05026263791285</c:v>
                </c:pt>
                <c:pt idx="2">
                  <c:v>948.53644194714548</c:v>
                </c:pt>
                <c:pt idx="3">
                  <c:v>885.45602565320996</c:v>
                </c:pt>
                <c:pt idx="4">
                  <c:v>799.4427634035012</c:v>
                </c:pt>
                <c:pt idx="5">
                  <c:v>692.72435350959938</c:v>
                </c:pt>
                <c:pt idx="6">
                  <c:v>568.06474673115588</c:v>
                </c:pt>
                <c:pt idx="7">
                  <c:v>428.69256140305424</c:v>
                </c:pt>
                <c:pt idx="8">
                  <c:v>278.21746391645274</c:v>
                </c:pt>
                <c:pt idx="9">
                  <c:v>120.53668025532301</c:v>
                </c:pt>
                <c:pt idx="10">
                  <c:v>-40.265940109415126</c:v>
                </c:pt>
                <c:pt idx="11">
                  <c:v>-200.02569377604414</c:v>
                </c:pt>
                <c:pt idx="12">
                  <c:v>-354.60488704253544</c:v>
                </c:pt>
                <c:pt idx="13">
                  <c:v>-500.00000000000023</c:v>
                </c:pt>
                <c:pt idx="14">
                  <c:v>-632.44537559537719</c:v>
                </c:pt>
                <c:pt idx="15">
                  <c:v>-748.51074817110089</c:v>
                </c:pt>
                <c:pt idx="16">
                  <c:v>-845.19008554379457</c:v>
                </c:pt>
                <c:pt idx="17">
                  <c:v>-919.97944365882427</c:v>
                </c:pt>
                <c:pt idx="18">
                  <c:v>-970.94181742605201</c:v>
                </c:pt>
                <c:pt idx="19">
                  <c:v>-996.75730813420989</c:v>
                </c:pt>
                <c:pt idx="20">
                  <c:v>-996.75730813421001</c:v>
                </c:pt>
                <c:pt idx="21">
                  <c:v>-970.94181742605201</c:v>
                </c:pt>
                <c:pt idx="22">
                  <c:v>-919.97944365882449</c:v>
                </c:pt>
                <c:pt idx="23">
                  <c:v>-845.19008554379502</c:v>
                </c:pt>
                <c:pt idx="24">
                  <c:v>-748.51074817110134</c:v>
                </c:pt>
                <c:pt idx="25">
                  <c:v>-632.44537559537707</c:v>
                </c:pt>
                <c:pt idx="26">
                  <c:v>-499.9999999999996</c:v>
                </c:pt>
                <c:pt idx="27">
                  <c:v>-354.60488704253589</c:v>
                </c:pt>
                <c:pt idx="28">
                  <c:v>-200.02569377604456</c:v>
                </c:pt>
                <c:pt idx="29">
                  <c:v>-40.265940109415141</c:v>
                </c:pt>
                <c:pt idx="30">
                  <c:v>120.53668025532232</c:v>
                </c:pt>
                <c:pt idx="31">
                  <c:v>278.21746391645206</c:v>
                </c:pt>
                <c:pt idx="32">
                  <c:v>428.69256140305379</c:v>
                </c:pt>
                <c:pt idx="33">
                  <c:v>568.06474673115554</c:v>
                </c:pt>
                <c:pt idx="34">
                  <c:v>692.72435350959927</c:v>
                </c:pt>
                <c:pt idx="35">
                  <c:v>799.4427634035012</c:v>
                </c:pt>
                <c:pt idx="36">
                  <c:v>885.45602565321008</c:v>
                </c:pt>
                <c:pt idx="37">
                  <c:v>948.53644194714559</c:v>
                </c:pt>
                <c:pt idx="38">
                  <c:v>987.05026263791285</c:v>
                </c:pt>
                <c:pt idx="39">
                  <c:v>1000</c:v>
                </c:pt>
              </c:numCache>
            </c:numRef>
          </c:xVal>
          <c:yVal>
            <c:numRef>
              <c:f>Reference!$M$19:$M$58</c:f>
              <c:numCache>
                <c:formatCode>General</c:formatCode>
                <c:ptCount val="40"/>
                <c:pt idx="0">
                  <c:v>0</c:v>
                </c:pt>
                <c:pt idx="1">
                  <c:v>160.4112808577602</c:v>
                </c:pt>
                <c:pt idx="2">
                  <c:v>316.66799380147251</c:v>
                </c:pt>
                <c:pt idx="3">
                  <c:v>464.7231720437685</c:v>
                </c:pt>
                <c:pt idx="4">
                  <c:v>600.74226423797882</c:v>
                </c:pt>
                <c:pt idx="5">
                  <c:v>721.20244734381458</c:v>
                </c:pt>
                <c:pt idx="6">
                  <c:v>822.98386589365634</c:v>
                </c:pt>
                <c:pt idx="7">
                  <c:v>903.45043461038222</c:v>
                </c:pt>
                <c:pt idx="8">
                  <c:v>960.51811163137222</c:v>
                </c:pt>
                <c:pt idx="9">
                  <c:v>992.70887409805403</c:v>
                </c:pt>
                <c:pt idx="10">
                  <c:v>999.18899817156955</c:v>
                </c:pt>
                <c:pt idx="11">
                  <c:v>979.79065204226777</c:v>
                </c:pt>
                <c:pt idx="12">
                  <c:v>935.0162426854148</c:v>
                </c:pt>
                <c:pt idx="13">
                  <c:v>866.02540378443848</c:v>
                </c:pt>
                <c:pt idx="14">
                  <c:v>774.60496182765462</c:v>
                </c:pt>
                <c:pt idx="15">
                  <c:v>663.12265824079554</c:v>
                </c:pt>
                <c:pt idx="16">
                  <c:v>534.46582612780128</c:v>
                </c:pt>
                <c:pt idx="17">
                  <c:v>391.96660986007515</c:v>
                </c:pt>
                <c:pt idx="18">
                  <c:v>239.31566428755769</c:v>
                </c:pt>
                <c:pt idx="19">
                  <c:v>80.466568716726087</c:v>
                </c:pt>
                <c:pt idx="20">
                  <c:v>-80.466568716725831</c:v>
                </c:pt>
                <c:pt idx="21">
                  <c:v>-239.31566428755787</c:v>
                </c:pt>
                <c:pt idx="22">
                  <c:v>-391.96660986007447</c:v>
                </c:pt>
                <c:pt idx="23">
                  <c:v>-534.46582612780071</c:v>
                </c:pt>
                <c:pt idx="24">
                  <c:v>-663.12265824079498</c:v>
                </c:pt>
                <c:pt idx="25">
                  <c:v>-774.60496182765473</c:v>
                </c:pt>
                <c:pt idx="26">
                  <c:v>-866.02540378443882</c:v>
                </c:pt>
                <c:pt idx="27">
                  <c:v>-935.01624268541468</c:v>
                </c:pt>
                <c:pt idx="28">
                  <c:v>-979.79065204226765</c:v>
                </c:pt>
                <c:pt idx="29">
                  <c:v>-999.18899817156955</c:v>
                </c:pt>
                <c:pt idx="30">
                  <c:v>-992.70887409805414</c:v>
                </c:pt>
                <c:pt idx="31">
                  <c:v>-960.51811163137245</c:v>
                </c:pt>
                <c:pt idx="32">
                  <c:v>-903.45043461038244</c:v>
                </c:pt>
                <c:pt idx="33">
                  <c:v>-822.98386589365657</c:v>
                </c:pt>
                <c:pt idx="34">
                  <c:v>-721.2024473438147</c:v>
                </c:pt>
                <c:pt idx="35">
                  <c:v>-600.74226423797893</c:v>
                </c:pt>
                <c:pt idx="36">
                  <c:v>-464.72317204376839</c:v>
                </c:pt>
                <c:pt idx="37">
                  <c:v>-316.66799380147222</c:v>
                </c:pt>
                <c:pt idx="38">
                  <c:v>-160.41128085776063</c:v>
                </c:pt>
                <c:pt idx="39">
                  <c:v>-2.45029690981724E-13</c:v>
                </c:pt>
              </c:numCache>
            </c:numRef>
          </c:yVal>
          <c:smooth val="1"/>
          <c:extLst>
            <c:ext xmlns:c15="http://schemas.microsoft.com/office/drawing/2012/chart" uri="{02D57815-91ED-43cb-92C2-25804820EDAC}">
              <c15:datalabelsRange>
                <c15:f>Reference!$I$19:$I$58</c15:f>
                <c15:dlblRangeCache>
                  <c:ptCount val="40"/>
                  <c:pt idx="0">
                    <c:v>Right Turn</c:v>
                  </c:pt>
                  <c:pt idx="1">
                    <c:v> </c:v>
                  </c:pt>
                  <c:pt idx="2">
                    <c:v> </c:v>
                  </c:pt>
                  <c:pt idx="3">
                    <c:v> </c:v>
                  </c:pt>
                  <c:pt idx="4">
                    <c:v> </c:v>
                  </c:pt>
                  <c:pt idx="5">
                    <c:v> </c:v>
                  </c:pt>
                  <c:pt idx="6">
                    <c:v> </c:v>
                  </c:pt>
                  <c:pt idx="7">
                    <c:v> </c:v>
                  </c:pt>
                  <c:pt idx="8">
                    <c:v> </c:v>
                  </c:pt>
                  <c:pt idx="9">
                    <c:v> </c:v>
                  </c:pt>
                  <c:pt idx="10">
                    <c:v>Full Accel</c:v>
                  </c:pt>
                  <c:pt idx="11">
                    <c:v> </c:v>
                  </c:pt>
                  <c:pt idx="12">
                    <c:v> </c:v>
                  </c:pt>
                  <c:pt idx="13">
                    <c:v> </c:v>
                  </c:pt>
                  <c:pt idx="14">
                    <c:v> </c:v>
                  </c:pt>
                  <c:pt idx="15">
                    <c:v> </c:v>
                  </c:pt>
                  <c:pt idx="16">
                    <c:v> </c:v>
                  </c:pt>
                  <c:pt idx="17">
                    <c:v> </c:v>
                  </c:pt>
                  <c:pt idx="18">
                    <c:v> </c:v>
                  </c:pt>
                  <c:pt idx="19">
                    <c:v> </c:v>
                  </c:pt>
                  <c:pt idx="20">
                    <c:v>Left Turn</c:v>
                  </c:pt>
                  <c:pt idx="30">
                    <c:v>Full Brake</c:v>
                  </c:pt>
                </c15:dlblRangeCache>
              </c15:datalabelsRange>
            </c:ext>
            <c:ext xmlns:c16="http://schemas.microsoft.com/office/drawing/2014/chart" uri="{C3380CC4-5D6E-409C-BE32-E72D297353CC}">
              <c16:uniqueId val="{00000000-9F61-46FE-97D7-9F1925C625FE}"/>
            </c:ext>
          </c:extLst>
        </c:ser>
        <c:dLbls>
          <c:showLegendKey val="0"/>
          <c:showVal val="0"/>
          <c:showCatName val="0"/>
          <c:showSerName val="0"/>
          <c:showPercent val="0"/>
          <c:showBubbleSize val="0"/>
        </c:dLbls>
        <c:axId val="558668864"/>
        <c:axId val="558670832"/>
      </c:scatterChart>
      <c:valAx>
        <c:axId val="558668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670832"/>
        <c:crosses val="autoZero"/>
        <c:crossBetween val="midCat"/>
      </c:valAx>
      <c:valAx>
        <c:axId val="558670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668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Example Tire Performance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Reference!$C$14</c:f>
              <c:strCache>
                <c:ptCount val="1"/>
                <c:pt idx="0">
                  <c:v>Traction Available</c:v>
                </c:pt>
              </c:strCache>
            </c:strRef>
          </c:tx>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4"/>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Reference!$B$16:$B$26</c:f>
              <c:numCache>
                <c:formatCode>0.0</c:formatCode>
                <c:ptCount val="11"/>
                <c:pt idx="0">
                  <c:v>1E-4</c:v>
                </c:pt>
                <c:pt idx="1">
                  <c:v>250</c:v>
                </c:pt>
                <c:pt idx="2" formatCode="General">
                  <c:v>500</c:v>
                </c:pt>
                <c:pt idx="3" formatCode="General">
                  <c:v>750</c:v>
                </c:pt>
                <c:pt idx="4" formatCode="General">
                  <c:v>1000</c:v>
                </c:pt>
                <c:pt idx="5" formatCode="General">
                  <c:v>1250</c:v>
                </c:pt>
                <c:pt idx="6" formatCode="General">
                  <c:v>1500</c:v>
                </c:pt>
                <c:pt idx="7" formatCode="General">
                  <c:v>1750</c:v>
                </c:pt>
                <c:pt idx="8" formatCode="General">
                  <c:v>2000</c:v>
                </c:pt>
                <c:pt idx="9" formatCode="General">
                  <c:v>2250</c:v>
                </c:pt>
                <c:pt idx="10" formatCode="General">
                  <c:v>2500</c:v>
                </c:pt>
              </c:numCache>
            </c:numRef>
          </c:xVal>
          <c:yVal>
            <c:numRef>
              <c:f>Reference!$C$16:$C$26</c:f>
              <c:numCache>
                <c:formatCode>0.0</c:formatCode>
                <c:ptCount val="11"/>
                <c:pt idx="0">
                  <c:v>2.0000000000000001E-4</c:v>
                </c:pt>
                <c:pt idx="1">
                  <c:v>425</c:v>
                </c:pt>
                <c:pt idx="2" formatCode="General">
                  <c:v>700</c:v>
                </c:pt>
                <c:pt idx="3" formatCode="General">
                  <c:v>875</c:v>
                </c:pt>
                <c:pt idx="4" formatCode="General">
                  <c:v>1000</c:v>
                </c:pt>
                <c:pt idx="5" formatCode="General">
                  <c:v>1135</c:v>
                </c:pt>
                <c:pt idx="6" formatCode="General">
                  <c:v>1250</c:v>
                </c:pt>
                <c:pt idx="7" formatCode="General">
                  <c:v>1350</c:v>
                </c:pt>
                <c:pt idx="8" formatCode="General">
                  <c:v>1450</c:v>
                </c:pt>
                <c:pt idx="9" formatCode="General">
                  <c:v>1550</c:v>
                </c:pt>
                <c:pt idx="10" formatCode="General">
                  <c:v>1625</c:v>
                </c:pt>
              </c:numCache>
            </c:numRef>
          </c:yVal>
          <c:smooth val="1"/>
          <c:extLst>
            <c:ext xmlns:c16="http://schemas.microsoft.com/office/drawing/2014/chart" uri="{C3380CC4-5D6E-409C-BE32-E72D297353CC}">
              <c16:uniqueId val="{00000000-03A5-4CE6-9CA8-83AF4463ED49}"/>
            </c:ext>
          </c:extLst>
        </c:ser>
        <c:dLbls>
          <c:showLegendKey val="0"/>
          <c:showVal val="0"/>
          <c:showCatName val="0"/>
          <c:showSerName val="0"/>
          <c:showPercent val="0"/>
          <c:showBubbleSize val="0"/>
        </c:dLbls>
        <c:axId val="567701200"/>
        <c:axId val="567701528"/>
      </c:scatterChart>
      <c:scatterChart>
        <c:scatterStyle val="smoothMarker"/>
        <c:varyColors val="0"/>
        <c:ser>
          <c:idx val="1"/>
          <c:order val="1"/>
          <c:tx>
            <c:strRef>
              <c:f>Reference!$D$14</c:f>
              <c:strCache>
                <c:ptCount val="1"/>
                <c:pt idx="0">
                  <c:v>Cornering Efficiency</c:v>
                </c:pt>
              </c:strCache>
            </c:strRef>
          </c:tx>
          <c:spPr>
            <a:ln w="19050" cap="rnd">
              <a:solidFill>
                <a:schemeClr val="accent2"/>
              </a:solidFill>
              <a:round/>
            </a:ln>
            <a:effectLst/>
          </c:spPr>
          <c:marker>
            <c:symbol val="none"/>
          </c:marker>
          <c:xVal>
            <c:numRef>
              <c:f>Reference!$B$16:$B$26</c:f>
              <c:numCache>
                <c:formatCode>0.0</c:formatCode>
                <c:ptCount val="11"/>
                <c:pt idx="0">
                  <c:v>1E-4</c:v>
                </c:pt>
                <c:pt idx="1">
                  <c:v>250</c:v>
                </c:pt>
                <c:pt idx="2" formatCode="General">
                  <c:v>500</c:v>
                </c:pt>
                <c:pt idx="3" formatCode="General">
                  <c:v>750</c:v>
                </c:pt>
                <c:pt idx="4" formatCode="General">
                  <c:v>1000</c:v>
                </c:pt>
                <c:pt idx="5" formatCode="General">
                  <c:v>1250</c:v>
                </c:pt>
                <c:pt idx="6" formatCode="General">
                  <c:v>1500</c:v>
                </c:pt>
                <c:pt idx="7" formatCode="General">
                  <c:v>1750</c:v>
                </c:pt>
                <c:pt idx="8" formatCode="General">
                  <c:v>2000</c:v>
                </c:pt>
                <c:pt idx="9" formatCode="General">
                  <c:v>2250</c:v>
                </c:pt>
                <c:pt idx="10" formatCode="General">
                  <c:v>2500</c:v>
                </c:pt>
              </c:numCache>
            </c:numRef>
          </c:xVal>
          <c:yVal>
            <c:numRef>
              <c:f>Reference!$D$16:$D$26</c:f>
              <c:numCache>
                <c:formatCode>0%</c:formatCode>
                <c:ptCount val="11"/>
                <c:pt idx="0">
                  <c:v>2</c:v>
                </c:pt>
                <c:pt idx="1">
                  <c:v>1.7</c:v>
                </c:pt>
                <c:pt idx="2">
                  <c:v>1.4</c:v>
                </c:pt>
                <c:pt idx="3">
                  <c:v>1.1666666666666667</c:v>
                </c:pt>
                <c:pt idx="4">
                  <c:v>1</c:v>
                </c:pt>
                <c:pt idx="5">
                  <c:v>0.90800000000000003</c:v>
                </c:pt>
                <c:pt idx="6">
                  <c:v>0.83333333333333337</c:v>
                </c:pt>
                <c:pt idx="7">
                  <c:v>0.77142857142857146</c:v>
                </c:pt>
                <c:pt idx="8">
                  <c:v>0.72499999999999998</c:v>
                </c:pt>
                <c:pt idx="9">
                  <c:v>0.68888888888888888</c:v>
                </c:pt>
                <c:pt idx="10">
                  <c:v>0.65</c:v>
                </c:pt>
              </c:numCache>
            </c:numRef>
          </c:yVal>
          <c:smooth val="1"/>
          <c:extLst>
            <c:ext xmlns:c16="http://schemas.microsoft.com/office/drawing/2014/chart" uri="{C3380CC4-5D6E-409C-BE32-E72D297353CC}">
              <c16:uniqueId val="{00000001-03A5-4CE6-9CA8-83AF4463ED49}"/>
            </c:ext>
          </c:extLst>
        </c:ser>
        <c:dLbls>
          <c:showLegendKey val="0"/>
          <c:showVal val="0"/>
          <c:showCatName val="0"/>
          <c:showSerName val="0"/>
          <c:showPercent val="0"/>
          <c:showBubbleSize val="0"/>
        </c:dLbls>
        <c:axId val="567707760"/>
        <c:axId val="560388856"/>
      </c:scatterChart>
      <c:valAx>
        <c:axId val="567701200"/>
        <c:scaling>
          <c:orientation val="minMax"/>
          <c:max val="25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Vertical</a:t>
                </a:r>
                <a:r>
                  <a:rPr lang="en-US" baseline="0"/>
                  <a:t> Load (lbf)</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01528"/>
        <c:crosses val="autoZero"/>
        <c:crossBetween val="midCat"/>
      </c:valAx>
      <c:valAx>
        <c:axId val="567701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Traction</a:t>
                </a:r>
                <a:r>
                  <a:rPr lang="en-US" baseline="0"/>
                  <a:t> (lateral Load) (lbf)</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01200"/>
        <c:crosses val="autoZero"/>
        <c:crossBetween val="midCat"/>
      </c:valAx>
      <c:valAx>
        <c:axId val="560388856"/>
        <c:scaling>
          <c:orientation val="minMax"/>
        </c:scaling>
        <c:delete val="0"/>
        <c:axPos val="r"/>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707760"/>
        <c:crosses val="max"/>
        <c:crossBetween val="midCat"/>
      </c:valAx>
      <c:valAx>
        <c:axId val="567707760"/>
        <c:scaling>
          <c:orientation val="minMax"/>
        </c:scaling>
        <c:delete val="1"/>
        <c:axPos val="b"/>
        <c:numFmt formatCode="0.0" sourceLinked="1"/>
        <c:majorTickMark val="out"/>
        <c:minorTickMark val="none"/>
        <c:tickLblPos val="nextTo"/>
        <c:crossAx val="560388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571500</xdr:colOff>
      <xdr:row>18</xdr:row>
      <xdr:rowOff>28575</xdr:rowOff>
    </xdr:from>
    <xdr:to>
      <xdr:col>13</xdr:col>
      <xdr:colOff>323850</xdr:colOff>
      <xdr:row>41</xdr:row>
      <xdr:rowOff>47625</xdr:rowOff>
    </xdr:to>
    <xdr:graphicFrame macro="">
      <xdr:nvGraphicFramePr>
        <xdr:cNvPr id="3" name="Chart 2">
          <a:extLst>
            <a:ext uri="{FF2B5EF4-FFF2-40B4-BE49-F238E27FC236}">
              <a16:creationId xmlns:a16="http://schemas.microsoft.com/office/drawing/2014/main" id="{B17E7130-0CC9-40CF-9F66-3E26A3640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104775</xdr:colOff>
      <xdr:row>28</xdr:row>
      <xdr:rowOff>123825</xdr:rowOff>
    </xdr:from>
    <xdr:to>
      <xdr:col>11</xdr:col>
      <xdr:colOff>790575</xdr:colOff>
      <xdr:row>49</xdr:row>
      <xdr:rowOff>0</xdr:rowOff>
    </xdr:to>
    <xdr:graphicFrame macro="">
      <xdr:nvGraphicFramePr>
        <xdr:cNvPr id="2" name="Chart 1">
          <a:extLst>
            <a:ext uri="{FF2B5EF4-FFF2-40B4-BE49-F238E27FC236}">
              <a16:creationId xmlns:a16="http://schemas.microsoft.com/office/drawing/2014/main" id="{EE142606-E056-4AE6-9948-16401BA9A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AB6C2-5882-4350-8C98-A75721D4BA64}">
  <dimension ref="B1:AB53"/>
  <sheetViews>
    <sheetView topLeftCell="G1" zoomScaleNormal="100" workbookViewId="0">
      <selection activeCell="R10" sqref="R10"/>
    </sheetView>
  </sheetViews>
  <sheetFormatPr defaultRowHeight="15" x14ac:dyDescent="0.25"/>
  <cols>
    <col min="2" max="2" width="58.7109375" bestFit="1" customWidth="1"/>
    <col min="9" max="9" width="34.42578125" bestFit="1" customWidth="1"/>
    <col min="10" max="10" width="12.7109375" customWidth="1"/>
    <col min="14" max="14" width="10.28515625" bestFit="1" customWidth="1"/>
    <col min="16" max="16" width="58.7109375" bestFit="1" customWidth="1"/>
    <col min="17" max="17" width="18.42578125" bestFit="1" customWidth="1"/>
    <col min="20" max="20" width="10.5703125" bestFit="1" customWidth="1"/>
    <col min="23" max="23" width="32.42578125" bestFit="1" customWidth="1"/>
    <col min="27" max="27" width="12" bestFit="1" customWidth="1"/>
  </cols>
  <sheetData>
    <row r="1" spans="2:28" ht="15.75" thickBot="1" x14ac:dyDescent="0.3">
      <c r="B1" s="147" t="s">
        <v>135</v>
      </c>
      <c r="C1" s="147"/>
      <c r="D1" s="147"/>
      <c r="E1" s="147"/>
      <c r="F1" s="147"/>
      <c r="G1" s="147"/>
      <c r="I1" s="144" t="s">
        <v>84</v>
      </c>
      <c r="J1" s="145"/>
      <c r="K1" s="145"/>
      <c r="L1" s="145"/>
      <c r="M1" s="145"/>
      <c r="N1" s="146"/>
      <c r="P1" s="144" t="s">
        <v>85</v>
      </c>
      <c r="Q1" s="145"/>
      <c r="R1" s="145"/>
      <c r="S1" s="145"/>
      <c r="T1" s="145"/>
      <c r="U1" s="146"/>
      <c r="W1" s="147" t="s">
        <v>158</v>
      </c>
      <c r="X1" s="147"/>
      <c r="Y1" s="147"/>
      <c r="Z1" s="147"/>
      <c r="AA1" s="147"/>
      <c r="AB1" s="147"/>
    </row>
    <row r="2" spans="2:28" ht="30.75" thickBot="1" x14ac:dyDescent="0.3">
      <c r="B2" s="39" t="s">
        <v>18</v>
      </c>
      <c r="C2" s="40" t="s">
        <v>19</v>
      </c>
      <c r="D2" s="40" t="s">
        <v>20</v>
      </c>
      <c r="E2" s="40" t="s">
        <v>21</v>
      </c>
      <c r="F2" s="40" t="s">
        <v>22</v>
      </c>
      <c r="G2" s="41" t="s">
        <v>23</v>
      </c>
      <c r="I2" s="4" t="s">
        <v>18</v>
      </c>
      <c r="J2" s="5" t="s">
        <v>19</v>
      </c>
      <c r="K2" s="5" t="s">
        <v>20</v>
      </c>
      <c r="L2" s="5" t="s">
        <v>21</v>
      </c>
      <c r="M2" s="5" t="s">
        <v>22</v>
      </c>
      <c r="N2" s="6" t="s">
        <v>23</v>
      </c>
      <c r="P2" s="4" t="s">
        <v>18</v>
      </c>
      <c r="Q2" s="5" t="s">
        <v>19</v>
      </c>
      <c r="R2" s="5" t="s">
        <v>20</v>
      </c>
      <c r="S2" s="5" t="s">
        <v>21</v>
      </c>
      <c r="T2" s="5" t="s">
        <v>22</v>
      </c>
      <c r="U2" s="6" t="s">
        <v>23</v>
      </c>
      <c r="W2" s="39" t="s">
        <v>18</v>
      </c>
      <c r="X2" s="40" t="s">
        <v>19</v>
      </c>
      <c r="Y2" s="40" t="s">
        <v>20</v>
      </c>
      <c r="Z2" s="40" t="s">
        <v>21</v>
      </c>
      <c r="AA2" s="40" t="s">
        <v>22</v>
      </c>
      <c r="AB2" s="41" t="s">
        <v>23</v>
      </c>
    </row>
    <row r="3" spans="2:28" ht="18" x14ac:dyDescent="0.35">
      <c r="B3" s="32" t="s">
        <v>0</v>
      </c>
      <c r="C3" s="33" t="s">
        <v>55</v>
      </c>
      <c r="D3" s="42">
        <v>550</v>
      </c>
      <c r="E3" s="33" t="s">
        <v>1</v>
      </c>
      <c r="F3" s="33">
        <f>CONVERT(D3,"kg","lbm")</f>
        <v>1212.5424420168267</v>
      </c>
      <c r="G3" s="35" t="s">
        <v>2</v>
      </c>
      <c r="I3" s="12" t="s">
        <v>0</v>
      </c>
      <c r="J3" s="3" t="s">
        <v>55</v>
      </c>
      <c r="K3" s="8">
        <v>1361</v>
      </c>
      <c r="L3" s="3" t="s">
        <v>1</v>
      </c>
      <c r="M3" s="3">
        <f>CONVERT(K3,"kg","lbm")</f>
        <v>3000.4913883361837</v>
      </c>
      <c r="N3" s="13" t="s">
        <v>2</v>
      </c>
      <c r="P3" s="12" t="s">
        <v>0</v>
      </c>
      <c r="Q3" s="3" t="s">
        <v>55</v>
      </c>
      <c r="R3" s="8">
        <f>100*1000/980.665</f>
        <v>101.97162129779282</v>
      </c>
      <c r="S3" s="3" t="s">
        <v>1</v>
      </c>
      <c r="T3" s="26">
        <f>CONVERT(R3,"kg","lbm")</f>
        <v>224.80894309971046</v>
      </c>
      <c r="U3" s="13" t="s">
        <v>2</v>
      </c>
      <c r="W3" s="57" t="s">
        <v>151</v>
      </c>
      <c r="X3" s="58" t="s">
        <v>164</v>
      </c>
      <c r="Y3" s="33">
        <v>6.35</v>
      </c>
      <c r="Z3" s="33" t="s">
        <v>47</v>
      </c>
      <c r="AA3" s="58">
        <f>CONVERT(Y3,"mm","in")</f>
        <v>0.25</v>
      </c>
      <c r="AB3" s="59" t="s">
        <v>46</v>
      </c>
    </row>
    <row r="4" spans="2:28" x14ac:dyDescent="0.25">
      <c r="B4" s="14" t="s">
        <v>3</v>
      </c>
      <c r="C4" s="2" t="s">
        <v>26</v>
      </c>
      <c r="D4" s="2">
        <v>9.8066499999999994</v>
      </c>
      <c r="E4" s="2" t="s">
        <v>4</v>
      </c>
      <c r="F4" s="2">
        <f>CONVERT(D4,"m","ft")</f>
        <v>32.174048556430449</v>
      </c>
      <c r="G4" s="15" t="s">
        <v>5</v>
      </c>
      <c r="I4" s="14" t="s">
        <v>3</v>
      </c>
      <c r="J4" s="2" t="s">
        <v>26</v>
      </c>
      <c r="K4" s="2">
        <v>9.8066499999999994</v>
      </c>
      <c r="L4" s="2" t="s">
        <v>4</v>
      </c>
      <c r="M4" s="2">
        <f>CONVERT(K4,"m","ft")</f>
        <v>32.174048556430449</v>
      </c>
      <c r="N4" s="15" t="s">
        <v>5</v>
      </c>
      <c r="P4" s="14" t="s">
        <v>3</v>
      </c>
      <c r="Q4" s="2" t="s">
        <v>26</v>
      </c>
      <c r="R4" s="2">
        <v>9.8066499999999994</v>
      </c>
      <c r="S4" s="2" t="s">
        <v>4</v>
      </c>
      <c r="T4" s="25">
        <f>CONVERT(R4,"m","ft")</f>
        <v>32.174048556430449</v>
      </c>
      <c r="U4" s="15" t="s">
        <v>5</v>
      </c>
      <c r="W4" s="60" t="s">
        <v>160</v>
      </c>
      <c r="X4" s="54" t="s">
        <v>152</v>
      </c>
      <c r="Y4" s="2">
        <v>78.5</v>
      </c>
      <c r="Z4" s="2" t="s">
        <v>162</v>
      </c>
      <c r="AA4" s="56">
        <f>CONVERT(CONVERT(CONVERT(Y4,"MPa","Pa"),"N","lbf"),"in^2","m^2")</f>
        <v>11385.462411821423</v>
      </c>
      <c r="AB4" s="61" t="s">
        <v>161</v>
      </c>
    </row>
    <row r="5" spans="2:28" ht="18" x14ac:dyDescent="0.35">
      <c r="B5" s="14" t="s">
        <v>13</v>
      </c>
      <c r="C5" s="2" t="s">
        <v>56</v>
      </c>
      <c r="D5" s="2">
        <f>D3*D4</f>
        <v>5393.6574999999993</v>
      </c>
      <c r="E5" s="2" t="s">
        <v>15</v>
      </c>
      <c r="F5" s="2">
        <f>CONVERT(D5,"N","lbf")</f>
        <v>1212.5424420168265</v>
      </c>
      <c r="G5" s="15" t="s">
        <v>14</v>
      </c>
      <c r="I5" s="14" t="s">
        <v>13</v>
      </c>
      <c r="J5" s="2" t="s">
        <v>56</v>
      </c>
      <c r="K5" s="2">
        <f>K3*K4</f>
        <v>13346.850649999998</v>
      </c>
      <c r="L5" s="2" t="s">
        <v>15</v>
      </c>
      <c r="M5" s="2">
        <f>CONVERT(K5,"N","lbf")</f>
        <v>3000.4913883361833</v>
      </c>
      <c r="N5" s="15" t="s">
        <v>14</v>
      </c>
      <c r="P5" s="14" t="s">
        <v>13</v>
      </c>
      <c r="Q5" s="2" t="s">
        <v>56</v>
      </c>
      <c r="R5" s="21">
        <f>R4*R3</f>
        <v>999.99999999999989</v>
      </c>
      <c r="S5" s="2" t="s">
        <v>15</v>
      </c>
      <c r="T5" s="24">
        <f>CONVERT(R5,"N","lbf")</f>
        <v>224.80894309971043</v>
      </c>
      <c r="U5" s="15" t="s">
        <v>14</v>
      </c>
      <c r="W5" s="62" t="s">
        <v>154</v>
      </c>
      <c r="X5" s="55" t="s">
        <v>153</v>
      </c>
      <c r="Y5" s="2">
        <v>5</v>
      </c>
      <c r="Z5" s="2" t="s">
        <v>140</v>
      </c>
      <c r="AA5" s="54"/>
      <c r="AB5" s="63" t="s">
        <v>140</v>
      </c>
    </row>
    <row r="6" spans="2:28" ht="18" x14ac:dyDescent="0.35">
      <c r="B6" s="16" t="s">
        <v>131</v>
      </c>
      <c r="C6" s="2"/>
      <c r="D6" s="9">
        <v>24.52</v>
      </c>
      <c r="E6" s="7" t="s">
        <v>132</v>
      </c>
      <c r="F6" s="2">
        <f>CONVERT(CONVERT(D6,"N","lbf"),"in","mm")</f>
        <v>140.01280823404446</v>
      </c>
      <c r="G6" s="15" t="s">
        <v>141</v>
      </c>
      <c r="I6" s="14" t="s">
        <v>6</v>
      </c>
      <c r="J6" s="2" t="s">
        <v>57</v>
      </c>
      <c r="K6" s="9">
        <v>48.3</v>
      </c>
      <c r="L6" s="2" t="s">
        <v>7</v>
      </c>
      <c r="M6" s="2">
        <f>CONVERT(K6,"km","mi")</f>
        <v>30.012228585063234</v>
      </c>
      <c r="N6" s="15" t="s">
        <v>8</v>
      </c>
      <c r="P6" s="14" t="s">
        <v>44</v>
      </c>
      <c r="Q6" s="2" t="s">
        <v>45</v>
      </c>
      <c r="R6" s="31">
        <v>2540</v>
      </c>
      <c r="S6" s="2" t="s">
        <v>47</v>
      </c>
      <c r="T6" s="21">
        <f>CONVERT(R6,"mm","in")</f>
        <v>100</v>
      </c>
      <c r="U6" s="15" t="s">
        <v>46</v>
      </c>
      <c r="W6" s="62" t="s">
        <v>155</v>
      </c>
      <c r="X6" s="55" t="s">
        <v>156</v>
      </c>
      <c r="Y6" s="2">
        <v>5.5</v>
      </c>
      <c r="Z6" s="2" t="s">
        <v>140</v>
      </c>
      <c r="AA6" s="54"/>
      <c r="AB6" s="63" t="s">
        <v>140</v>
      </c>
    </row>
    <row r="7" spans="2:28" ht="18" x14ac:dyDescent="0.35">
      <c r="B7" s="16" t="s">
        <v>133</v>
      </c>
      <c r="C7" s="2"/>
      <c r="D7" s="9">
        <v>36.228391254480442</v>
      </c>
      <c r="E7" s="7" t="s">
        <v>132</v>
      </c>
      <c r="F7" s="2">
        <f>CONVERT(CONVERT(D7,"N","lbf"),"in","mm")</f>
        <v>206.86944524231259</v>
      </c>
      <c r="G7" s="15" t="s">
        <v>141</v>
      </c>
      <c r="I7" s="14" t="s">
        <v>6</v>
      </c>
      <c r="J7" s="2" t="s">
        <v>58</v>
      </c>
      <c r="K7" s="2">
        <f>CONVERT(CONVERT(K6,"km","m"),"s","hr")</f>
        <v>13.416666666666666</v>
      </c>
      <c r="L7" s="2" t="s">
        <v>27</v>
      </c>
      <c r="M7" s="2">
        <f>CONVERT(K7,"m","ft")</f>
        <v>44.017935258092734</v>
      </c>
      <c r="N7" s="15" t="s">
        <v>28</v>
      </c>
      <c r="P7" s="14" t="s">
        <v>48</v>
      </c>
      <c r="Q7" s="2" t="s">
        <v>65</v>
      </c>
      <c r="R7" s="31">
        <v>508.1</v>
      </c>
      <c r="S7" s="2" t="s">
        <v>47</v>
      </c>
      <c r="T7" s="21">
        <f>CONVERT(R7,"mm","in")</f>
        <v>20.003937007874015</v>
      </c>
      <c r="U7" s="15" t="s">
        <v>46</v>
      </c>
      <c r="W7" s="62" t="s">
        <v>159</v>
      </c>
      <c r="X7" s="55" t="s">
        <v>165</v>
      </c>
      <c r="Y7" s="2">
        <v>152.4</v>
      </c>
      <c r="Z7" s="2" t="s">
        <v>47</v>
      </c>
      <c r="AA7" s="54">
        <f>CONVERT(Y7,"mm","in")</f>
        <v>6</v>
      </c>
      <c r="AB7" s="63" t="s">
        <v>46</v>
      </c>
    </row>
    <row r="8" spans="2:28" ht="18" x14ac:dyDescent="0.35">
      <c r="B8" s="14" t="s">
        <v>44</v>
      </c>
      <c r="C8" s="2" t="s">
        <v>45</v>
      </c>
      <c r="D8" s="31">
        <f>1669</f>
        <v>1669</v>
      </c>
      <c r="E8" s="2" t="s">
        <v>47</v>
      </c>
      <c r="F8" s="21">
        <f>CONVERT(D8,"mm","in")</f>
        <v>65.70866141732283</v>
      </c>
      <c r="G8" s="15" t="s">
        <v>46</v>
      </c>
      <c r="I8" s="14" t="s">
        <v>9</v>
      </c>
      <c r="J8" s="2" t="s">
        <v>59</v>
      </c>
      <c r="K8" s="9">
        <v>18.399999999999999</v>
      </c>
      <c r="L8" s="2" t="s">
        <v>10</v>
      </c>
      <c r="M8" s="2">
        <f>CONVERT(K8,"m","ft")</f>
        <v>60.367454068241472</v>
      </c>
      <c r="N8" s="15" t="s">
        <v>11</v>
      </c>
      <c r="P8" s="14" t="s">
        <v>49</v>
      </c>
      <c r="Q8" s="2" t="s">
        <v>66</v>
      </c>
      <c r="R8" s="31">
        <v>1270</v>
      </c>
      <c r="S8" s="2" t="s">
        <v>47</v>
      </c>
      <c r="T8" s="21">
        <f>CONVERT(R8,"mm","in")</f>
        <v>50</v>
      </c>
      <c r="U8" s="15" t="s">
        <v>46</v>
      </c>
      <c r="W8" s="62" t="s">
        <v>157</v>
      </c>
      <c r="X8" s="54" t="s">
        <v>166</v>
      </c>
      <c r="Y8" s="2">
        <f>Y7-Y3</f>
        <v>146.05000000000001</v>
      </c>
      <c r="Z8" s="2" t="s">
        <v>47</v>
      </c>
      <c r="AA8" s="55">
        <f>CONVERT(Y8,"mm","in")</f>
        <v>5.75</v>
      </c>
      <c r="AB8" s="63" t="s">
        <v>46</v>
      </c>
    </row>
    <row r="9" spans="2:28" ht="18.75" thickBot="1" x14ac:dyDescent="0.4">
      <c r="B9" s="16" t="s">
        <v>102</v>
      </c>
      <c r="C9" s="7"/>
      <c r="D9" s="9">
        <v>800</v>
      </c>
      <c r="E9" s="7" t="s">
        <v>47</v>
      </c>
      <c r="F9" s="21">
        <f>CONVERT(D9,"mm","in")</f>
        <v>31.496062992125985</v>
      </c>
      <c r="G9" s="15" t="s">
        <v>46</v>
      </c>
      <c r="I9" s="14" t="s">
        <v>16</v>
      </c>
      <c r="J9" s="10" t="s">
        <v>60</v>
      </c>
      <c r="K9" s="2">
        <f>CONVERT(CONVERT(K6,"km","m"),"s","hr")/K8</f>
        <v>0.72916666666666674</v>
      </c>
      <c r="L9" s="2" t="s">
        <v>17</v>
      </c>
      <c r="M9" s="2">
        <f>K9</f>
        <v>0.72916666666666674</v>
      </c>
      <c r="N9" s="15" t="s">
        <v>17</v>
      </c>
      <c r="P9" s="14" t="s">
        <v>50</v>
      </c>
      <c r="Q9" s="2" t="s">
        <v>67</v>
      </c>
      <c r="R9" s="31">
        <v>-50</v>
      </c>
      <c r="S9" s="2" t="s">
        <v>47</v>
      </c>
      <c r="T9" s="21">
        <f>CONVERT(R9,"mm","in")</f>
        <v>-1.9685039370078741</v>
      </c>
      <c r="U9" s="15" t="s">
        <v>46</v>
      </c>
      <c r="W9" s="64" t="s">
        <v>158</v>
      </c>
      <c r="X9" s="65" t="s">
        <v>167</v>
      </c>
      <c r="Y9" s="65">
        <f>CONVERT(Y4,"MPa","Pa")*Y3^4/(8*Y8^3*Y6)</f>
        <v>931.12330670890663</v>
      </c>
      <c r="Z9" s="18" t="s">
        <v>163</v>
      </c>
      <c r="AA9" s="65">
        <f>CONVERT(CONVERT(Y9,"N","lbf"),"in","m")</f>
        <v>5.3168511005091155</v>
      </c>
      <c r="AB9" s="66" t="s">
        <v>141</v>
      </c>
    </row>
    <row r="10" spans="2:28" ht="18" x14ac:dyDescent="0.35">
      <c r="B10" s="16" t="s">
        <v>116</v>
      </c>
      <c r="C10" s="2"/>
      <c r="D10" s="31">
        <v>85</v>
      </c>
      <c r="E10" s="7" t="s">
        <v>15</v>
      </c>
      <c r="F10" s="2">
        <f t="shared" ref="F10:F15" si="0">CONVERT(D10,"N","lbf")</f>
        <v>19.108760163475392</v>
      </c>
      <c r="G10" s="17" t="s">
        <v>14</v>
      </c>
      <c r="I10" s="14" t="s">
        <v>12</v>
      </c>
      <c r="J10" s="2" t="s">
        <v>61</v>
      </c>
      <c r="K10" s="2">
        <f>K3*K9^2*K8</f>
        <v>13314.644097222224</v>
      </c>
      <c r="L10" s="2" t="s">
        <v>15</v>
      </c>
      <c r="M10" s="2">
        <f>CONVERT(K10,"N","lbf")</f>
        <v>2993.2510672453268</v>
      </c>
      <c r="N10" s="15" t="s">
        <v>14</v>
      </c>
      <c r="P10" s="14" t="s">
        <v>51</v>
      </c>
      <c r="Q10" s="2" t="s">
        <v>68</v>
      </c>
      <c r="R10" s="24">
        <f>K5*R8/R6</f>
        <v>6673.4253249999983</v>
      </c>
      <c r="S10" s="2" t="s">
        <v>15</v>
      </c>
      <c r="T10" s="24">
        <f>CONVERT(R10,"N","lbf")</f>
        <v>1500.2456941680916</v>
      </c>
      <c r="U10" s="15" t="s">
        <v>14</v>
      </c>
      <c r="W10" s="53"/>
      <c r="X10" s="53"/>
    </row>
    <row r="11" spans="2:28" ht="18" x14ac:dyDescent="0.35">
      <c r="B11" s="16" t="s">
        <v>115</v>
      </c>
      <c r="C11" s="2"/>
      <c r="D11" s="31">
        <v>1036</v>
      </c>
      <c r="E11" s="7" t="s">
        <v>15</v>
      </c>
      <c r="F11" s="2">
        <f t="shared" si="0"/>
        <v>232.90206505130004</v>
      </c>
      <c r="G11" s="17" t="s">
        <v>14</v>
      </c>
      <c r="I11" s="16" t="s">
        <v>24</v>
      </c>
      <c r="J11" s="7" t="s">
        <v>62</v>
      </c>
      <c r="K11" s="2">
        <f>K10/4</f>
        <v>3328.6610243055561</v>
      </c>
      <c r="L11" s="7" t="s">
        <v>15</v>
      </c>
      <c r="M11" s="2">
        <f>CONVERT(K11,"N","lbf")</f>
        <v>748.3127668113317</v>
      </c>
      <c r="N11" s="15" t="s">
        <v>14</v>
      </c>
      <c r="P11" s="14" t="s">
        <v>52</v>
      </c>
      <c r="Q11" s="2" t="s">
        <v>69</v>
      </c>
      <c r="R11" s="24">
        <f>K5*(R6-R8)/R6</f>
        <v>6673.4253249999983</v>
      </c>
      <c r="S11" s="2" t="s">
        <v>15</v>
      </c>
      <c r="T11" s="24">
        <f>CONVERT(R11,"N","lbf")</f>
        <v>1500.2456941680916</v>
      </c>
      <c r="U11" s="15" t="s">
        <v>14</v>
      </c>
      <c r="W11" s="53"/>
      <c r="X11" s="53"/>
      <c r="Y11" s="53"/>
      <c r="Z11" s="53"/>
      <c r="AA11" s="53"/>
      <c r="AB11" s="53"/>
    </row>
    <row r="12" spans="2:28" ht="18" x14ac:dyDescent="0.35">
      <c r="B12" s="14" t="s">
        <v>100</v>
      </c>
      <c r="C12" s="2"/>
      <c r="D12" s="38">
        <f>D10+D11</f>
        <v>1121</v>
      </c>
      <c r="E12" s="2" t="s">
        <v>15</v>
      </c>
      <c r="F12" s="2">
        <f t="shared" si="0"/>
        <v>252.01082521477545</v>
      </c>
      <c r="G12" s="17" t="s">
        <v>14</v>
      </c>
      <c r="I12" s="16" t="s">
        <v>25</v>
      </c>
      <c r="J12" s="7" t="s">
        <v>63</v>
      </c>
      <c r="K12" s="2">
        <f>CONVERT(CONVERT(K6,"km","m"),"s","hr")^2/K8</f>
        <v>9.7829861111111107</v>
      </c>
      <c r="L12" s="7" t="s">
        <v>4</v>
      </c>
      <c r="M12" s="2">
        <f>CONVERT(K12,"m","ft")</f>
        <v>32.096411125692626</v>
      </c>
      <c r="N12" s="17" t="s">
        <v>5</v>
      </c>
      <c r="P12" s="14" t="s">
        <v>73</v>
      </c>
      <c r="Q12" s="2" t="s">
        <v>72</v>
      </c>
      <c r="R12" s="22">
        <v>4.9000000000000004</v>
      </c>
      <c r="S12" s="2" t="s">
        <v>4</v>
      </c>
      <c r="T12" s="2">
        <f>CONVERT(R12,"m","ft")</f>
        <v>16.076115485564305</v>
      </c>
      <c r="U12" s="15" t="s">
        <v>5</v>
      </c>
      <c r="W12" s="53"/>
      <c r="X12" s="53"/>
      <c r="Y12" s="53"/>
      <c r="Z12" s="53"/>
      <c r="AA12" s="53"/>
      <c r="AB12" s="53"/>
    </row>
    <row r="13" spans="2:28" ht="18.75" thickBot="1" x14ac:dyDescent="0.4">
      <c r="B13" s="14" t="s">
        <v>99</v>
      </c>
      <c r="C13" s="2"/>
      <c r="D13" s="24">
        <f>D5-D12</f>
        <v>4272.6574999999993</v>
      </c>
      <c r="E13" s="2" t="s">
        <v>15</v>
      </c>
      <c r="F13" s="2">
        <f t="shared" si="0"/>
        <v>960.53161680205108</v>
      </c>
      <c r="G13" s="17" t="s">
        <v>14</v>
      </c>
      <c r="I13" s="27" t="s">
        <v>25</v>
      </c>
      <c r="J13" s="28" t="s">
        <v>64</v>
      </c>
      <c r="K13" s="29">
        <f>K10/K5</f>
        <v>0.99758695488378946</v>
      </c>
      <c r="L13" s="28" t="s">
        <v>26</v>
      </c>
      <c r="M13" s="29">
        <f>K10/K5</f>
        <v>0.99758695488378946</v>
      </c>
      <c r="N13" s="30" t="s">
        <v>26</v>
      </c>
      <c r="P13" s="14" t="s">
        <v>42</v>
      </c>
      <c r="Q13" s="2" t="s">
        <v>76</v>
      </c>
      <c r="R13" s="21">
        <f>(K5*R12)/K4</f>
        <v>6668.9</v>
      </c>
      <c r="S13" s="2" t="s">
        <v>15</v>
      </c>
      <c r="T13" s="21">
        <f>CONVERT(R13,"N","lbf")</f>
        <v>1499.2283606376593</v>
      </c>
      <c r="U13" s="15" t="s">
        <v>14</v>
      </c>
      <c r="W13" s="53"/>
      <c r="X13" s="53"/>
      <c r="Y13" s="53"/>
      <c r="Z13" s="53"/>
      <c r="AA13" s="53"/>
      <c r="AB13" s="53"/>
    </row>
    <row r="14" spans="2:28" ht="18" x14ac:dyDescent="0.35">
      <c r="B14" s="14" t="s">
        <v>129</v>
      </c>
      <c r="C14" s="2"/>
      <c r="D14" s="24">
        <f>D13*D9/D8</f>
        <v>2048.0083882564409</v>
      </c>
      <c r="E14" s="2" t="s">
        <v>15</v>
      </c>
      <c r="F14" s="24">
        <f t="shared" si="0"/>
        <v>460.41060122327195</v>
      </c>
      <c r="G14" s="15" t="s">
        <v>14</v>
      </c>
      <c r="I14" s="32" t="s">
        <v>48</v>
      </c>
      <c r="J14" s="33" t="s">
        <v>65</v>
      </c>
      <c r="K14" s="37">
        <v>508</v>
      </c>
      <c r="L14" s="33" t="s">
        <v>47</v>
      </c>
      <c r="M14" s="34">
        <f>CONVERT(K14,"mm","in")</f>
        <v>20</v>
      </c>
      <c r="N14" s="35" t="s">
        <v>46</v>
      </c>
      <c r="P14" s="14" t="s">
        <v>43</v>
      </c>
      <c r="Q14" s="2" t="s">
        <v>75</v>
      </c>
      <c r="R14" s="21">
        <f>R13*R7/R6</f>
        <v>1334.0425551181102</v>
      </c>
      <c r="S14" s="2" t="s">
        <v>15</v>
      </c>
      <c r="T14" s="21">
        <f>CONVERT(R14,"N","lbf")</f>
        <v>299.9046968661396</v>
      </c>
      <c r="U14" s="15" t="s">
        <v>14</v>
      </c>
      <c r="W14" s="53"/>
      <c r="X14" s="53"/>
      <c r="Y14" s="53"/>
      <c r="Z14" s="53"/>
      <c r="AA14" s="53"/>
      <c r="AB14" s="53"/>
    </row>
    <row r="15" spans="2:28" ht="18.75" thickBot="1" x14ac:dyDescent="0.4">
      <c r="B15" s="45" t="s">
        <v>130</v>
      </c>
      <c r="C15" s="29"/>
      <c r="D15" s="46">
        <f>D13*(D8-D9)/D8</f>
        <v>2224.6491117435585</v>
      </c>
      <c r="E15" s="29" t="s">
        <v>15</v>
      </c>
      <c r="F15" s="46">
        <f t="shared" si="0"/>
        <v>500.12101557877907</v>
      </c>
      <c r="G15" s="47" t="s">
        <v>14</v>
      </c>
      <c r="I15" s="12" t="s">
        <v>93</v>
      </c>
      <c r="J15" s="3" t="s">
        <v>108</v>
      </c>
      <c r="K15" s="36">
        <v>1525</v>
      </c>
      <c r="L15" s="2" t="s">
        <v>47</v>
      </c>
      <c r="M15" s="26">
        <f t="shared" ref="M15:M16" si="1">CONVERT(K15,"mm","in")</f>
        <v>60.039370078740156</v>
      </c>
      <c r="N15" s="13" t="s">
        <v>46</v>
      </c>
      <c r="P15" s="14" t="s">
        <v>74</v>
      </c>
      <c r="Q15" s="2" t="s">
        <v>77</v>
      </c>
      <c r="R15" s="21">
        <f>R10-R14</f>
        <v>5339.3827698818877</v>
      </c>
      <c r="S15" s="2" t="s">
        <v>15</v>
      </c>
      <c r="T15" s="21">
        <f>CONVERT(R15,"N","lbf")</f>
        <v>1200.3409973019518</v>
      </c>
      <c r="U15" s="15" t="s">
        <v>14</v>
      </c>
      <c r="W15" s="53"/>
      <c r="X15" s="53"/>
      <c r="Y15" s="53"/>
      <c r="Z15" s="53"/>
      <c r="AA15" s="53"/>
      <c r="AB15" s="53"/>
    </row>
    <row r="16" spans="2:28" ht="18.75" thickBot="1" x14ac:dyDescent="0.4">
      <c r="B16" s="32" t="s">
        <v>103</v>
      </c>
      <c r="C16" s="33"/>
      <c r="D16" s="33">
        <f>D13/D12</f>
        <v>3.811469669937555</v>
      </c>
      <c r="E16" s="33" t="s">
        <v>140</v>
      </c>
      <c r="F16" s="33"/>
      <c r="G16" s="50"/>
      <c r="I16" s="12" t="s">
        <v>94</v>
      </c>
      <c r="J16" s="3" t="s">
        <v>107</v>
      </c>
      <c r="K16" s="36">
        <v>1525</v>
      </c>
      <c r="L16" s="2" t="s">
        <v>47</v>
      </c>
      <c r="M16" s="26">
        <f t="shared" si="1"/>
        <v>60.039370078740156</v>
      </c>
      <c r="N16" s="13" t="s">
        <v>46</v>
      </c>
      <c r="P16" s="19" t="s">
        <v>125</v>
      </c>
      <c r="Q16" s="18" t="s">
        <v>78</v>
      </c>
      <c r="R16" s="23">
        <f>R11+R14</f>
        <v>8007.467880118109</v>
      </c>
      <c r="S16" s="18" t="s">
        <v>15</v>
      </c>
      <c r="T16" s="23">
        <f>CONVERT(R16,"N","lbf")</f>
        <v>1800.1503910342312</v>
      </c>
      <c r="U16" s="20" t="s">
        <v>14</v>
      </c>
      <c r="W16" s="53"/>
      <c r="X16" s="53"/>
      <c r="Y16" s="53"/>
      <c r="Z16" s="53"/>
      <c r="AA16" s="53"/>
      <c r="AB16" s="53"/>
    </row>
    <row r="17" spans="2:28" ht="18" x14ac:dyDescent="0.35">
      <c r="B17" s="14" t="s">
        <v>104</v>
      </c>
      <c r="C17" s="2"/>
      <c r="D17" s="2">
        <f>D13/D5</f>
        <v>0.79216329550031683</v>
      </c>
      <c r="E17" s="2" t="s">
        <v>140</v>
      </c>
      <c r="F17" s="2"/>
      <c r="G17" s="17"/>
      <c r="I17" s="14" t="s">
        <v>95</v>
      </c>
      <c r="J17" s="2" t="s">
        <v>106</v>
      </c>
      <c r="K17" s="24">
        <f>AVERAGE(K15:K16)</f>
        <v>1525</v>
      </c>
      <c r="L17" s="2" t="s">
        <v>47</v>
      </c>
      <c r="M17" s="21">
        <f>CONVERT(K17,"mm","in")</f>
        <v>60.039370078740156</v>
      </c>
      <c r="N17" s="15" t="s">
        <v>46</v>
      </c>
      <c r="P17" s="11"/>
      <c r="W17" s="53"/>
      <c r="X17" s="53"/>
      <c r="Y17" s="53"/>
      <c r="Z17" s="53"/>
      <c r="AA17" s="53"/>
      <c r="AB17" s="53"/>
    </row>
    <row r="18" spans="2:28" ht="18" x14ac:dyDescent="0.35">
      <c r="B18" s="14" t="s">
        <v>139</v>
      </c>
      <c r="C18" s="2"/>
      <c r="D18" s="2">
        <f>D14/D10</f>
        <v>24.094216332428715</v>
      </c>
      <c r="E18" s="2" t="s">
        <v>140</v>
      </c>
      <c r="F18" s="2"/>
      <c r="G18" s="17"/>
      <c r="I18" s="14" t="s">
        <v>53</v>
      </c>
      <c r="J18" s="2" t="s">
        <v>70</v>
      </c>
      <c r="K18" s="24">
        <f>((K17/2-R9)/K17)*K5</f>
        <v>7111.026985655737</v>
      </c>
      <c r="L18" s="2" t="s">
        <v>15</v>
      </c>
      <c r="M18" s="24">
        <f>CONVERT(K18,"N","lbf")</f>
        <v>1598.6224609987862</v>
      </c>
      <c r="N18" s="15" t="s">
        <v>14</v>
      </c>
    </row>
    <row r="19" spans="2:28" ht="18.75" thickBot="1" x14ac:dyDescent="0.4">
      <c r="B19" s="19" t="s">
        <v>138</v>
      </c>
      <c r="C19" s="18"/>
      <c r="D19" s="18">
        <f>D15/D11</f>
        <v>2.1473447024551722</v>
      </c>
      <c r="E19" s="18" t="s">
        <v>140</v>
      </c>
      <c r="F19" s="18"/>
      <c r="G19" s="51"/>
      <c r="I19" s="14" t="s">
        <v>54</v>
      </c>
      <c r="J19" s="2" t="s">
        <v>71</v>
      </c>
      <c r="K19" s="24">
        <f>((K17/2+R9)/K17)*K5</f>
        <v>6235.8236643442615</v>
      </c>
      <c r="L19" s="2" t="s">
        <v>15</v>
      </c>
      <c r="M19" s="21">
        <f>CONVERT(K19,"N","lbf")</f>
        <v>1401.8689273373973</v>
      </c>
      <c r="N19" s="15" t="s">
        <v>14</v>
      </c>
    </row>
    <row r="20" spans="2:28" ht="18" x14ac:dyDescent="0.35">
      <c r="B20" s="48" t="s">
        <v>136</v>
      </c>
      <c r="C20" s="3"/>
      <c r="D20" s="3">
        <f>(1/(2*PI()))*SQRT(CONVERT(D6,"m","mm")/(D14/D4))</f>
        <v>1.7245462132892337</v>
      </c>
      <c r="E20" s="49" t="s">
        <v>134</v>
      </c>
      <c r="F20" s="3"/>
      <c r="G20" s="13"/>
      <c r="I20" s="16" t="s">
        <v>79</v>
      </c>
      <c r="J20" s="7" t="s">
        <v>81</v>
      </c>
      <c r="K20" s="2">
        <f>CONVERT(CONVERT(SQRT(K8*K4*(K17/2)/K14),"m","km"),"hr","s")</f>
        <v>59.246106910872108</v>
      </c>
      <c r="L20" s="7" t="s">
        <v>7</v>
      </c>
      <c r="M20" s="21">
        <f>CONVERT(K20,"km","mi")</f>
        <v>36.813824086629147</v>
      </c>
      <c r="N20" s="17" t="s">
        <v>8</v>
      </c>
    </row>
    <row r="21" spans="2:28" ht="18.75" thickBot="1" x14ac:dyDescent="0.4">
      <c r="B21" s="27" t="s">
        <v>137</v>
      </c>
      <c r="C21" s="29"/>
      <c r="D21" s="29">
        <f>(1/(2*PI()))*SQRT(CONVERT(D7,"m","mm")/(D15/D4))</f>
        <v>2.0112878673198149</v>
      </c>
      <c r="E21" s="28" t="s">
        <v>134</v>
      </c>
      <c r="F21" s="29"/>
      <c r="G21" s="47"/>
      <c r="I21" s="16" t="s">
        <v>79</v>
      </c>
      <c r="J21" s="7" t="s">
        <v>83</v>
      </c>
      <c r="K21" s="2">
        <f>SQRT(K8*K4*(K17/2)/K14)</f>
        <v>16.457251919686698</v>
      </c>
      <c r="L21" s="7" t="s">
        <v>27</v>
      </c>
      <c r="M21" s="2">
        <f>CONVERT(K21,"m","ft")</f>
        <v>53.993608660389427</v>
      </c>
      <c r="N21" s="17" t="s">
        <v>28</v>
      </c>
    </row>
    <row r="22" spans="2:28" ht="18.75" thickBot="1" x14ac:dyDescent="0.4">
      <c r="B22" s="52" t="s">
        <v>143</v>
      </c>
      <c r="C22" s="33"/>
      <c r="D22" s="42">
        <f>20</f>
        <v>20</v>
      </c>
      <c r="E22" s="33" t="s">
        <v>7</v>
      </c>
      <c r="F22" s="33">
        <f>CONVERT(D22,"km","mi")</f>
        <v>12.427423844746679</v>
      </c>
      <c r="G22" s="35" t="s">
        <v>8</v>
      </c>
      <c r="I22" s="27" t="s">
        <v>80</v>
      </c>
      <c r="J22" s="28" t="s">
        <v>82</v>
      </c>
      <c r="K22" s="29">
        <f>K10*K14/K17</f>
        <v>4435.3043943533703</v>
      </c>
      <c r="L22" s="28" t="s">
        <v>15</v>
      </c>
      <c r="M22" s="29">
        <f>CONVERT(K22,"N","lbf")</f>
        <v>997.09609322008259</v>
      </c>
      <c r="N22" s="30" t="s">
        <v>14</v>
      </c>
    </row>
    <row r="23" spans="2:28" ht="18" x14ac:dyDescent="0.35">
      <c r="B23" s="16" t="s">
        <v>144</v>
      </c>
      <c r="C23" s="2"/>
      <c r="D23" s="2">
        <f>CONVERT(CONVERT(D22,"km","m"),"s","hr")</f>
        <v>5.5555555555555554</v>
      </c>
      <c r="E23" s="2" t="s">
        <v>27</v>
      </c>
      <c r="F23" s="2">
        <f>CONVERT(D23,"m","ft")</f>
        <v>18.226888305628464</v>
      </c>
      <c r="G23" s="15" t="s">
        <v>28</v>
      </c>
      <c r="I23" s="32" t="s">
        <v>44</v>
      </c>
      <c r="J23" s="33" t="s">
        <v>105</v>
      </c>
      <c r="K23" s="37">
        <v>2540</v>
      </c>
      <c r="L23" s="33" t="s">
        <v>47</v>
      </c>
      <c r="M23" s="34">
        <f>CONVERT(K23,"mm","in")</f>
        <v>100</v>
      </c>
      <c r="N23" s="35" t="s">
        <v>46</v>
      </c>
    </row>
    <row r="24" spans="2:28" x14ac:dyDescent="0.25">
      <c r="B24" s="16" t="s">
        <v>142</v>
      </c>
      <c r="C24" s="2"/>
      <c r="D24" s="2">
        <f>CONVERT(D8,"mm","m")/D23</f>
        <v>0.30042000000000002</v>
      </c>
      <c r="E24" s="7" t="s">
        <v>145</v>
      </c>
      <c r="F24" s="2">
        <f>CONVERT(D24,"s","ms")</f>
        <v>300.42</v>
      </c>
      <c r="G24" s="15" t="s">
        <v>146</v>
      </c>
      <c r="I24" s="16" t="s">
        <v>116</v>
      </c>
      <c r="J24" s="2"/>
      <c r="K24" s="31">
        <v>400</v>
      </c>
      <c r="L24" s="7" t="s">
        <v>15</v>
      </c>
      <c r="M24" s="2">
        <f>CONVERT(K24,"N","lbf")</f>
        <v>89.923577239884196</v>
      </c>
      <c r="N24" s="17" t="s">
        <v>14</v>
      </c>
    </row>
    <row r="25" spans="2:28" x14ac:dyDescent="0.25">
      <c r="B25" s="16" t="s">
        <v>147</v>
      </c>
      <c r="C25" s="2"/>
      <c r="D25" s="2">
        <f>1/D20</f>
        <v>0.57986268636587945</v>
      </c>
      <c r="E25" s="7" t="s">
        <v>145</v>
      </c>
      <c r="F25" s="2">
        <f t="shared" ref="F25:F27" si="2">CONVERT(D25,"s","ms")</f>
        <v>579.86268636587943</v>
      </c>
      <c r="G25" s="15" t="s">
        <v>146</v>
      </c>
      <c r="I25" s="16" t="s">
        <v>115</v>
      </c>
      <c r="J25" s="2"/>
      <c r="K25" s="31">
        <v>600</v>
      </c>
      <c r="L25" s="7" t="s">
        <v>15</v>
      </c>
      <c r="M25" s="2">
        <f>CONVERT(K25,"N","lbf")</f>
        <v>134.88536585982629</v>
      </c>
      <c r="N25" s="17" t="s">
        <v>14</v>
      </c>
    </row>
    <row r="26" spans="2:28" x14ac:dyDescent="0.25">
      <c r="B26" s="16" t="s">
        <v>148</v>
      </c>
      <c r="C26" s="2"/>
      <c r="D26" s="2">
        <f>1/D21</f>
        <v>0.49719387077722077</v>
      </c>
      <c r="E26" s="7" t="s">
        <v>145</v>
      </c>
      <c r="F26" s="2">
        <f t="shared" si="2"/>
        <v>497.19387077722075</v>
      </c>
      <c r="G26" s="15" t="s">
        <v>146</v>
      </c>
      <c r="I26" s="14" t="s">
        <v>100</v>
      </c>
      <c r="J26" s="2"/>
      <c r="K26" s="31">
        <f>K24+K25</f>
        <v>1000</v>
      </c>
      <c r="L26" s="2" t="s">
        <v>15</v>
      </c>
      <c r="M26" s="2">
        <f>CONVERT(K26,"N","lbf")</f>
        <v>224.80894309971049</v>
      </c>
      <c r="N26" s="17" t="s">
        <v>14</v>
      </c>
    </row>
    <row r="27" spans="2:28" x14ac:dyDescent="0.25">
      <c r="B27" s="16" t="s">
        <v>149</v>
      </c>
      <c r="C27" s="2"/>
      <c r="D27" s="2">
        <f>D26+D24</f>
        <v>0.79761387077722079</v>
      </c>
      <c r="E27" s="7" t="s">
        <v>145</v>
      </c>
      <c r="F27" s="2">
        <f t="shared" si="2"/>
        <v>797.61387077722077</v>
      </c>
      <c r="G27" s="15" t="s">
        <v>146</v>
      </c>
      <c r="I27" s="14" t="s">
        <v>99</v>
      </c>
      <c r="J27" s="2"/>
      <c r="K27" s="2">
        <f>K5-K26</f>
        <v>12346.850649999998</v>
      </c>
      <c r="L27" s="2" t="s">
        <v>15</v>
      </c>
      <c r="M27" s="2">
        <f>CONVERT(K27,"N","lbf")</f>
        <v>2775.6824452364726</v>
      </c>
      <c r="N27" s="17" t="s">
        <v>14</v>
      </c>
    </row>
    <row r="28" spans="2:28" ht="15.75" thickBot="1" x14ac:dyDescent="0.3">
      <c r="B28" s="43" t="s">
        <v>150</v>
      </c>
      <c r="C28" s="18"/>
      <c r="D28" s="18">
        <f>1/D27</f>
        <v>1.253739480515262</v>
      </c>
      <c r="E28" s="44" t="s">
        <v>134</v>
      </c>
      <c r="F28" s="18"/>
      <c r="G28" s="20"/>
      <c r="I28" s="14" t="s">
        <v>103</v>
      </c>
      <c r="J28" s="2"/>
      <c r="K28" s="2">
        <f>K27/K26</f>
        <v>12.346850649999999</v>
      </c>
      <c r="L28" s="2" t="s">
        <v>140</v>
      </c>
      <c r="M28" s="2"/>
      <c r="N28" s="17"/>
    </row>
    <row r="29" spans="2:28" x14ac:dyDescent="0.25">
      <c r="I29" s="14" t="s">
        <v>104</v>
      </c>
      <c r="J29" s="2"/>
      <c r="K29" s="2">
        <f>K27/K5</f>
        <v>0.92507595790022568</v>
      </c>
      <c r="L29" s="2" t="s">
        <v>140</v>
      </c>
      <c r="M29" s="2"/>
      <c r="N29" s="17"/>
    </row>
    <row r="30" spans="2:28" x14ac:dyDescent="0.25">
      <c r="I30" s="14" t="s">
        <v>118</v>
      </c>
      <c r="J30" s="2"/>
      <c r="K30" s="9">
        <v>30</v>
      </c>
      <c r="L30" s="2" t="s">
        <v>47</v>
      </c>
      <c r="M30" s="2">
        <f>CONVERT(K30,"mm","in")</f>
        <v>1.1811023622047243</v>
      </c>
      <c r="N30" s="17" t="s">
        <v>46</v>
      </c>
    </row>
    <row r="31" spans="2:28" x14ac:dyDescent="0.25">
      <c r="I31" s="14" t="s">
        <v>119</v>
      </c>
      <c r="J31" s="2"/>
      <c r="K31" s="9">
        <v>42</v>
      </c>
      <c r="L31" s="2" t="s">
        <v>47</v>
      </c>
      <c r="M31" s="2">
        <f>CONVERT(K31,"mm","in")</f>
        <v>1.6535433070866143</v>
      </c>
      <c r="N31" s="17" t="s">
        <v>46</v>
      </c>
    </row>
    <row r="32" spans="2:28" x14ac:dyDescent="0.25">
      <c r="I32" s="16" t="s">
        <v>102</v>
      </c>
      <c r="J32" s="7"/>
      <c r="K32" s="9">
        <v>1400</v>
      </c>
      <c r="L32" s="7" t="s">
        <v>47</v>
      </c>
      <c r="M32" s="2"/>
      <c r="N32" s="17"/>
    </row>
    <row r="33" spans="9:25" x14ac:dyDescent="0.25">
      <c r="I33" s="14" t="s">
        <v>101</v>
      </c>
      <c r="J33" s="2"/>
      <c r="K33" s="2">
        <f>K3*K29*K9^2*K8</f>
        <v>12317.057142338435</v>
      </c>
      <c r="L33" s="2" t="s">
        <v>15</v>
      </c>
      <c r="M33" s="2"/>
      <c r="N33" s="17"/>
    </row>
    <row r="34" spans="9:25" x14ac:dyDescent="0.25">
      <c r="I34" s="16" t="s">
        <v>97</v>
      </c>
      <c r="J34" s="7"/>
      <c r="K34" s="2">
        <f>K33*K32/K23</f>
        <v>6788.9291335723665</v>
      </c>
      <c r="L34" s="7" t="s">
        <v>15</v>
      </c>
      <c r="M34" s="2">
        <f>CONVERT(K34,"N","lbf")</f>
        <v>1526.2119832972369</v>
      </c>
      <c r="N34" s="17" t="s">
        <v>14</v>
      </c>
    </row>
    <row r="35" spans="9:25" x14ac:dyDescent="0.25">
      <c r="I35" s="16" t="s">
        <v>98</v>
      </c>
      <c r="J35" s="7"/>
      <c r="K35" s="2">
        <f>K33*(1-K32/K23)</f>
        <v>5528.1280087660689</v>
      </c>
      <c r="L35" s="7" t="s">
        <v>15</v>
      </c>
      <c r="M35" s="2">
        <f>CONVERT(K35,"N","lbf")</f>
        <v>1242.772614970607</v>
      </c>
      <c r="N35" s="17" t="s">
        <v>14</v>
      </c>
    </row>
    <row r="36" spans="9:25" x14ac:dyDescent="0.25">
      <c r="I36" s="16" t="s">
        <v>113</v>
      </c>
      <c r="J36" s="7"/>
      <c r="K36" s="2">
        <f>K3*((K24/K26)*(1-K29))*K9^2*K8</f>
        <v>399.03478195351585</v>
      </c>
      <c r="L36" s="7" t="s">
        <v>15</v>
      </c>
      <c r="M36" s="2">
        <f>CONVERT(K36,"N","lbf")</f>
        <v>89.706587590993323</v>
      </c>
      <c r="N36" s="17" t="s">
        <v>14</v>
      </c>
      <c r="V36" s="1"/>
    </row>
    <row r="37" spans="9:25" x14ac:dyDescent="0.25">
      <c r="I37" s="16" t="s">
        <v>114</v>
      </c>
      <c r="J37" s="7"/>
      <c r="K37" s="2">
        <f>K3*((K25/K26)*(1-K29))*K9^2*K8</f>
        <v>598.55217293027374</v>
      </c>
      <c r="L37" s="7" t="s">
        <v>15</v>
      </c>
      <c r="M37" s="2">
        <f>CONVERT(K37,"N","lbf")</f>
        <v>134.55988138648996</v>
      </c>
      <c r="N37" s="17" t="s">
        <v>14</v>
      </c>
    </row>
    <row r="38" spans="9:25" x14ac:dyDescent="0.25">
      <c r="I38" s="14" t="s">
        <v>89</v>
      </c>
      <c r="J38" s="2"/>
      <c r="K38" s="2"/>
      <c r="L38" s="2" t="s">
        <v>123</v>
      </c>
      <c r="M38" s="2">
        <f>CONVERT(CONVERT(K38,"N","lbf"),"in","mm")</f>
        <v>0</v>
      </c>
      <c r="N38" s="15" t="s">
        <v>124</v>
      </c>
      <c r="Y38" s="1"/>
    </row>
    <row r="39" spans="9:25" x14ac:dyDescent="0.25">
      <c r="I39" s="14" t="s">
        <v>87</v>
      </c>
      <c r="J39" s="2"/>
      <c r="K39" s="2"/>
      <c r="L39" s="2" t="s">
        <v>123</v>
      </c>
      <c r="M39" s="2">
        <f>CONVERT(CONVERT(K39,"N","lbf"),"in","mm")</f>
        <v>0</v>
      </c>
      <c r="N39" s="15" t="s">
        <v>124</v>
      </c>
      <c r="W39" s="1"/>
    </row>
    <row r="40" spans="9:25" x14ac:dyDescent="0.25">
      <c r="I40" s="14" t="s">
        <v>88</v>
      </c>
      <c r="J40" s="2"/>
      <c r="K40" s="2"/>
      <c r="L40" s="2" t="s">
        <v>123</v>
      </c>
      <c r="M40" s="2">
        <f>CONVERT(CONVERT(K40,"N","lbf"),"in","mm")</f>
        <v>0</v>
      </c>
      <c r="N40" s="15" t="s">
        <v>124</v>
      </c>
    </row>
    <row r="41" spans="9:25" x14ac:dyDescent="0.25">
      <c r="I41" s="14" t="s">
        <v>91</v>
      </c>
      <c r="J41" s="2"/>
      <c r="K41" s="2"/>
      <c r="L41" s="2"/>
      <c r="M41" s="2"/>
      <c r="N41" s="15"/>
    </row>
    <row r="42" spans="9:25" x14ac:dyDescent="0.25">
      <c r="I42" s="14" t="s">
        <v>86</v>
      </c>
      <c r="J42" s="2"/>
      <c r="K42" s="2" t="e">
        <f>K39/K38*K41</f>
        <v>#DIV/0!</v>
      </c>
      <c r="L42" s="2"/>
      <c r="M42" s="2"/>
      <c r="N42" s="15"/>
    </row>
    <row r="43" spans="9:25" x14ac:dyDescent="0.25">
      <c r="I43" s="14" t="s">
        <v>90</v>
      </c>
      <c r="J43" s="2"/>
      <c r="K43" s="2" t="e">
        <f>K40/K38*K41</f>
        <v>#DIV/0!</v>
      </c>
      <c r="L43" s="2"/>
      <c r="M43" s="2"/>
      <c r="N43" s="15"/>
    </row>
    <row r="44" spans="9:25" x14ac:dyDescent="0.25">
      <c r="I44" s="14" t="s">
        <v>110</v>
      </c>
      <c r="J44" s="2"/>
      <c r="K44" s="9">
        <v>120</v>
      </c>
      <c r="L44" s="2" t="s">
        <v>47</v>
      </c>
      <c r="M44" s="21">
        <f>CONVERT(K44,"mm","in")</f>
        <v>4.7244094488188972</v>
      </c>
      <c r="N44" s="15" t="s">
        <v>46</v>
      </c>
    </row>
    <row r="45" spans="9:25" x14ac:dyDescent="0.25">
      <c r="I45" s="14" t="s">
        <v>111</v>
      </c>
      <c r="J45" s="2"/>
      <c r="K45" s="9">
        <v>120</v>
      </c>
      <c r="L45" s="2" t="s">
        <v>47</v>
      </c>
      <c r="M45" s="21">
        <f>CONVERT(K45,"mm","in")</f>
        <v>4.7244094488188972</v>
      </c>
      <c r="N45" s="15" t="s">
        <v>46</v>
      </c>
    </row>
    <row r="46" spans="9:25" x14ac:dyDescent="0.25">
      <c r="I46" s="14" t="s">
        <v>92</v>
      </c>
      <c r="J46" s="2"/>
      <c r="K46" s="2" t="e">
        <f>K42/K15</f>
        <v>#DIV/0!</v>
      </c>
      <c r="L46" s="2" t="s">
        <v>15</v>
      </c>
      <c r="M46" s="2" t="e">
        <f t="shared" ref="M46:M47" si="3">CONVERT(K46,"N","lbf")</f>
        <v>#DIV/0!</v>
      </c>
      <c r="N46" s="15" t="s">
        <v>14</v>
      </c>
    </row>
    <row r="47" spans="9:25" x14ac:dyDescent="0.25">
      <c r="I47" s="14" t="s">
        <v>96</v>
      </c>
      <c r="J47" s="2"/>
      <c r="K47" s="2" t="e">
        <f>K43/K16</f>
        <v>#DIV/0!</v>
      </c>
      <c r="L47" s="2" t="s">
        <v>15</v>
      </c>
      <c r="M47" s="2" t="e">
        <f t="shared" si="3"/>
        <v>#DIV/0!</v>
      </c>
      <c r="N47" s="15" t="s">
        <v>14</v>
      </c>
    </row>
    <row r="48" spans="9:25" x14ac:dyDescent="0.25">
      <c r="I48" s="14" t="s">
        <v>109</v>
      </c>
      <c r="J48" s="2"/>
      <c r="K48" s="2">
        <f>K34*K44/K15</f>
        <v>534.21081706798952</v>
      </c>
      <c r="L48" s="2" t="s">
        <v>15</v>
      </c>
      <c r="M48" s="2">
        <f t="shared" ref="M48:M49" si="4">CONVERT(K48,"N","lbf")</f>
        <v>120.09536917748751</v>
      </c>
      <c r="N48" s="15" t="s">
        <v>14</v>
      </c>
    </row>
    <row r="49" spans="9:14" x14ac:dyDescent="0.25">
      <c r="I49" s="14" t="s">
        <v>112</v>
      </c>
      <c r="J49" s="2"/>
      <c r="K49" s="2">
        <f>K35*K45/K16</f>
        <v>435.00023675536278</v>
      </c>
      <c r="L49" s="2" t="s">
        <v>15</v>
      </c>
      <c r="M49" s="2">
        <f t="shared" si="4"/>
        <v>97.791943473096936</v>
      </c>
      <c r="N49" s="15" t="s">
        <v>14</v>
      </c>
    </row>
    <row r="50" spans="9:14" x14ac:dyDescent="0.25">
      <c r="I50" s="14" t="s">
        <v>117</v>
      </c>
      <c r="J50" s="2"/>
      <c r="K50" s="2">
        <f>K36*K30/K15</f>
        <v>7.8498645630199846</v>
      </c>
      <c r="L50" s="2" t="s">
        <v>15</v>
      </c>
      <c r="M50" s="2">
        <f>CONVERT(K50,"N","lbf")</f>
        <v>1.7647197558883934</v>
      </c>
      <c r="N50" s="15" t="s">
        <v>14</v>
      </c>
    </row>
    <row r="51" spans="9:14" x14ac:dyDescent="0.25">
      <c r="I51" s="14" t="s">
        <v>122</v>
      </c>
      <c r="J51" s="2"/>
      <c r="K51" s="2">
        <f>K37*K31/K16</f>
        <v>16.484715582341966</v>
      </c>
      <c r="L51" s="2" t="s">
        <v>15</v>
      </c>
      <c r="M51" s="2">
        <f>CONVERT(K51,"N","lbf")</f>
        <v>3.7059114873656256</v>
      </c>
      <c r="N51" s="15" t="s">
        <v>14</v>
      </c>
    </row>
    <row r="52" spans="9:14" x14ac:dyDescent="0.25">
      <c r="I52" s="14" t="s">
        <v>121</v>
      </c>
      <c r="J52" s="2"/>
      <c r="K52" s="2" t="e">
        <f>K50+K48+K46</f>
        <v>#DIV/0!</v>
      </c>
      <c r="L52" s="2" t="s">
        <v>15</v>
      </c>
      <c r="M52" s="2" t="e">
        <f>CONVERT(K52,"N","lbf")</f>
        <v>#DIV/0!</v>
      </c>
      <c r="N52" s="15" t="s">
        <v>14</v>
      </c>
    </row>
    <row r="53" spans="9:14" ht="15.75" thickBot="1" x14ac:dyDescent="0.3">
      <c r="I53" s="19" t="s">
        <v>120</v>
      </c>
      <c r="J53" s="18"/>
      <c r="K53" s="18" t="e">
        <f>K51+K49+K47</f>
        <v>#DIV/0!</v>
      </c>
      <c r="L53" s="18" t="s">
        <v>15</v>
      </c>
      <c r="M53" s="18" t="e">
        <f>CONVERT(K53,"N","lbf")</f>
        <v>#DIV/0!</v>
      </c>
      <c r="N53" s="20" t="s">
        <v>14</v>
      </c>
    </row>
  </sheetData>
  <mergeCells count="4">
    <mergeCell ref="I1:N1"/>
    <mergeCell ref="P1:U1"/>
    <mergeCell ref="B1:G1"/>
    <mergeCell ref="W1:AB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42EB9-E598-44D0-9A25-D56FAEA572FC}">
  <dimension ref="B1:AI105"/>
  <sheetViews>
    <sheetView tabSelected="1" zoomScaleNormal="100" workbookViewId="0">
      <selection activeCell="C7" sqref="C7"/>
    </sheetView>
  </sheetViews>
  <sheetFormatPr defaultRowHeight="15" x14ac:dyDescent="0.25"/>
  <cols>
    <col min="2" max="2" width="58.7109375" bestFit="1" customWidth="1"/>
    <col min="9" max="9" width="58.7109375" bestFit="1" customWidth="1"/>
    <col min="10" max="10" width="16.5703125" bestFit="1" customWidth="1"/>
    <col min="11" max="11" width="12" bestFit="1" customWidth="1"/>
    <col min="14" max="14" width="10.28515625" bestFit="1" customWidth="1"/>
    <col min="16" max="16" width="32.42578125" bestFit="1" customWidth="1"/>
    <col min="19" max="19" width="5" bestFit="1" customWidth="1"/>
    <col min="20" max="20" width="12" bestFit="1" customWidth="1"/>
    <col min="21" max="21" width="11" bestFit="1" customWidth="1"/>
    <col min="23" max="23" width="27.140625" bestFit="1" customWidth="1"/>
    <col min="24" max="24" width="9" bestFit="1" customWidth="1"/>
    <col min="25" max="25" width="24.7109375" bestFit="1" customWidth="1"/>
    <col min="26" max="26" width="5" bestFit="1" customWidth="1"/>
    <col min="27" max="27" width="12.5703125" bestFit="1" customWidth="1"/>
    <col min="28" max="28" width="7.85546875" bestFit="1" customWidth="1"/>
    <col min="30" max="30" width="97.28515625" customWidth="1"/>
  </cols>
  <sheetData>
    <row r="1" spans="2:35" ht="48.75" customHeight="1" thickBot="1" x14ac:dyDescent="0.3">
      <c r="B1" s="152" t="s">
        <v>135</v>
      </c>
      <c r="C1" s="152"/>
      <c r="D1" s="152"/>
      <c r="E1" s="152"/>
      <c r="F1" s="152"/>
      <c r="G1" s="152"/>
      <c r="I1" s="153" t="s">
        <v>189</v>
      </c>
      <c r="J1" s="154"/>
      <c r="K1" s="154"/>
      <c r="L1" s="154"/>
      <c r="M1" s="154"/>
      <c r="N1" s="155"/>
      <c r="P1" s="152" t="s">
        <v>268</v>
      </c>
      <c r="Q1" s="152"/>
      <c r="R1" s="152"/>
      <c r="S1" s="152"/>
      <c r="T1" s="152"/>
      <c r="U1" s="152"/>
      <c r="V1" s="156"/>
      <c r="W1" s="159" t="s">
        <v>269</v>
      </c>
      <c r="X1" s="159"/>
      <c r="Y1" s="159"/>
      <c r="Z1" s="159"/>
      <c r="AA1" s="159"/>
      <c r="AB1" s="159"/>
      <c r="AD1" s="151" t="s">
        <v>265</v>
      </c>
      <c r="AE1" s="151"/>
      <c r="AF1" s="151"/>
      <c r="AG1" s="151"/>
      <c r="AH1" s="151"/>
      <c r="AI1" s="151"/>
    </row>
    <row r="2" spans="2:35" ht="30.75" thickBot="1" x14ac:dyDescent="0.3">
      <c r="B2" s="39" t="s">
        <v>18</v>
      </c>
      <c r="C2" s="40" t="s">
        <v>19</v>
      </c>
      <c r="D2" s="40" t="s">
        <v>20</v>
      </c>
      <c r="E2" s="40" t="s">
        <v>21</v>
      </c>
      <c r="F2" s="40" t="s">
        <v>22</v>
      </c>
      <c r="G2" s="41" t="s">
        <v>23</v>
      </c>
      <c r="I2" s="4" t="s">
        <v>18</v>
      </c>
      <c r="J2" s="5" t="s">
        <v>19</v>
      </c>
      <c r="K2" s="5" t="s">
        <v>20</v>
      </c>
      <c r="L2" s="5" t="s">
        <v>21</v>
      </c>
      <c r="M2" s="5" t="s">
        <v>22</v>
      </c>
      <c r="N2" s="6" t="s">
        <v>23</v>
      </c>
      <c r="P2" s="39" t="s">
        <v>18</v>
      </c>
      <c r="Q2" s="40" t="s">
        <v>19</v>
      </c>
      <c r="R2" s="40" t="s">
        <v>20</v>
      </c>
      <c r="S2" s="40" t="s">
        <v>21</v>
      </c>
      <c r="T2" s="40" t="s">
        <v>22</v>
      </c>
      <c r="U2" s="41" t="s">
        <v>23</v>
      </c>
      <c r="V2" s="157"/>
      <c r="W2" s="4" t="s">
        <v>18</v>
      </c>
      <c r="X2" s="5" t="s">
        <v>19</v>
      </c>
      <c r="Y2" s="5" t="s">
        <v>20</v>
      </c>
      <c r="Z2" s="5" t="s">
        <v>21</v>
      </c>
      <c r="AA2" s="5" t="s">
        <v>22</v>
      </c>
      <c r="AB2" s="6" t="s">
        <v>23</v>
      </c>
      <c r="AD2" s="4" t="s">
        <v>18</v>
      </c>
      <c r="AE2" s="5" t="s">
        <v>19</v>
      </c>
      <c r="AF2" s="5" t="s">
        <v>20</v>
      </c>
      <c r="AG2" s="5" t="s">
        <v>21</v>
      </c>
      <c r="AH2" s="5" t="s">
        <v>22</v>
      </c>
      <c r="AI2" s="6" t="s">
        <v>23</v>
      </c>
    </row>
    <row r="3" spans="2:35" ht="18" x14ac:dyDescent="0.35">
      <c r="B3" s="91" t="s">
        <v>0</v>
      </c>
      <c r="C3" s="92" t="s">
        <v>55</v>
      </c>
      <c r="D3" s="42">
        <v>550</v>
      </c>
      <c r="E3" s="92" t="s">
        <v>1</v>
      </c>
      <c r="F3" s="92">
        <f>CONVERT(D3,"kg","lbm")</f>
        <v>1212.5424420168267</v>
      </c>
      <c r="G3" s="94" t="s">
        <v>2</v>
      </c>
      <c r="I3" s="82" t="s">
        <v>0</v>
      </c>
      <c r="J3" s="83" t="s">
        <v>55</v>
      </c>
      <c r="K3" s="8">
        <v>1360.7771100000002</v>
      </c>
      <c r="L3" s="83" t="s">
        <v>1</v>
      </c>
      <c r="M3" s="83">
        <f>CONVERT(K3,"kg","lbm")</f>
        <v>3000.0000000000005</v>
      </c>
      <c r="N3" s="90" t="s">
        <v>2</v>
      </c>
      <c r="P3" s="128" t="s">
        <v>151</v>
      </c>
      <c r="Q3" s="58" t="s">
        <v>164</v>
      </c>
      <c r="R3" s="42">
        <v>15.75</v>
      </c>
      <c r="S3" s="33" t="s">
        <v>47</v>
      </c>
      <c r="T3" s="58">
        <f>CONVERT(R3,"mm","in")</f>
        <v>0.62007874015748032</v>
      </c>
      <c r="U3" s="59" t="s">
        <v>46</v>
      </c>
      <c r="V3" s="158"/>
      <c r="W3" s="160" t="s">
        <v>281</v>
      </c>
      <c r="X3" s="149"/>
      <c r="Y3" s="162" t="s">
        <v>280</v>
      </c>
      <c r="Z3" s="3"/>
      <c r="AA3" s="150"/>
      <c r="AB3" s="161"/>
      <c r="AD3" s="12" t="s">
        <v>253</v>
      </c>
      <c r="AE3" s="3" t="s">
        <v>167</v>
      </c>
      <c r="AF3" s="8">
        <v>87750</v>
      </c>
      <c r="AG3" s="3" t="s">
        <v>163</v>
      </c>
      <c r="AH3" s="149">
        <f>CONVERT(CONVERT(AF3,"N","lbf"),"in","m")</f>
        <v>501.06541282778977</v>
      </c>
      <c r="AI3" s="161" t="s">
        <v>141</v>
      </c>
    </row>
    <row r="4" spans="2:35" x14ac:dyDescent="0.25">
      <c r="B4" s="76" t="s">
        <v>3</v>
      </c>
      <c r="C4" s="77" t="s">
        <v>26</v>
      </c>
      <c r="D4" s="77">
        <v>9.8066499999999994</v>
      </c>
      <c r="E4" s="77" t="s">
        <v>4</v>
      </c>
      <c r="F4" s="77">
        <f>CONVERT(D4,"m","ft")</f>
        <v>32.174048556430449</v>
      </c>
      <c r="G4" s="79" t="s">
        <v>5</v>
      </c>
      <c r="I4" s="76" t="s">
        <v>3</v>
      </c>
      <c r="J4" s="77" t="s">
        <v>26</v>
      </c>
      <c r="K4" s="77">
        <v>9.8066499999999994</v>
      </c>
      <c r="L4" s="77" t="s">
        <v>4</v>
      </c>
      <c r="M4" s="77">
        <f>CONVERT(K4,"m","ft")</f>
        <v>32.174048556430449</v>
      </c>
      <c r="N4" s="79" t="s">
        <v>5</v>
      </c>
      <c r="P4" s="129" t="s">
        <v>160</v>
      </c>
      <c r="Q4" s="54" t="s">
        <v>152</v>
      </c>
      <c r="R4" s="9">
        <v>77.566100000000006</v>
      </c>
      <c r="S4" s="2" t="s">
        <v>162</v>
      </c>
      <c r="T4" s="56">
        <f>CONVERT(CONVERT(CONVERT(R4,"MPa","Pa"),"N","lbf"),"in^2","m^2")</f>
        <v>11250.01166855518</v>
      </c>
      <c r="U4" s="61" t="s">
        <v>161</v>
      </c>
      <c r="V4" s="158"/>
      <c r="W4" s="129" t="s">
        <v>270</v>
      </c>
      <c r="X4" s="54" t="s">
        <v>276</v>
      </c>
      <c r="Y4" s="9">
        <f>3*25.4</f>
        <v>76.199999999999989</v>
      </c>
      <c r="Z4" s="2" t="s">
        <v>47</v>
      </c>
      <c r="AA4" s="54">
        <f>CONVERT(Y4,"mm","in")</f>
        <v>2.9999999999999996</v>
      </c>
      <c r="AB4" s="61" t="s">
        <v>46</v>
      </c>
      <c r="AD4" s="14" t="s">
        <v>256</v>
      </c>
      <c r="AE4" s="2" t="s">
        <v>257</v>
      </c>
      <c r="AF4" s="9">
        <v>250</v>
      </c>
      <c r="AG4" s="2" t="s">
        <v>47</v>
      </c>
      <c r="AH4" s="54">
        <f>CONVERT(AF4,"mm","in")</f>
        <v>9.8425196850393704</v>
      </c>
      <c r="AI4" s="63" t="s">
        <v>46</v>
      </c>
    </row>
    <row r="5" spans="2:35" ht="18.75" thickBot="1" x14ac:dyDescent="0.4">
      <c r="B5" s="76" t="s">
        <v>13</v>
      </c>
      <c r="C5" s="77" t="s">
        <v>56</v>
      </c>
      <c r="D5" s="77">
        <f>D3*D4</f>
        <v>5393.6574999999993</v>
      </c>
      <c r="E5" s="77" t="s">
        <v>15</v>
      </c>
      <c r="F5" s="77">
        <f>CONVERT(D5,"N","lbf")</f>
        <v>1212.5424420168265</v>
      </c>
      <c r="G5" s="79" t="s">
        <v>14</v>
      </c>
      <c r="I5" s="76" t="s">
        <v>13</v>
      </c>
      <c r="J5" s="77" t="s">
        <v>56</v>
      </c>
      <c r="K5" s="77">
        <f>K3*K4</f>
        <v>13344.664845781501</v>
      </c>
      <c r="L5" s="77" t="s">
        <v>15</v>
      </c>
      <c r="M5" s="77">
        <f>CONVERT(K5,"N","lbf")</f>
        <v>3000</v>
      </c>
      <c r="N5" s="79" t="s">
        <v>14</v>
      </c>
      <c r="P5" s="62" t="s">
        <v>154</v>
      </c>
      <c r="Q5" s="55" t="s">
        <v>153</v>
      </c>
      <c r="R5" s="9">
        <v>9.5</v>
      </c>
      <c r="S5" s="2" t="s">
        <v>140</v>
      </c>
      <c r="T5" s="54"/>
      <c r="U5" s="63" t="s">
        <v>140</v>
      </c>
      <c r="V5" s="148"/>
      <c r="W5" s="129" t="s">
        <v>271</v>
      </c>
      <c r="X5" s="54" t="s">
        <v>214</v>
      </c>
      <c r="Y5" s="9">
        <v>210</v>
      </c>
      <c r="Z5" s="2" t="s">
        <v>272</v>
      </c>
      <c r="AA5" s="56">
        <f>CONVERT(CONVERT(CONVERT(Y5,"GPa","Pa"),"N","lbf"),"in^2","m^2")</f>
        <v>30457924.923343934</v>
      </c>
      <c r="AB5" s="61" t="s">
        <v>161</v>
      </c>
      <c r="AD5" s="14" t="s">
        <v>260</v>
      </c>
      <c r="AE5" s="2" t="s">
        <v>258</v>
      </c>
      <c r="AF5" s="9">
        <f>14*25.4</f>
        <v>355.59999999999997</v>
      </c>
      <c r="AG5" s="2" t="s">
        <v>47</v>
      </c>
      <c r="AH5" s="54">
        <f t="shared" ref="AH5:AH8" si="0">CONVERT(AF5,"mm","in")</f>
        <v>13.999999999999998</v>
      </c>
      <c r="AI5" s="63" t="s">
        <v>46</v>
      </c>
    </row>
    <row r="6" spans="2:35" ht="18" x14ac:dyDescent="0.35">
      <c r="B6" s="16" t="s">
        <v>131</v>
      </c>
      <c r="C6" s="2"/>
      <c r="D6" s="9">
        <v>24.52</v>
      </c>
      <c r="E6" s="7" t="s">
        <v>132</v>
      </c>
      <c r="F6" s="2">
        <f>CONVERT(CONVERT(D6,"N","lbf"),"in","mm")</f>
        <v>140.01280823404446</v>
      </c>
      <c r="G6" s="15" t="s">
        <v>141</v>
      </c>
      <c r="I6" s="52" t="s">
        <v>48</v>
      </c>
      <c r="J6" s="115" t="s">
        <v>65</v>
      </c>
      <c r="K6" s="37">
        <v>508.33332545421729</v>
      </c>
      <c r="L6" s="115" t="s">
        <v>47</v>
      </c>
      <c r="M6" s="116">
        <f t="shared" ref="M6:M12" si="1">CONVERT(K6,"mm","in")</f>
        <v>20.013123049378631</v>
      </c>
      <c r="N6" s="50" t="s">
        <v>46</v>
      </c>
      <c r="P6" s="62" t="s">
        <v>155</v>
      </c>
      <c r="Q6" s="55" t="s">
        <v>156</v>
      </c>
      <c r="R6" s="2">
        <f>R5+0.5</f>
        <v>10</v>
      </c>
      <c r="S6" s="2" t="s">
        <v>140</v>
      </c>
      <c r="T6" s="54"/>
      <c r="U6" s="63" t="s">
        <v>140</v>
      </c>
      <c r="V6" s="148"/>
      <c r="W6" s="62" t="s">
        <v>273</v>
      </c>
      <c r="X6" s="55" t="s">
        <v>15</v>
      </c>
      <c r="Y6" s="9">
        <v>5</v>
      </c>
      <c r="Z6" s="2" t="s">
        <v>140</v>
      </c>
      <c r="AA6" s="54"/>
      <c r="AB6" s="63" t="s">
        <v>140</v>
      </c>
      <c r="AD6" s="14" t="s">
        <v>263</v>
      </c>
      <c r="AE6" s="2"/>
      <c r="AF6" s="7">
        <f>AF4/AF5</f>
        <v>0.70303712035995503</v>
      </c>
      <c r="AG6" s="2" t="s">
        <v>140</v>
      </c>
      <c r="AH6" s="54"/>
      <c r="AI6" s="63"/>
    </row>
    <row r="7" spans="2:35" ht="18" x14ac:dyDescent="0.35">
      <c r="B7" s="16" t="s">
        <v>133</v>
      </c>
      <c r="C7" s="2"/>
      <c r="D7" s="9">
        <v>36.228391254480442</v>
      </c>
      <c r="E7" s="7" t="s">
        <v>132</v>
      </c>
      <c r="F7" s="2">
        <f>CONVERT(CONVERT(D7,"N","lbf"),"in","mm")</f>
        <v>206.86944524231259</v>
      </c>
      <c r="G7" s="15" t="s">
        <v>141</v>
      </c>
      <c r="I7" s="16" t="s">
        <v>49</v>
      </c>
      <c r="J7" s="7" t="s">
        <v>66</v>
      </c>
      <c r="K7" s="31">
        <v>1270</v>
      </c>
      <c r="L7" s="7" t="s">
        <v>47</v>
      </c>
      <c r="M7" s="114">
        <f t="shared" si="1"/>
        <v>50</v>
      </c>
      <c r="N7" s="17" t="s">
        <v>46</v>
      </c>
      <c r="P7" s="62" t="s">
        <v>159</v>
      </c>
      <c r="Q7" s="55" t="s">
        <v>165</v>
      </c>
      <c r="R7" s="9">
        <v>142.80000000000001</v>
      </c>
      <c r="S7" s="2" t="s">
        <v>47</v>
      </c>
      <c r="T7" s="54">
        <f>CONVERT(R7,"mm","in")</f>
        <v>5.6220472440944889</v>
      </c>
      <c r="U7" s="63" t="s">
        <v>46</v>
      </c>
      <c r="V7" s="148"/>
      <c r="W7" s="62" t="s">
        <v>274</v>
      </c>
      <c r="X7" s="55" t="s">
        <v>275</v>
      </c>
      <c r="Y7" s="9">
        <v>6.35</v>
      </c>
      <c r="Z7" s="2" t="s">
        <v>47</v>
      </c>
      <c r="AA7" s="54">
        <f>CONVERT(Y7,"mm","in")</f>
        <v>0.25</v>
      </c>
      <c r="AB7" s="63" t="s">
        <v>46</v>
      </c>
      <c r="AD7" s="163" t="s">
        <v>266</v>
      </c>
      <c r="AE7" s="2" t="s">
        <v>259</v>
      </c>
      <c r="AF7" s="9">
        <f>90*25.4</f>
        <v>2286</v>
      </c>
      <c r="AG7" s="2" t="s">
        <v>47</v>
      </c>
      <c r="AH7" s="54">
        <f t="shared" si="0"/>
        <v>90</v>
      </c>
      <c r="AI7" s="63" t="s">
        <v>46</v>
      </c>
    </row>
    <row r="8" spans="2:35" ht="18.75" thickBot="1" x14ac:dyDescent="0.4">
      <c r="B8" s="76" t="s">
        <v>44</v>
      </c>
      <c r="C8" s="77" t="s">
        <v>45</v>
      </c>
      <c r="D8" s="31">
        <f>1669</f>
        <v>1669</v>
      </c>
      <c r="E8" s="77" t="s">
        <v>47</v>
      </c>
      <c r="F8" s="81">
        <f>CONVERT(D8,"mm","in")</f>
        <v>65.70866141732283</v>
      </c>
      <c r="G8" s="79" t="s">
        <v>46</v>
      </c>
      <c r="I8" s="16" t="s">
        <v>50</v>
      </c>
      <c r="J8" s="7" t="s">
        <v>67</v>
      </c>
      <c r="K8" s="31">
        <v>0</v>
      </c>
      <c r="L8" s="7" t="s">
        <v>47</v>
      </c>
      <c r="M8" s="114">
        <f t="shared" si="1"/>
        <v>0</v>
      </c>
      <c r="N8" s="17" t="s">
        <v>46</v>
      </c>
      <c r="P8" s="62" t="s">
        <v>157</v>
      </c>
      <c r="Q8" s="54" t="s">
        <v>166</v>
      </c>
      <c r="R8" s="2">
        <f>R7-R3</f>
        <v>127.05000000000001</v>
      </c>
      <c r="S8" s="2" t="s">
        <v>47</v>
      </c>
      <c r="T8" s="55">
        <f>CONVERT(R8,"mm","in")</f>
        <v>5.0019685039370083</v>
      </c>
      <c r="U8" s="63" t="s">
        <v>46</v>
      </c>
      <c r="V8" s="148"/>
      <c r="W8" s="62" t="s">
        <v>282</v>
      </c>
      <c r="X8" s="54" t="s">
        <v>277</v>
      </c>
      <c r="Y8" s="9">
        <v>1524</v>
      </c>
      <c r="Z8" s="2" t="s">
        <v>47</v>
      </c>
      <c r="AA8" s="55">
        <f>CONVERT(Y8,"mm","in")</f>
        <v>60</v>
      </c>
      <c r="AB8" s="63" t="s">
        <v>46</v>
      </c>
      <c r="AD8" s="14" t="s">
        <v>261</v>
      </c>
      <c r="AE8" s="2" t="s">
        <v>166</v>
      </c>
      <c r="AF8" s="9">
        <f>94*25.4</f>
        <v>2387.6</v>
      </c>
      <c r="AG8" s="2" t="s">
        <v>47</v>
      </c>
      <c r="AH8" s="54">
        <f t="shared" si="0"/>
        <v>94</v>
      </c>
      <c r="AI8" s="63" t="s">
        <v>46</v>
      </c>
    </row>
    <row r="9" spans="2:35" ht="18.75" thickBot="1" x14ac:dyDescent="0.4">
      <c r="B9" s="16" t="s">
        <v>102</v>
      </c>
      <c r="C9" s="7"/>
      <c r="D9" s="9">
        <v>800</v>
      </c>
      <c r="E9" s="7" t="s">
        <v>47</v>
      </c>
      <c r="F9" s="21">
        <f>CONVERT(D9,"mm","in")</f>
        <v>31.496062992125985</v>
      </c>
      <c r="G9" s="15" t="s">
        <v>46</v>
      </c>
      <c r="I9" s="91" t="s">
        <v>44</v>
      </c>
      <c r="J9" s="92" t="s">
        <v>105</v>
      </c>
      <c r="K9" s="37">
        <v>2540</v>
      </c>
      <c r="L9" s="92" t="s">
        <v>47</v>
      </c>
      <c r="M9" s="93">
        <f t="shared" si="1"/>
        <v>100</v>
      </c>
      <c r="N9" s="94" t="s">
        <v>46</v>
      </c>
      <c r="P9" s="64" t="s">
        <v>255</v>
      </c>
      <c r="Q9" s="65" t="s">
        <v>167</v>
      </c>
      <c r="R9" s="65">
        <f>CONVERT(R4,"MPa","Pa")*R3^4/(8*R8^3*R6)</f>
        <v>29092.443070863766</v>
      </c>
      <c r="S9" s="18" t="s">
        <v>163</v>
      </c>
      <c r="T9" s="65">
        <f>CONVERT(CONVERT(R9,"N","lbf"),"in","m")</f>
        <v>166.12213102531422</v>
      </c>
      <c r="U9" s="66" t="s">
        <v>141</v>
      </c>
      <c r="V9" s="148"/>
      <c r="W9" s="64" t="s">
        <v>255</v>
      </c>
      <c r="X9" s="65" t="s">
        <v>167</v>
      </c>
      <c r="Y9" s="65">
        <f>IF(Y3="Quarter-Elliptic Laminated",CONVERT(CONVERT(CONVERT(Y5,"GPa","Pa"),"mm^2","m^2")*Y6*Y4*Y7^3/(6*Y8^3),"m","mm"),CONVERT(8*CONVERT(CONVERT(Y5,"GPa","Pa"),"mm^2","m^2")*Y6*Y4*Y7^3/(3*Y8^3),"m","mm"))</f>
        <v>964.62673611111074</v>
      </c>
      <c r="Z9" s="18" t="s">
        <v>163</v>
      </c>
      <c r="AA9" s="65">
        <f>CONVERT(CONVERT(Y9,"N","lbf"),"in","m")</f>
        <v>5.5081606125838984</v>
      </c>
      <c r="AB9" s="66" t="s">
        <v>141</v>
      </c>
      <c r="AD9" s="16" t="s">
        <v>264</v>
      </c>
      <c r="AE9" s="2"/>
      <c r="AF9" s="2">
        <f>AF7/AF8</f>
        <v>0.95744680851063835</v>
      </c>
      <c r="AG9" s="7" t="s">
        <v>140</v>
      </c>
      <c r="AH9" s="2"/>
      <c r="AI9" s="15"/>
    </row>
    <row r="10" spans="2:35" ht="18" x14ac:dyDescent="0.35">
      <c r="B10" s="76" t="s">
        <v>116</v>
      </c>
      <c r="C10" s="77"/>
      <c r="D10" s="31">
        <v>85</v>
      </c>
      <c r="E10" s="77" t="s">
        <v>15</v>
      </c>
      <c r="F10" s="77">
        <f t="shared" ref="F10:F15" si="2">CONVERT(D10,"N","lbf")</f>
        <v>19.108760163475392</v>
      </c>
      <c r="G10" s="79" t="s">
        <v>14</v>
      </c>
      <c r="I10" s="48" t="s">
        <v>93</v>
      </c>
      <c r="J10" s="49" t="s">
        <v>108</v>
      </c>
      <c r="K10" s="36">
        <v>1525</v>
      </c>
      <c r="L10" s="7" t="s">
        <v>47</v>
      </c>
      <c r="M10" s="126">
        <f t="shared" si="1"/>
        <v>60.039370078740156</v>
      </c>
      <c r="N10" s="71" t="s">
        <v>46</v>
      </c>
      <c r="P10" s="53"/>
      <c r="Q10" s="53"/>
      <c r="Z10" s="11"/>
      <c r="AD10" s="16" t="s">
        <v>267</v>
      </c>
      <c r="AE10" s="2"/>
      <c r="AF10" s="2">
        <f>AF6^2*AF9^2</f>
        <v>0.45309140562387346</v>
      </c>
      <c r="AG10" s="7" t="s">
        <v>140</v>
      </c>
      <c r="AH10" s="2"/>
      <c r="AI10" s="15"/>
    </row>
    <row r="11" spans="2:35" ht="18.75" thickBot="1" x14ac:dyDescent="0.4">
      <c r="B11" s="76" t="s">
        <v>115</v>
      </c>
      <c r="C11" s="77"/>
      <c r="D11" s="31">
        <v>1036</v>
      </c>
      <c r="E11" s="77" t="s">
        <v>15</v>
      </c>
      <c r="F11" s="77">
        <f t="shared" si="2"/>
        <v>232.90206505130004</v>
      </c>
      <c r="G11" s="79" t="s">
        <v>14</v>
      </c>
      <c r="I11" s="48" t="s">
        <v>94</v>
      </c>
      <c r="J11" s="49" t="s">
        <v>107</v>
      </c>
      <c r="K11" s="36">
        <v>1525</v>
      </c>
      <c r="L11" s="7" t="s">
        <v>47</v>
      </c>
      <c r="M11" s="126">
        <f t="shared" si="1"/>
        <v>60.039370078740156</v>
      </c>
      <c r="N11" s="71" t="s">
        <v>46</v>
      </c>
      <c r="P11" s="53"/>
      <c r="Q11" s="53"/>
      <c r="R11" s="53"/>
      <c r="S11" s="53"/>
      <c r="T11" s="53"/>
      <c r="U11" s="53"/>
      <c r="V11" s="53"/>
      <c r="W11" s="53"/>
      <c r="X11" s="53"/>
      <c r="Y11" s="53"/>
      <c r="Z11" s="53"/>
      <c r="AA11" s="53"/>
      <c r="AB11" s="53"/>
      <c r="AD11" s="43" t="s">
        <v>262</v>
      </c>
      <c r="AE11" s="18"/>
      <c r="AF11" s="18">
        <f>AF3*AF10</f>
        <v>39758.770843494895</v>
      </c>
      <c r="AG11" s="44" t="s">
        <v>163</v>
      </c>
      <c r="AH11" s="65">
        <f>CONVERT(CONVERT(AF11,"N","lbf"),"in","m")</f>
        <v>227.0284322076497</v>
      </c>
      <c r="AI11" s="66" t="s">
        <v>141</v>
      </c>
    </row>
    <row r="12" spans="2:35" ht="18.75" thickBot="1" x14ac:dyDescent="0.4">
      <c r="B12" s="76" t="s">
        <v>100</v>
      </c>
      <c r="C12" s="77"/>
      <c r="D12" s="78">
        <f>D10+D11</f>
        <v>1121</v>
      </c>
      <c r="E12" s="77" t="s">
        <v>15</v>
      </c>
      <c r="F12" s="77">
        <f t="shared" si="2"/>
        <v>252.01082521477545</v>
      </c>
      <c r="G12" s="79" t="s">
        <v>14</v>
      </c>
      <c r="I12" s="27" t="s">
        <v>227</v>
      </c>
      <c r="J12" s="28" t="s">
        <v>106</v>
      </c>
      <c r="K12" s="86">
        <f>AVERAGE(K10:K11)</f>
        <v>1525</v>
      </c>
      <c r="L12" s="28" t="s">
        <v>47</v>
      </c>
      <c r="M12" s="127">
        <f t="shared" si="1"/>
        <v>60.039370078740156</v>
      </c>
      <c r="N12" s="30" t="s">
        <v>46</v>
      </c>
      <c r="P12" s="53"/>
      <c r="Q12" s="53"/>
      <c r="R12" s="53"/>
      <c r="S12" s="53"/>
      <c r="T12" s="53"/>
      <c r="U12" s="53"/>
      <c r="V12" s="53"/>
      <c r="W12" s="53"/>
      <c r="X12" s="53"/>
      <c r="Y12" s="53"/>
      <c r="Z12" s="53"/>
      <c r="AA12" s="53"/>
      <c r="AB12" s="53"/>
    </row>
    <row r="13" spans="2:35" x14ac:dyDescent="0.25">
      <c r="B13" s="14" t="s">
        <v>99</v>
      </c>
      <c r="C13" s="2"/>
      <c r="D13" s="24">
        <f>D5-D12</f>
        <v>4272.6574999999993</v>
      </c>
      <c r="E13" s="2" t="s">
        <v>15</v>
      </c>
      <c r="F13" s="2">
        <f t="shared" si="2"/>
        <v>960.53161680205108</v>
      </c>
      <c r="G13" s="17" t="s">
        <v>14</v>
      </c>
      <c r="I13" s="91" t="s">
        <v>220</v>
      </c>
      <c r="J13" s="92"/>
      <c r="K13" s="37">
        <v>0</v>
      </c>
      <c r="L13" s="92" t="s">
        <v>15</v>
      </c>
      <c r="M13" s="93">
        <f>CONVERT(K13,"N","lbf")</f>
        <v>0</v>
      </c>
      <c r="N13" s="94" t="s">
        <v>14</v>
      </c>
      <c r="P13" s="123"/>
      <c r="Q13" s="53"/>
      <c r="R13" s="53"/>
      <c r="S13" s="53"/>
      <c r="T13" s="53"/>
      <c r="U13" s="53"/>
      <c r="V13" s="53"/>
      <c r="W13" s="53"/>
      <c r="X13" s="53"/>
      <c r="Y13" s="53"/>
      <c r="Z13" s="53"/>
      <c r="AA13" s="53"/>
      <c r="AB13" s="53"/>
    </row>
    <row r="14" spans="2:35" ht="15.75" thickBot="1" x14ac:dyDescent="0.3">
      <c r="B14" s="14" t="s">
        <v>129</v>
      </c>
      <c r="C14" s="2"/>
      <c r="D14" s="24">
        <f>D13*D9/D8</f>
        <v>2048.0083882564409</v>
      </c>
      <c r="E14" s="2" t="s">
        <v>15</v>
      </c>
      <c r="F14" s="24">
        <f t="shared" si="2"/>
        <v>460.41060122327195</v>
      </c>
      <c r="G14" s="15" t="s">
        <v>14</v>
      </c>
      <c r="I14" s="111" t="s">
        <v>221</v>
      </c>
      <c r="J14" s="112"/>
      <c r="K14" s="124" t="s">
        <v>226</v>
      </c>
      <c r="L14" s="112" t="s">
        <v>140</v>
      </c>
      <c r="M14" s="125"/>
      <c r="N14" s="113" t="s">
        <v>140</v>
      </c>
      <c r="P14" s="53"/>
      <c r="Q14" s="53"/>
      <c r="R14" s="53"/>
      <c r="S14" s="53"/>
      <c r="T14" s="53"/>
      <c r="U14" s="53"/>
      <c r="V14" s="53"/>
      <c r="W14" s="53"/>
      <c r="X14" s="53"/>
      <c r="Y14" s="53"/>
      <c r="Z14" s="53"/>
      <c r="AA14" s="53"/>
      <c r="AB14" s="53"/>
    </row>
    <row r="15" spans="2:35" ht="15.75" thickBot="1" x14ac:dyDescent="0.3">
      <c r="B15" s="45" t="s">
        <v>130</v>
      </c>
      <c r="C15" s="29"/>
      <c r="D15" s="46">
        <f>D13*(D8-D9)/D8</f>
        <v>2224.6491117435585</v>
      </c>
      <c r="E15" s="29" t="s">
        <v>15</v>
      </c>
      <c r="F15" s="46">
        <f t="shared" si="2"/>
        <v>500.12101557877907</v>
      </c>
      <c r="G15" s="47" t="s">
        <v>14</v>
      </c>
      <c r="I15" s="12" t="s">
        <v>183</v>
      </c>
      <c r="J15" s="3"/>
      <c r="K15" s="118">
        <f>K7/K9</f>
        <v>0.5</v>
      </c>
      <c r="L15" s="3" t="s">
        <v>140</v>
      </c>
      <c r="M15" s="26"/>
      <c r="N15" s="13" t="s">
        <v>140</v>
      </c>
      <c r="P15" s="53"/>
      <c r="Q15" s="53"/>
      <c r="R15" s="53"/>
      <c r="S15" s="53"/>
      <c r="T15" s="53"/>
      <c r="U15" s="53"/>
      <c r="V15" s="53"/>
      <c r="W15" s="53"/>
      <c r="X15" s="53"/>
      <c r="Y15" s="53"/>
      <c r="Z15" s="53"/>
      <c r="AA15" s="53"/>
      <c r="AB15" s="53"/>
    </row>
    <row r="16" spans="2:35" x14ac:dyDescent="0.25">
      <c r="B16" s="91" t="s">
        <v>103</v>
      </c>
      <c r="C16" s="92"/>
      <c r="D16" s="92">
        <f>D13/D12</f>
        <v>3.811469669937555</v>
      </c>
      <c r="E16" s="92" t="s">
        <v>140</v>
      </c>
      <c r="F16" s="92"/>
      <c r="G16" s="94"/>
      <c r="I16" s="14" t="s">
        <v>184</v>
      </c>
      <c r="J16" s="2"/>
      <c r="K16" s="68">
        <f>((K12/2-K8)/K12)</f>
        <v>0.5</v>
      </c>
      <c r="L16" s="2" t="s">
        <v>140</v>
      </c>
      <c r="M16" s="21"/>
      <c r="N16" s="15" t="s">
        <v>140</v>
      </c>
      <c r="P16" s="53"/>
      <c r="Q16" s="53"/>
      <c r="R16" s="53"/>
      <c r="S16" s="53"/>
      <c r="T16" s="53"/>
      <c r="U16" s="53"/>
      <c r="V16" s="53"/>
      <c r="W16" s="53"/>
      <c r="X16" s="53"/>
      <c r="Y16" s="53"/>
      <c r="Z16" s="53"/>
      <c r="AA16" s="53"/>
      <c r="AB16" s="53"/>
    </row>
    <row r="17" spans="2:28" ht="18" x14ac:dyDescent="0.35">
      <c r="B17" s="76" t="s">
        <v>104</v>
      </c>
      <c r="C17" s="77"/>
      <c r="D17" s="77">
        <f>D13/D5</f>
        <v>0.79216329550031683</v>
      </c>
      <c r="E17" s="77" t="s">
        <v>140</v>
      </c>
      <c r="F17" s="77"/>
      <c r="G17" s="79"/>
      <c r="I17" s="76" t="s">
        <v>51</v>
      </c>
      <c r="J17" s="77" t="s">
        <v>68</v>
      </c>
      <c r="K17" s="78">
        <f>K5*K15</f>
        <v>6672.3324228907504</v>
      </c>
      <c r="L17" s="77" t="s">
        <v>15</v>
      </c>
      <c r="M17" s="78">
        <f>CONVERT(K17,"N","lbf")</f>
        <v>1500</v>
      </c>
      <c r="N17" s="79" t="s">
        <v>14</v>
      </c>
      <c r="P17" s="117"/>
      <c r="Q17" s="53"/>
      <c r="R17" s="53"/>
      <c r="S17" s="53"/>
      <c r="T17" s="53"/>
      <c r="U17" s="53"/>
      <c r="V17" s="53"/>
      <c r="W17" s="53"/>
      <c r="X17" s="53"/>
      <c r="Y17" s="53"/>
      <c r="Z17" s="53"/>
      <c r="AA17" s="53"/>
      <c r="AB17" s="53"/>
    </row>
    <row r="18" spans="2:28" ht="18" x14ac:dyDescent="0.35">
      <c r="B18" s="14" t="s">
        <v>139</v>
      </c>
      <c r="C18" s="2"/>
      <c r="D18" s="2">
        <f>D14/D10</f>
        <v>24.094216332428715</v>
      </c>
      <c r="E18" s="2" t="s">
        <v>140</v>
      </c>
      <c r="F18" s="2"/>
      <c r="G18" s="17"/>
      <c r="I18" s="76" t="s">
        <v>52</v>
      </c>
      <c r="J18" s="77" t="s">
        <v>69</v>
      </c>
      <c r="K18" s="78">
        <f>K5*(1-K15)</f>
        <v>6672.3324228907504</v>
      </c>
      <c r="L18" s="77" t="s">
        <v>15</v>
      </c>
      <c r="M18" s="78">
        <f>CONVERT(K18,"N","lbf")</f>
        <v>1500</v>
      </c>
      <c r="N18" s="79" t="s">
        <v>14</v>
      </c>
    </row>
    <row r="19" spans="2:28" ht="18.75" thickBot="1" x14ac:dyDescent="0.4">
      <c r="B19" s="19" t="s">
        <v>138</v>
      </c>
      <c r="C19" s="18"/>
      <c r="D19" s="18">
        <f>D15/D11</f>
        <v>2.1473447024551722</v>
      </c>
      <c r="E19" s="18" t="s">
        <v>140</v>
      </c>
      <c r="F19" s="18"/>
      <c r="G19" s="51"/>
      <c r="I19" s="14" t="s">
        <v>53</v>
      </c>
      <c r="J19" s="2" t="s">
        <v>70</v>
      </c>
      <c r="K19" s="24">
        <f>K5*K16</f>
        <v>6672.3324228907504</v>
      </c>
      <c r="L19" s="2" t="s">
        <v>15</v>
      </c>
      <c r="M19" s="24">
        <f>CONVERT(K19,"N","lbf")</f>
        <v>1500</v>
      </c>
      <c r="N19" s="15" t="s">
        <v>14</v>
      </c>
      <c r="P19" s="119"/>
    </row>
    <row r="20" spans="2:28" ht="18" x14ac:dyDescent="0.35">
      <c r="B20" s="82" t="s">
        <v>136</v>
      </c>
      <c r="C20" s="83"/>
      <c r="D20" s="83">
        <f>(1/(2*PI()))*SQRT(CONVERT(D6,"m","mm")/(D14/D4))</f>
        <v>1.7245462132892337</v>
      </c>
      <c r="E20" s="83" t="s">
        <v>134</v>
      </c>
      <c r="F20" s="83"/>
      <c r="G20" s="90"/>
      <c r="I20" s="14" t="s">
        <v>54</v>
      </c>
      <c r="J20" s="2" t="s">
        <v>71</v>
      </c>
      <c r="K20" s="24">
        <f>K5*(1-K16)</f>
        <v>6672.3324228907504</v>
      </c>
      <c r="L20" s="2" t="s">
        <v>15</v>
      </c>
      <c r="M20" s="21">
        <f>CONVERT(K20,"N","lbf")</f>
        <v>1500</v>
      </c>
      <c r="N20" s="15" t="s">
        <v>14</v>
      </c>
    </row>
    <row r="21" spans="2:28" ht="15.75" thickBot="1" x14ac:dyDescent="0.3">
      <c r="B21" s="84" t="s">
        <v>137</v>
      </c>
      <c r="C21" s="85"/>
      <c r="D21" s="85">
        <f>(1/(2*PI()))*SQRT(CONVERT(D7,"m","mm")/(D15/D4))</f>
        <v>2.0112878673198149</v>
      </c>
      <c r="E21" s="85" t="s">
        <v>134</v>
      </c>
      <c r="F21" s="85"/>
      <c r="G21" s="88"/>
      <c r="I21" s="134" t="s">
        <v>236</v>
      </c>
      <c r="J21" s="135"/>
      <c r="K21" s="136">
        <f>(K19-K20)/2</f>
        <v>0</v>
      </c>
      <c r="L21" s="135"/>
      <c r="M21" s="137">
        <f>CONVERT(K21,"N","lbf")</f>
        <v>0</v>
      </c>
      <c r="N21" s="138" t="s">
        <v>14</v>
      </c>
    </row>
    <row r="22" spans="2:28" x14ac:dyDescent="0.25">
      <c r="B22" s="52" t="s">
        <v>143</v>
      </c>
      <c r="C22" s="33"/>
      <c r="D22" s="42">
        <f>20</f>
        <v>20</v>
      </c>
      <c r="E22" s="33" t="s">
        <v>7</v>
      </c>
      <c r="F22" s="33">
        <f>CONVERT(D22,"km","mi")</f>
        <v>12.427423844746679</v>
      </c>
      <c r="G22" s="35" t="s">
        <v>8</v>
      </c>
      <c r="I22" s="76" t="s">
        <v>185</v>
      </c>
      <c r="J22" s="77"/>
      <c r="K22" s="80">
        <f>K15*K16</f>
        <v>0.25</v>
      </c>
      <c r="L22" s="77" t="s">
        <v>140</v>
      </c>
      <c r="M22" s="81"/>
      <c r="N22" s="79" t="s">
        <v>140</v>
      </c>
    </row>
    <row r="23" spans="2:28" x14ac:dyDescent="0.25">
      <c r="B23" s="16" t="s">
        <v>144</v>
      </c>
      <c r="C23" s="2"/>
      <c r="D23" s="2">
        <f>CONVERT(CONVERT(D22,"km","m"),"s","hr")</f>
        <v>5.5555555555555554</v>
      </c>
      <c r="E23" s="2" t="s">
        <v>27</v>
      </c>
      <c r="F23" s="2">
        <f>CONVERT(D23,"m","ft")</f>
        <v>18.226888305628464</v>
      </c>
      <c r="G23" s="15" t="s">
        <v>28</v>
      </c>
      <c r="I23" s="76" t="s">
        <v>186</v>
      </c>
      <c r="J23" s="77"/>
      <c r="K23" s="80">
        <f>K15*(1-K16)</f>
        <v>0.25</v>
      </c>
      <c r="L23" s="77" t="s">
        <v>140</v>
      </c>
      <c r="M23" s="81"/>
      <c r="N23" s="79" t="s">
        <v>140</v>
      </c>
    </row>
    <row r="24" spans="2:28" x14ac:dyDescent="0.25">
      <c r="B24" s="16" t="s">
        <v>142</v>
      </c>
      <c r="C24" s="2"/>
      <c r="D24" s="2">
        <f>CONVERT(D8,"mm","m")/D23</f>
        <v>0.30042000000000002</v>
      </c>
      <c r="E24" s="7" t="s">
        <v>145</v>
      </c>
      <c r="F24" s="2">
        <f>CONVERT(D24,"s","ms")</f>
        <v>300.42</v>
      </c>
      <c r="G24" s="15" t="s">
        <v>146</v>
      </c>
      <c r="I24" s="76" t="s">
        <v>187</v>
      </c>
      <c r="J24" s="77"/>
      <c r="K24" s="80">
        <f>(1-K15)*K16</f>
        <v>0.25</v>
      </c>
      <c r="L24" s="77" t="s">
        <v>140</v>
      </c>
      <c r="M24" s="81"/>
      <c r="N24" s="79" t="s">
        <v>140</v>
      </c>
      <c r="P24" s="73"/>
    </row>
    <row r="25" spans="2:28" x14ac:dyDescent="0.25">
      <c r="B25" s="76" t="s">
        <v>147</v>
      </c>
      <c r="C25" s="77"/>
      <c r="D25" s="77">
        <f>1/D20</f>
        <v>0.57986268636587945</v>
      </c>
      <c r="E25" s="77" t="s">
        <v>145</v>
      </c>
      <c r="F25" s="77">
        <f t="shared" ref="F25:F27" si="3">CONVERT(D25,"s","ms")</f>
        <v>579.86268636587943</v>
      </c>
      <c r="G25" s="79" t="s">
        <v>146</v>
      </c>
      <c r="I25" s="76" t="s">
        <v>188</v>
      </c>
      <c r="J25" s="77"/>
      <c r="K25" s="80">
        <f>(1-K15)*(1-K16)</f>
        <v>0.25</v>
      </c>
      <c r="L25" s="77" t="s">
        <v>140</v>
      </c>
      <c r="M25" s="81"/>
      <c r="N25" s="79" t="s">
        <v>140</v>
      </c>
      <c r="P25" s="120"/>
    </row>
    <row r="26" spans="2:28" x14ac:dyDescent="0.25">
      <c r="B26" s="76" t="s">
        <v>148</v>
      </c>
      <c r="C26" s="77"/>
      <c r="D26" s="77">
        <f>1/D21</f>
        <v>0.49719387077722077</v>
      </c>
      <c r="E26" s="77" t="s">
        <v>145</v>
      </c>
      <c r="F26" s="77">
        <f t="shared" si="3"/>
        <v>497.19387077722075</v>
      </c>
      <c r="G26" s="79" t="s">
        <v>146</v>
      </c>
      <c r="I26" s="14" t="s">
        <v>198</v>
      </c>
      <c r="J26" s="2"/>
      <c r="K26" s="24">
        <f>$K$5*K22+IF(OR($K$14="Rear Right",$K$14="Front Left"),$K$13,IF(OR($K$14="Rear Left",$K$14="Front Right"),-$K$13,"Calc Error"))</f>
        <v>3336.1662114453752</v>
      </c>
      <c r="L26" s="2" t="s">
        <v>15</v>
      </c>
      <c r="M26" s="121">
        <f>CONVERT(K26,"N","lbf")</f>
        <v>750</v>
      </c>
      <c r="N26" s="15" t="s">
        <v>14</v>
      </c>
      <c r="P26" s="120"/>
    </row>
    <row r="27" spans="2:28" x14ac:dyDescent="0.25">
      <c r="B27" s="16" t="s">
        <v>149</v>
      </c>
      <c r="C27" s="2"/>
      <c r="D27" s="2">
        <f>D26+D24</f>
        <v>0.79761387077722079</v>
      </c>
      <c r="E27" s="7" t="s">
        <v>145</v>
      </c>
      <c r="F27" s="2">
        <f t="shared" si="3"/>
        <v>797.61387077722077</v>
      </c>
      <c r="G27" s="15" t="s">
        <v>146</v>
      </c>
      <c r="I27" s="14" t="s">
        <v>199</v>
      </c>
      <c r="J27" s="2"/>
      <c r="K27" s="24">
        <f>$K$5*K23-IF(OR($K$14="Rear Right",$K$14="Front Left"),$K$13,IF(OR($K$14="Rear Left",$K$14="Front Right"),-$K$13,"Calc Error"))</f>
        <v>3336.1662114453752</v>
      </c>
      <c r="L27" s="2" t="s">
        <v>15</v>
      </c>
      <c r="M27" s="121">
        <f t="shared" ref="M27:M29" si="4">CONVERT(K27,"N","lbf")</f>
        <v>750</v>
      </c>
      <c r="N27" s="15" t="s">
        <v>14</v>
      </c>
      <c r="P27" s="120"/>
    </row>
    <row r="28" spans="2:28" ht="15.75" thickBot="1" x14ac:dyDescent="0.3">
      <c r="B28" s="43" t="s">
        <v>150</v>
      </c>
      <c r="C28" s="18"/>
      <c r="D28" s="18">
        <f>1/D27</f>
        <v>1.253739480515262</v>
      </c>
      <c r="E28" s="44" t="s">
        <v>134</v>
      </c>
      <c r="F28" s="18"/>
      <c r="G28" s="20"/>
      <c r="I28" s="14" t="s">
        <v>200</v>
      </c>
      <c r="J28" s="2"/>
      <c r="K28" s="24">
        <f>$K$5*K24-IF(OR($K$14="Rear Right",$K$14="Front Left"),$K$13,IF(OR($K$14="Rear Left",$K$14="Front Right"),-$K$13,"Calc Error"))</f>
        <v>3336.1662114453752</v>
      </c>
      <c r="L28" s="2" t="s">
        <v>15</v>
      </c>
      <c r="M28" s="121">
        <f t="shared" si="4"/>
        <v>750</v>
      </c>
      <c r="N28" s="15" t="s">
        <v>14</v>
      </c>
      <c r="P28" s="120"/>
    </row>
    <row r="29" spans="2:28" ht="15.75" thickBot="1" x14ac:dyDescent="0.3">
      <c r="I29" s="14" t="s">
        <v>201</v>
      </c>
      <c r="J29" s="18"/>
      <c r="K29" s="70">
        <f t="shared" ref="K29" si="5">$K$5*K25+IF(OR($K$14="Rear Right",$K$14="Front Left"),$K$13,IF(OR($K$14="Rear Left",$K$14="Front Right"),-$K$13,"Calc Error"))</f>
        <v>3336.1662114453752</v>
      </c>
      <c r="L29" s="18" t="s">
        <v>15</v>
      </c>
      <c r="M29" s="122">
        <f t="shared" si="4"/>
        <v>750</v>
      </c>
      <c r="N29" s="20" t="s">
        <v>14</v>
      </c>
    </row>
    <row r="30" spans="2:28" ht="18" x14ac:dyDescent="0.35">
      <c r="I30" s="91" t="s">
        <v>73</v>
      </c>
      <c r="J30" s="92" t="s">
        <v>72</v>
      </c>
      <c r="K30" s="95">
        <v>0</v>
      </c>
      <c r="L30" s="92" t="s">
        <v>4</v>
      </c>
      <c r="M30" s="92">
        <f>CONVERT(K30,"m","ft")</f>
        <v>0</v>
      </c>
      <c r="N30" s="94" t="s">
        <v>5</v>
      </c>
    </row>
    <row r="31" spans="2:28" ht="18" x14ac:dyDescent="0.35">
      <c r="I31" s="76" t="s">
        <v>190</v>
      </c>
      <c r="J31" s="77" t="s">
        <v>76</v>
      </c>
      <c r="K31" s="81">
        <f>K3*K30</f>
        <v>0</v>
      </c>
      <c r="L31" s="77" t="s">
        <v>15</v>
      </c>
      <c r="M31" s="81">
        <f>CONVERT(K31,"N","lbf")</f>
        <v>0</v>
      </c>
      <c r="N31" s="79" t="s">
        <v>14</v>
      </c>
    </row>
    <row r="32" spans="2:28" ht="18" x14ac:dyDescent="0.35">
      <c r="I32" s="76" t="s">
        <v>43</v>
      </c>
      <c r="J32" s="77" t="s">
        <v>75</v>
      </c>
      <c r="K32" s="81">
        <f>K31*K6/K9</f>
        <v>0</v>
      </c>
      <c r="L32" s="77" t="s">
        <v>15</v>
      </c>
      <c r="M32" s="81">
        <f>CONVERT(K32,"N","lbf")</f>
        <v>0</v>
      </c>
      <c r="N32" s="79" t="s">
        <v>14</v>
      </c>
    </row>
    <row r="33" spans="9:18" ht="18" x14ac:dyDescent="0.35">
      <c r="I33" s="14" t="s">
        <v>196</v>
      </c>
      <c r="J33" s="2" t="s">
        <v>77</v>
      </c>
      <c r="K33" s="21">
        <f>K17-K32</f>
        <v>6672.3324228907504</v>
      </c>
      <c r="L33" s="2" t="s">
        <v>15</v>
      </c>
      <c r="M33" s="21">
        <f>CONVERT(K33,"N","lbf")</f>
        <v>1500</v>
      </c>
      <c r="N33" s="15" t="s">
        <v>14</v>
      </c>
    </row>
    <row r="34" spans="9:18" ht="18.75" thickBot="1" x14ac:dyDescent="0.4">
      <c r="I34" s="45" t="s">
        <v>197</v>
      </c>
      <c r="J34" s="29" t="s">
        <v>78</v>
      </c>
      <c r="K34" s="69">
        <f>K18+K32</f>
        <v>6672.3324228907504</v>
      </c>
      <c r="L34" s="29" t="s">
        <v>15</v>
      </c>
      <c r="M34" s="69">
        <f>CONVERT(K34,"N","lbf")</f>
        <v>1500</v>
      </c>
      <c r="N34" s="47" t="s">
        <v>14</v>
      </c>
    </row>
    <row r="35" spans="9:18" x14ac:dyDescent="0.25">
      <c r="I35" s="91" t="s">
        <v>191</v>
      </c>
      <c r="J35" s="92" t="s">
        <v>192</v>
      </c>
      <c r="K35" s="42" t="s">
        <v>194</v>
      </c>
      <c r="L35" s="92" t="s">
        <v>140</v>
      </c>
      <c r="M35" s="92"/>
      <c r="N35" s="94" t="s">
        <v>140</v>
      </c>
      <c r="P35" s="74"/>
    </row>
    <row r="36" spans="9:18" ht="18" x14ac:dyDescent="0.35">
      <c r="I36" s="76" t="s">
        <v>9</v>
      </c>
      <c r="J36" s="77" t="s">
        <v>59</v>
      </c>
      <c r="K36" s="72">
        <v>0</v>
      </c>
      <c r="L36" s="77" t="s">
        <v>10</v>
      </c>
      <c r="M36" s="77">
        <f>CONVERT(K36,"m","ft")</f>
        <v>0</v>
      </c>
      <c r="N36" s="79" t="s">
        <v>11</v>
      </c>
    </row>
    <row r="37" spans="9:18" ht="18" x14ac:dyDescent="0.35">
      <c r="I37" s="76" t="s">
        <v>6</v>
      </c>
      <c r="J37" s="77" t="s">
        <v>57</v>
      </c>
      <c r="K37" s="9">
        <v>48.284162500977608</v>
      </c>
      <c r="L37" s="77" t="s">
        <v>7</v>
      </c>
      <c r="M37" s="77">
        <f>CONVERT(K37,"km","mi")</f>
        <v>30.002387619413629</v>
      </c>
      <c r="N37" s="79" t="s">
        <v>8</v>
      </c>
    </row>
    <row r="38" spans="9:18" ht="18" x14ac:dyDescent="0.35">
      <c r="I38" s="76" t="s">
        <v>6</v>
      </c>
      <c r="J38" s="77" t="s">
        <v>58</v>
      </c>
      <c r="K38" s="77">
        <f>CONVERT(CONVERT(K37,"km","m"),"s","hr")</f>
        <v>13.41226736138267</v>
      </c>
      <c r="L38" s="77" t="s">
        <v>27</v>
      </c>
      <c r="M38" s="77">
        <f>CONVERT(K38,"m","ft")</f>
        <v>44.00350184180666</v>
      </c>
      <c r="N38" s="79" t="s">
        <v>28</v>
      </c>
      <c r="R38" s="1"/>
    </row>
    <row r="39" spans="9:18" x14ac:dyDescent="0.25">
      <c r="I39" s="76" t="s">
        <v>16</v>
      </c>
      <c r="J39" s="96" t="s">
        <v>60</v>
      </c>
      <c r="K39" s="77">
        <f>IF(K36=0,0,CONVERT(CONVERT(K37,"km","m"),"s","hr")/K36)</f>
        <v>0</v>
      </c>
      <c r="L39" s="77" t="s">
        <v>17</v>
      </c>
      <c r="M39" s="77">
        <f>K39</f>
        <v>0</v>
      </c>
      <c r="N39" s="79" t="s">
        <v>17</v>
      </c>
      <c r="P39" s="1"/>
    </row>
    <row r="40" spans="9:18" ht="18" x14ac:dyDescent="0.35">
      <c r="I40" s="14" t="s">
        <v>12</v>
      </c>
      <c r="J40" s="2" t="s">
        <v>61</v>
      </c>
      <c r="K40" s="2">
        <f>IF(K36=0,0,K3*K39^2*K36)</f>
        <v>0</v>
      </c>
      <c r="L40" s="2" t="s">
        <v>15</v>
      </c>
      <c r="M40" s="2">
        <f>CONVERT(K40,"N","lbf")</f>
        <v>0</v>
      </c>
      <c r="N40" s="15" t="s">
        <v>14</v>
      </c>
    </row>
    <row r="41" spans="9:18" ht="18" x14ac:dyDescent="0.35">
      <c r="I41" s="16" t="s">
        <v>24</v>
      </c>
      <c r="J41" s="7" t="s">
        <v>62</v>
      </c>
      <c r="K41" s="2">
        <f>K40/4</f>
        <v>0</v>
      </c>
      <c r="L41" s="7" t="s">
        <v>15</v>
      </c>
      <c r="M41" s="2">
        <f>CONVERT(K41,"N","lbf")</f>
        <v>0</v>
      </c>
      <c r="N41" s="15" t="s">
        <v>14</v>
      </c>
    </row>
    <row r="42" spans="9:18" ht="18" x14ac:dyDescent="0.35">
      <c r="I42" s="76" t="s">
        <v>25</v>
      </c>
      <c r="J42" s="77" t="s">
        <v>63</v>
      </c>
      <c r="K42" s="77">
        <f>IF(K36=0,0,CONVERT(CONVERT(K37,"km","m"),"s","hr")^2/K36)</f>
        <v>0</v>
      </c>
      <c r="L42" s="77" t="s">
        <v>4</v>
      </c>
      <c r="M42" s="77">
        <f>CONVERT(K42,"m","ft")</f>
        <v>0</v>
      </c>
      <c r="N42" s="79" t="s">
        <v>5</v>
      </c>
    </row>
    <row r="43" spans="9:18" ht="18" x14ac:dyDescent="0.35">
      <c r="I43" s="76" t="s">
        <v>25</v>
      </c>
      <c r="J43" s="77" t="s">
        <v>64</v>
      </c>
      <c r="K43" s="77">
        <f>K40/K5</f>
        <v>0</v>
      </c>
      <c r="L43" s="77" t="s">
        <v>26</v>
      </c>
      <c r="M43" s="77">
        <f>K40/K5</f>
        <v>0</v>
      </c>
      <c r="N43" s="79" t="s">
        <v>26</v>
      </c>
    </row>
    <row r="44" spans="9:18" ht="18" x14ac:dyDescent="0.35">
      <c r="I44" s="16" t="s">
        <v>79</v>
      </c>
      <c r="J44" s="7" t="s">
        <v>81</v>
      </c>
      <c r="K44" s="2" t="str">
        <f>IF(K36=0,"∞",CONVERT(CONVERT(SQRT(K36*K4*(K12/2)/K6),"m","km"),"hr","s"))</f>
        <v>∞</v>
      </c>
      <c r="L44" s="7" t="s">
        <v>7</v>
      </c>
      <c r="M44" s="21" t="str">
        <f>IF(K44="∞","∞",CONVERT(K44,"km","mi"))</f>
        <v>∞</v>
      </c>
      <c r="N44" s="17" t="s">
        <v>8</v>
      </c>
    </row>
    <row r="45" spans="9:18" ht="18.75" thickBot="1" x14ac:dyDescent="0.4">
      <c r="I45" s="27" t="s">
        <v>79</v>
      </c>
      <c r="J45" s="28" t="s">
        <v>83</v>
      </c>
      <c r="K45" s="29" t="str">
        <f>IF(K36=0,"∞",SQRT(K36*K4*(K12/2)/K6))</f>
        <v>∞</v>
      </c>
      <c r="L45" s="28" t="s">
        <v>27</v>
      </c>
      <c r="M45" s="29" t="str">
        <f>IF(K45="∞","∞",CONVERT(K45,"m","ft"))</f>
        <v>∞</v>
      </c>
      <c r="N45" s="30" t="s">
        <v>28</v>
      </c>
      <c r="P45" s="73"/>
      <c r="Q45" s="75"/>
      <c r="R45" s="75"/>
    </row>
    <row r="46" spans="9:18" ht="18" x14ac:dyDescent="0.35">
      <c r="I46" s="91" t="s">
        <v>237</v>
      </c>
      <c r="J46" s="92" t="s">
        <v>82</v>
      </c>
      <c r="K46" s="92">
        <f>K40*K6/K12</f>
        <v>0</v>
      </c>
      <c r="L46" s="92" t="s">
        <v>15</v>
      </c>
      <c r="M46" s="92">
        <f t="shared" ref="M46:M58" si="6">CONVERT(K46,"N","lbf")</f>
        <v>0</v>
      </c>
      <c r="N46" s="94" t="s">
        <v>14</v>
      </c>
      <c r="P46" s="73"/>
    </row>
    <row r="47" spans="9:18" x14ac:dyDescent="0.25">
      <c r="I47" s="76" t="s">
        <v>239</v>
      </c>
      <c r="J47" s="77"/>
      <c r="K47" s="77">
        <f>(K33/K5)*K46</f>
        <v>0</v>
      </c>
      <c r="L47" s="77" t="s">
        <v>15</v>
      </c>
      <c r="M47" s="77">
        <f t="shared" si="6"/>
        <v>0</v>
      </c>
      <c r="N47" s="79" t="s">
        <v>14</v>
      </c>
    </row>
    <row r="48" spans="9:18" ht="15.75" thickBot="1" x14ac:dyDescent="0.3">
      <c r="I48" s="84" t="s">
        <v>238</v>
      </c>
      <c r="J48" s="85"/>
      <c r="K48" s="85">
        <f>(K34/K5)*K46</f>
        <v>0</v>
      </c>
      <c r="L48" s="85" t="s">
        <v>15</v>
      </c>
      <c r="M48" s="85">
        <f t="shared" si="6"/>
        <v>0</v>
      </c>
      <c r="N48" s="88" t="s">
        <v>14</v>
      </c>
    </row>
    <row r="49" spans="9:29" x14ac:dyDescent="0.25">
      <c r="I49" s="52" t="s">
        <v>240</v>
      </c>
      <c r="J49" s="115"/>
      <c r="K49" s="140">
        <v>0</v>
      </c>
      <c r="L49" s="115" t="s">
        <v>15</v>
      </c>
      <c r="M49" s="92">
        <f t="shared" si="6"/>
        <v>0</v>
      </c>
      <c r="N49" s="94" t="s">
        <v>14</v>
      </c>
      <c r="AC49" t="s">
        <v>254</v>
      </c>
    </row>
    <row r="50" spans="9:29" ht="15.75" thickBot="1" x14ac:dyDescent="0.3">
      <c r="I50" s="43" t="s">
        <v>241</v>
      </c>
      <c r="J50" s="44"/>
      <c r="K50" s="141">
        <v>0</v>
      </c>
      <c r="L50" s="44" t="s">
        <v>15</v>
      </c>
      <c r="M50" s="112">
        <f t="shared" si="6"/>
        <v>0</v>
      </c>
      <c r="N50" s="113" t="s">
        <v>14</v>
      </c>
      <c r="O50" s="120"/>
      <c r="AC50">
        <f>T50*U50</f>
        <v>0</v>
      </c>
    </row>
    <row r="51" spans="9:29" x14ac:dyDescent="0.25">
      <c r="I51" s="48" t="s">
        <v>232</v>
      </c>
      <c r="J51" s="49"/>
      <c r="K51" s="139">
        <f>IF(K35="Right",K47+K49,IF(K35="Left",-(K47+K49),"Calc Error"))</f>
        <v>0</v>
      </c>
      <c r="L51" s="49"/>
      <c r="M51" s="49">
        <f t="shared" si="6"/>
        <v>0</v>
      </c>
      <c r="N51" s="71" t="s">
        <v>14</v>
      </c>
      <c r="O51" s="120"/>
      <c r="AC51">
        <f t="shared" ref="AC51:AC56" si="7">T51*U51</f>
        <v>0</v>
      </c>
    </row>
    <row r="52" spans="9:29" x14ac:dyDescent="0.25">
      <c r="I52" s="16" t="s">
        <v>233</v>
      </c>
      <c r="J52" s="7"/>
      <c r="K52" s="132">
        <f>IF(K35="Right",-(K47+K49),IF(K35="Left",(K47+K49),"Calc Error"))</f>
        <v>0</v>
      </c>
      <c r="L52" s="7"/>
      <c r="M52" s="7">
        <f t="shared" si="6"/>
        <v>0</v>
      </c>
      <c r="N52" s="17" t="s">
        <v>14</v>
      </c>
      <c r="O52" s="120"/>
      <c r="AC52">
        <f t="shared" si="7"/>
        <v>0</v>
      </c>
    </row>
    <row r="53" spans="9:29" x14ac:dyDescent="0.25">
      <c r="I53" s="16" t="s">
        <v>234</v>
      </c>
      <c r="J53" s="7"/>
      <c r="K53" s="132">
        <f>IF(K35="Right",(K47+K50),IF(K35="Left",-(K47+K50),"Calc Error"))</f>
        <v>0</v>
      </c>
      <c r="L53" s="7"/>
      <c r="M53" s="7">
        <f t="shared" si="6"/>
        <v>0</v>
      </c>
      <c r="N53" s="17" t="s">
        <v>14</v>
      </c>
      <c r="O53" s="120"/>
      <c r="AC53">
        <f t="shared" si="7"/>
        <v>0</v>
      </c>
    </row>
    <row r="54" spans="9:29" ht="15.75" thickBot="1" x14ac:dyDescent="0.3">
      <c r="I54" s="43" t="s">
        <v>235</v>
      </c>
      <c r="J54" s="44"/>
      <c r="K54" s="133">
        <f>IF(K35="Right",-(K47+K50),IF(K35="Left",(K47+K50),"Calc Error"))</f>
        <v>0</v>
      </c>
      <c r="L54" s="44"/>
      <c r="M54" s="44">
        <f t="shared" si="6"/>
        <v>0</v>
      </c>
      <c r="N54" s="51" t="s">
        <v>14</v>
      </c>
      <c r="O54" s="120"/>
      <c r="AC54">
        <f t="shared" si="7"/>
        <v>0</v>
      </c>
    </row>
    <row r="55" spans="9:29" x14ac:dyDescent="0.25">
      <c r="I55" s="82" t="s">
        <v>202</v>
      </c>
      <c r="J55" s="83"/>
      <c r="K55" s="89">
        <f>K26+K51</f>
        <v>3336.1662114453752</v>
      </c>
      <c r="L55" s="83" t="s">
        <v>15</v>
      </c>
      <c r="M55" s="89">
        <f t="shared" si="6"/>
        <v>750</v>
      </c>
      <c r="N55" s="90" t="s">
        <v>14</v>
      </c>
      <c r="AC55">
        <f t="shared" si="7"/>
        <v>0</v>
      </c>
    </row>
    <row r="56" spans="9:29" x14ac:dyDescent="0.25">
      <c r="I56" s="82" t="s">
        <v>203</v>
      </c>
      <c r="J56" s="77"/>
      <c r="K56" s="89">
        <f>K27+K52</f>
        <v>3336.1662114453752</v>
      </c>
      <c r="L56" s="77" t="s">
        <v>15</v>
      </c>
      <c r="M56" s="81">
        <f t="shared" si="6"/>
        <v>750</v>
      </c>
      <c r="N56" s="79" t="s">
        <v>14</v>
      </c>
      <c r="AC56">
        <f t="shared" si="7"/>
        <v>0</v>
      </c>
    </row>
    <row r="57" spans="9:29" x14ac:dyDescent="0.25">
      <c r="I57" s="82" t="s">
        <v>204</v>
      </c>
      <c r="J57" s="77"/>
      <c r="K57" s="89">
        <f>K28+K53</f>
        <v>3336.1662114453752</v>
      </c>
      <c r="L57" s="77" t="s">
        <v>15</v>
      </c>
      <c r="M57" s="81">
        <f t="shared" si="6"/>
        <v>750</v>
      </c>
      <c r="N57" s="79" t="s">
        <v>14</v>
      </c>
      <c r="AC57">
        <f t="shared" ref="AC57:AC58" si="8">T57*U57</f>
        <v>0</v>
      </c>
    </row>
    <row r="58" spans="9:29" ht="15.75" thickBot="1" x14ac:dyDescent="0.3">
      <c r="I58" s="130" t="s">
        <v>205</v>
      </c>
      <c r="J58" s="85"/>
      <c r="K58" s="89">
        <f>K29+K54</f>
        <v>3336.1662114453752</v>
      </c>
      <c r="L58" s="85" t="s">
        <v>15</v>
      </c>
      <c r="M58" s="87">
        <f t="shared" si="6"/>
        <v>750</v>
      </c>
      <c r="N58" s="88" t="s">
        <v>14</v>
      </c>
      <c r="AC58">
        <f t="shared" si="8"/>
        <v>0</v>
      </c>
    </row>
    <row r="59" spans="9:29" x14ac:dyDescent="0.25">
      <c r="I59" s="52" t="s">
        <v>206</v>
      </c>
      <c r="J59" s="115"/>
      <c r="K59" s="116">
        <f>CONVERT(M59,"lbf","N")</f>
        <v>3918.1159473138391</v>
      </c>
      <c r="L59" s="115" t="s">
        <v>15</v>
      </c>
      <c r="M59" s="116">
        <f>Reference!$A$28*Draft!M55^4+Reference!$B$28*Draft!M55^3+Reference!$C$28*Draft!M55^2+Reference!$D$28*Draft!M55+Reference!$E$28</f>
        <v>880.82750505774516</v>
      </c>
      <c r="N59" s="50" t="s">
        <v>14</v>
      </c>
    </row>
    <row r="60" spans="9:29" x14ac:dyDescent="0.25">
      <c r="I60" s="16" t="s">
        <v>207</v>
      </c>
      <c r="J60" s="7"/>
      <c r="K60" s="114">
        <f t="shared" ref="K60:K62" si="9">CONVERT(M60,"lbf","N")</f>
        <v>3918.1159473138391</v>
      </c>
      <c r="L60" s="7" t="s">
        <v>15</v>
      </c>
      <c r="M60" s="114">
        <f>Reference!$A$28*Draft!M56^4+Reference!$B$28*Draft!M56^3+Reference!$C$28*Draft!M56^2+Reference!$D$28*Draft!M56+Reference!$E$28</f>
        <v>880.82750505774516</v>
      </c>
      <c r="N60" s="17" t="s">
        <v>14</v>
      </c>
    </row>
    <row r="61" spans="9:29" x14ac:dyDescent="0.25">
      <c r="I61" s="16" t="s">
        <v>208</v>
      </c>
      <c r="J61" s="7"/>
      <c r="K61" s="114">
        <f t="shared" si="9"/>
        <v>3918.1159473138391</v>
      </c>
      <c r="L61" s="7" t="s">
        <v>15</v>
      </c>
      <c r="M61" s="114">
        <f>Reference!$A$28*Draft!M57^4+Reference!$B$28*Draft!M57^3+Reference!$C$28*Draft!M57^2+Reference!$D$28*Draft!M57+Reference!$E$28</f>
        <v>880.82750505774516</v>
      </c>
      <c r="N61" s="17" t="s">
        <v>14</v>
      </c>
    </row>
    <row r="62" spans="9:29" ht="15.75" thickBot="1" x14ac:dyDescent="0.3">
      <c r="I62" s="27" t="s">
        <v>209</v>
      </c>
      <c r="J62" s="28"/>
      <c r="K62" s="127">
        <f t="shared" si="9"/>
        <v>3918.1159473138391</v>
      </c>
      <c r="L62" s="28" t="s">
        <v>15</v>
      </c>
      <c r="M62" s="127">
        <f>Reference!$A$28*Draft!M58^4+Reference!$B$28*Draft!M58^3+Reference!$C$28*Draft!M58^2+Reference!$D$28*Draft!M58+Reference!$E$28</f>
        <v>880.82750505774516</v>
      </c>
      <c r="N62" s="30" t="s">
        <v>14</v>
      </c>
      <c r="P62" s="142"/>
      <c r="Q62" s="142"/>
    </row>
    <row r="63" spans="9:29" x14ac:dyDescent="0.25">
      <c r="I63" s="91" t="s">
        <v>215</v>
      </c>
      <c r="J63" s="92"/>
      <c r="K63" s="93">
        <f>(K59+K60)/(K55+K56)</f>
        <v>1.1744366734103266</v>
      </c>
      <c r="L63" s="92" t="s">
        <v>26</v>
      </c>
      <c r="M63" s="93">
        <f>K63</f>
        <v>1.1744366734103266</v>
      </c>
      <c r="N63" s="94" t="s">
        <v>26</v>
      </c>
      <c r="P63" s="142"/>
      <c r="Q63" s="142"/>
    </row>
    <row r="64" spans="9:29" x14ac:dyDescent="0.25">
      <c r="I64" s="76" t="s">
        <v>216</v>
      </c>
      <c r="J64" s="77"/>
      <c r="K64" s="81">
        <f>(K61+K62)/(K57+K58)</f>
        <v>1.1744366734103266</v>
      </c>
      <c r="L64" s="77" t="s">
        <v>26</v>
      </c>
      <c r="M64" s="81">
        <f t="shared" ref="M64:M66" si="10">K64</f>
        <v>1.1744366734103266</v>
      </c>
      <c r="N64" s="79" t="s">
        <v>26</v>
      </c>
      <c r="P64" s="143"/>
    </row>
    <row r="65" spans="9:15" x14ac:dyDescent="0.25">
      <c r="I65" s="76" t="s">
        <v>217</v>
      </c>
      <c r="J65" s="77"/>
      <c r="K65" s="81">
        <f>SUM(K59:K62)/SUM(K55:K58)</f>
        <v>1.1744366734103266</v>
      </c>
      <c r="L65" s="77" t="s">
        <v>26</v>
      </c>
      <c r="M65" s="81">
        <f t="shared" si="10"/>
        <v>1.1744366734103266</v>
      </c>
      <c r="N65" s="79" t="s">
        <v>26</v>
      </c>
    </row>
    <row r="66" spans="9:15" x14ac:dyDescent="0.25">
      <c r="I66" s="27" t="s">
        <v>219</v>
      </c>
      <c r="J66" s="28"/>
      <c r="K66" s="127">
        <f>MIN(K63:K65)</f>
        <v>1.1744366734103266</v>
      </c>
      <c r="L66" s="28" t="s">
        <v>26</v>
      </c>
      <c r="M66" s="114">
        <f t="shared" si="10"/>
        <v>1.1744366734103266</v>
      </c>
      <c r="N66" s="17" t="s">
        <v>26</v>
      </c>
    </row>
    <row r="67" spans="9:15" ht="15.75" thickBot="1" x14ac:dyDescent="0.3">
      <c r="I67" s="111" t="s">
        <v>218</v>
      </c>
      <c r="J67" s="112"/>
      <c r="K67" s="131" t="str">
        <f>IF(K63&lt;K64,"Understeer",IF(K63&gt;K64,"Oversteer","Neutral"))</f>
        <v>Neutral</v>
      </c>
      <c r="L67" s="112" t="s">
        <v>140</v>
      </c>
      <c r="M67" s="125"/>
      <c r="N67" s="113" t="s">
        <v>140</v>
      </c>
    </row>
    <row r="68" spans="9:15" x14ac:dyDescent="0.25">
      <c r="I68" s="52" t="s">
        <v>116</v>
      </c>
      <c r="J68" s="33"/>
      <c r="K68" s="37">
        <v>1334.5</v>
      </c>
      <c r="L68" s="115" t="s">
        <v>15</v>
      </c>
      <c r="M68" s="33">
        <f>CONVERT(K68,"N","lbf")</f>
        <v>300.00753456656361</v>
      </c>
      <c r="N68" s="50" t="s">
        <v>14</v>
      </c>
    </row>
    <row r="69" spans="9:15" x14ac:dyDescent="0.25">
      <c r="I69" s="16" t="s">
        <v>115</v>
      </c>
      <c r="J69" s="2"/>
      <c r="K69" s="31">
        <v>1334.5</v>
      </c>
      <c r="L69" s="7" t="s">
        <v>15</v>
      </c>
      <c r="M69" s="2">
        <f>CONVERT(K69,"N","lbf")</f>
        <v>300.00753456656361</v>
      </c>
      <c r="N69" s="17" t="s">
        <v>14</v>
      </c>
    </row>
    <row r="70" spans="9:15" x14ac:dyDescent="0.25">
      <c r="I70" s="14" t="s">
        <v>100</v>
      </c>
      <c r="J70" s="2"/>
      <c r="K70" s="38">
        <f>K68+K69</f>
        <v>2669</v>
      </c>
      <c r="L70" s="2" t="s">
        <v>15</v>
      </c>
      <c r="M70" s="2">
        <f>CONVERT(K70,"N","lbf")</f>
        <v>600.01506913312721</v>
      </c>
      <c r="N70" s="17" t="s">
        <v>14</v>
      </c>
    </row>
    <row r="71" spans="9:15" x14ac:dyDescent="0.25">
      <c r="I71" s="14" t="s">
        <v>99</v>
      </c>
      <c r="J71" s="2"/>
      <c r="K71" s="2">
        <f>K5-K70</f>
        <v>10675.664845781501</v>
      </c>
      <c r="L71" s="2" t="s">
        <v>15</v>
      </c>
      <c r="M71" s="2">
        <f>CONVERT(K71,"N","lbf")</f>
        <v>2399.9849308668727</v>
      </c>
      <c r="N71" s="17" t="s">
        <v>14</v>
      </c>
    </row>
    <row r="72" spans="9:15" x14ac:dyDescent="0.25">
      <c r="I72" s="76" t="s">
        <v>249</v>
      </c>
      <c r="J72" s="77"/>
      <c r="K72" s="77">
        <f>K26-K68/2</f>
        <v>2668.9162114453752</v>
      </c>
      <c r="L72" s="77" t="s">
        <v>15</v>
      </c>
      <c r="M72" s="77">
        <f>CONVERT(K72,"N","lbf")</f>
        <v>599.99623271671817</v>
      </c>
      <c r="N72" s="79" t="s">
        <v>14</v>
      </c>
    </row>
    <row r="73" spans="9:15" x14ac:dyDescent="0.25">
      <c r="I73" s="76" t="s">
        <v>250</v>
      </c>
      <c r="J73" s="77"/>
      <c r="K73" s="77">
        <f>K27-K68/2</f>
        <v>2668.9162114453752</v>
      </c>
      <c r="L73" s="77" t="s">
        <v>15</v>
      </c>
      <c r="M73" s="77">
        <f>CONVERT(K73,"N","lbf")</f>
        <v>599.99623271671817</v>
      </c>
      <c r="N73" s="79" t="s">
        <v>14</v>
      </c>
    </row>
    <row r="74" spans="9:15" x14ac:dyDescent="0.25">
      <c r="I74" s="76" t="s">
        <v>251</v>
      </c>
      <c r="J74" s="77"/>
      <c r="K74" s="77">
        <f>K28-K69/2</f>
        <v>2668.9162114453752</v>
      </c>
      <c r="L74" s="77" t="s">
        <v>15</v>
      </c>
      <c r="M74" s="77">
        <f>CONVERT(K74,"N","lbf")</f>
        <v>599.99623271671817</v>
      </c>
      <c r="N74" s="79" t="s">
        <v>14</v>
      </c>
    </row>
    <row r="75" spans="9:15" x14ac:dyDescent="0.25">
      <c r="I75" s="76" t="s">
        <v>252</v>
      </c>
      <c r="J75" s="77"/>
      <c r="K75" s="77">
        <f>K29-K69/2</f>
        <v>2668.9162114453752</v>
      </c>
      <c r="L75" s="77" t="s">
        <v>15</v>
      </c>
      <c r="M75" s="77">
        <f>CONVERT(K75,"N","lbf")</f>
        <v>599.99623271671817</v>
      </c>
      <c r="N75" s="79" t="s">
        <v>14</v>
      </c>
    </row>
    <row r="76" spans="9:15" x14ac:dyDescent="0.25">
      <c r="I76" s="16" t="s">
        <v>244</v>
      </c>
      <c r="J76" s="7"/>
      <c r="K76" s="7">
        <f>K55-K68/2</f>
        <v>2668.9162114453752</v>
      </c>
      <c r="L76" s="7" t="s">
        <v>15</v>
      </c>
      <c r="M76" s="7">
        <f>CONVERT(K76,"N","lbf")</f>
        <v>599.99623271671817</v>
      </c>
      <c r="N76" s="17" t="s">
        <v>14</v>
      </c>
      <c r="O76" t="s">
        <v>248</v>
      </c>
    </row>
    <row r="77" spans="9:15" x14ac:dyDescent="0.25">
      <c r="I77" s="16" t="s">
        <v>245</v>
      </c>
      <c r="J77" s="7"/>
      <c r="K77" s="7">
        <f>K56-K68/2</f>
        <v>2668.9162114453752</v>
      </c>
      <c r="L77" s="7" t="s">
        <v>15</v>
      </c>
      <c r="M77" s="7">
        <f>CONVERT(K77,"N","lbf")</f>
        <v>599.99623271671817</v>
      </c>
      <c r="N77" s="17" t="s">
        <v>14</v>
      </c>
      <c r="O77" t="s">
        <v>248</v>
      </c>
    </row>
    <row r="78" spans="9:15" x14ac:dyDescent="0.25">
      <c r="I78" s="16" t="s">
        <v>247</v>
      </c>
      <c r="J78" s="7"/>
      <c r="K78" s="7">
        <f>K57-K69/2</f>
        <v>2668.9162114453752</v>
      </c>
      <c r="L78" s="7" t="s">
        <v>15</v>
      </c>
      <c r="M78" s="7">
        <f>CONVERT(K78,"N","lbf")</f>
        <v>599.99623271671817</v>
      </c>
      <c r="N78" s="17" t="s">
        <v>14</v>
      </c>
      <c r="O78" t="s">
        <v>248</v>
      </c>
    </row>
    <row r="79" spans="9:15" x14ac:dyDescent="0.25">
      <c r="I79" s="16" t="s">
        <v>246</v>
      </c>
      <c r="J79" s="7"/>
      <c r="K79" s="7">
        <f>K58-K69/2</f>
        <v>2668.9162114453752</v>
      </c>
      <c r="L79" s="7" t="s">
        <v>15</v>
      </c>
      <c r="M79" s="7">
        <f>CONVERT(K79,"N","lbf")</f>
        <v>599.99623271671817</v>
      </c>
      <c r="N79" s="17" t="s">
        <v>14</v>
      </c>
      <c r="O79" t="s">
        <v>248</v>
      </c>
    </row>
    <row r="80" spans="9:15" x14ac:dyDescent="0.25">
      <c r="I80" s="76" t="s">
        <v>103</v>
      </c>
      <c r="J80" s="77"/>
      <c r="K80" s="77">
        <f>K71/K70</f>
        <v>3.9998744270443991</v>
      </c>
      <c r="L80" s="77" t="s">
        <v>140</v>
      </c>
      <c r="M80" s="77"/>
      <c r="N80" s="79"/>
    </row>
    <row r="81" spans="9:14" ht="15.75" thickBot="1" x14ac:dyDescent="0.3">
      <c r="I81" s="111" t="s">
        <v>104</v>
      </c>
      <c r="J81" s="112"/>
      <c r="K81" s="112">
        <f>K71/K5</f>
        <v>0.79999497695562427</v>
      </c>
      <c r="L81" s="112" t="s">
        <v>140</v>
      </c>
      <c r="M81" s="112"/>
      <c r="N81" s="113"/>
    </row>
    <row r="82" spans="9:14" x14ac:dyDescent="0.25">
      <c r="I82" s="12" t="s">
        <v>118</v>
      </c>
      <c r="J82" s="3"/>
      <c r="K82" s="8">
        <v>30</v>
      </c>
      <c r="L82" s="3" t="s">
        <v>47</v>
      </c>
      <c r="M82" s="3">
        <f>CONVERT(K82,"mm","in")</f>
        <v>1.1811023622047243</v>
      </c>
      <c r="N82" s="71" t="s">
        <v>46</v>
      </c>
    </row>
    <row r="83" spans="9:14" x14ac:dyDescent="0.25">
      <c r="I83" s="14" t="s">
        <v>119</v>
      </c>
      <c r="J83" s="2"/>
      <c r="K83" s="9">
        <v>42</v>
      </c>
      <c r="L83" s="2" t="s">
        <v>47</v>
      </c>
      <c r="M83" s="2">
        <f>CONVERT(K83,"mm","in")</f>
        <v>1.6535433070866143</v>
      </c>
      <c r="N83" s="17" t="s">
        <v>46</v>
      </c>
    </row>
    <row r="84" spans="9:14" x14ac:dyDescent="0.25">
      <c r="I84" s="16" t="s">
        <v>102</v>
      </c>
      <c r="J84" s="7"/>
      <c r="K84" s="9">
        <v>1400</v>
      </c>
      <c r="L84" s="7" t="s">
        <v>47</v>
      </c>
      <c r="M84" s="2"/>
      <c r="N84" s="17"/>
    </row>
    <row r="85" spans="9:14" x14ac:dyDescent="0.25">
      <c r="I85" s="14" t="s">
        <v>101</v>
      </c>
      <c r="J85" s="2"/>
      <c r="K85" s="2">
        <f>K3*K81*K39^2*K36</f>
        <v>0</v>
      </c>
      <c r="L85" s="2" t="s">
        <v>15</v>
      </c>
      <c r="M85" s="2"/>
      <c r="N85" s="17"/>
    </row>
    <row r="86" spans="9:14" x14ac:dyDescent="0.25">
      <c r="I86" s="16" t="s">
        <v>97</v>
      </c>
      <c r="J86" s="7"/>
      <c r="K86" s="2">
        <f>K85*K84/K9</f>
        <v>0</v>
      </c>
      <c r="L86" s="7" t="s">
        <v>15</v>
      </c>
      <c r="M86" s="2">
        <f>CONVERT(K86,"N","lbf")</f>
        <v>0</v>
      </c>
      <c r="N86" s="17" t="s">
        <v>14</v>
      </c>
    </row>
    <row r="87" spans="9:14" x14ac:dyDescent="0.25">
      <c r="I87" s="16" t="s">
        <v>98</v>
      </c>
      <c r="J87" s="7"/>
      <c r="K87" s="2">
        <f>K85*(1-K84/K9)</f>
        <v>0</v>
      </c>
      <c r="L87" s="7" t="s">
        <v>15</v>
      </c>
      <c r="M87" s="2">
        <f>CONVERT(K87,"N","lbf")</f>
        <v>0</v>
      </c>
      <c r="N87" s="17" t="s">
        <v>14</v>
      </c>
    </row>
    <row r="88" spans="9:14" x14ac:dyDescent="0.25">
      <c r="I88" s="16" t="s">
        <v>113</v>
      </c>
      <c r="J88" s="7"/>
      <c r="K88" s="2">
        <f>K3*((K68/K70)*(1-K81))*K39^2*K36</f>
        <v>0</v>
      </c>
      <c r="L88" s="7" t="s">
        <v>15</v>
      </c>
      <c r="M88" s="2">
        <f>CONVERT(K88,"N","lbf")</f>
        <v>0</v>
      </c>
      <c r="N88" s="17" t="s">
        <v>14</v>
      </c>
    </row>
    <row r="89" spans="9:14" x14ac:dyDescent="0.25">
      <c r="I89" s="16" t="s">
        <v>114</v>
      </c>
      <c r="J89" s="7"/>
      <c r="K89" s="2">
        <f>K3*((K69/K70)*(1-K81))*K39^2*K36</f>
        <v>0</v>
      </c>
      <c r="L89" s="7" t="s">
        <v>15</v>
      </c>
      <c r="M89" s="2">
        <f>CONVERT(K89,"N","lbf")</f>
        <v>0</v>
      </c>
      <c r="N89" s="17" t="s">
        <v>14</v>
      </c>
    </row>
    <row r="90" spans="9:14" x14ac:dyDescent="0.25">
      <c r="I90" s="14" t="s">
        <v>89</v>
      </c>
      <c r="J90" s="2"/>
      <c r="K90" s="2"/>
      <c r="L90" s="2" t="s">
        <v>123</v>
      </c>
      <c r="M90" s="2">
        <f>CONVERT(CONVERT(K90,"N","lbf"),"in","mm")</f>
        <v>0</v>
      </c>
      <c r="N90" s="15" t="s">
        <v>124</v>
      </c>
    </row>
    <row r="91" spans="9:14" x14ac:dyDescent="0.25">
      <c r="I91" s="14" t="s">
        <v>87</v>
      </c>
      <c r="J91" s="2"/>
      <c r="K91" s="2"/>
      <c r="L91" s="2" t="s">
        <v>123</v>
      </c>
      <c r="M91" s="2">
        <f>CONVERT(CONVERT(K91,"N","lbf"),"in","mm")</f>
        <v>0</v>
      </c>
      <c r="N91" s="15" t="s">
        <v>124</v>
      </c>
    </row>
    <row r="92" spans="9:14" x14ac:dyDescent="0.25">
      <c r="I92" s="14" t="s">
        <v>88</v>
      </c>
      <c r="J92" s="2"/>
      <c r="K92" s="2"/>
      <c r="L92" s="2" t="s">
        <v>123</v>
      </c>
      <c r="M92" s="2">
        <f>CONVERT(CONVERT(K92,"N","lbf"),"in","mm")</f>
        <v>0</v>
      </c>
      <c r="N92" s="15" t="s">
        <v>124</v>
      </c>
    </row>
    <row r="93" spans="9:14" x14ac:dyDescent="0.25">
      <c r="I93" s="14" t="s">
        <v>91</v>
      </c>
      <c r="J93" s="2"/>
      <c r="K93" s="2"/>
      <c r="L93" s="2"/>
      <c r="M93" s="2"/>
      <c r="N93" s="15"/>
    </row>
    <row r="94" spans="9:14" x14ac:dyDescent="0.25">
      <c r="I94" s="14" t="s">
        <v>86</v>
      </c>
      <c r="J94" s="2"/>
      <c r="K94" s="2" t="e">
        <f>K91/K90*K93</f>
        <v>#DIV/0!</v>
      </c>
      <c r="L94" s="2"/>
      <c r="M94" s="2"/>
      <c r="N94" s="15"/>
    </row>
    <row r="95" spans="9:14" x14ac:dyDescent="0.25">
      <c r="I95" s="14" t="s">
        <v>90</v>
      </c>
      <c r="J95" s="2"/>
      <c r="K95" s="2" t="e">
        <f>K92/K90*K93</f>
        <v>#DIV/0!</v>
      </c>
      <c r="L95" s="2"/>
      <c r="M95" s="2"/>
      <c r="N95" s="15"/>
    </row>
    <row r="96" spans="9:14" x14ac:dyDescent="0.25">
      <c r="I96" s="14" t="s">
        <v>110</v>
      </c>
      <c r="J96" s="2"/>
      <c r="K96" s="9">
        <v>120</v>
      </c>
      <c r="L96" s="2" t="s">
        <v>47</v>
      </c>
      <c r="M96" s="21">
        <f>CONVERT(K96,"mm","in")</f>
        <v>4.7244094488188972</v>
      </c>
      <c r="N96" s="15" t="s">
        <v>46</v>
      </c>
    </row>
    <row r="97" spans="9:14" x14ac:dyDescent="0.25">
      <c r="I97" s="14" t="s">
        <v>111</v>
      </c>
      <c r="J97" s="2"/>
      <c r="K97" s="9">
        <v>120</v>
      </c>
      <c r="L97" s="2" t="s">
        <v>47</v>
      </c>
      <c r="M97" s="21">
        <f>CONVERT(K97,"mm","in")</f>
        <v>4.7244094488188972</v>
      </c>
      <c r="N97" s="15" t="s">
        <v>46</v>
      </c>
    </row>
    <row r="98" spans="9:14" x14ac:dyDescent="0.25">
      <c r="I98" s="14" t="s">
        <v>92</v>
      </c>
      <c r="J98" s="2"/>
      <c r="K98" s="2" t="e">
        <f>K94/K10</f>
        <v>#DIV/0!</v>
      </c>
      <c r="L98" s="2" t="s">
        <v>15</v>
      </c>
      <c r="M98" s="2" t="e">
        <f t="shared" ref="M98:M101" si="11">CONVERT(K98,"N","lbf")</f>
        <v>#DIV/0!</v>
      </c>
      <c r="N98" s="15" t="s">
        <v>14</v>
      </c>
    </row>
    <row r="99" spans="9:14" x14ac:dyDescent="0.25">
      <c r="I99" s="14" t="s">
        <v>96</v>
      </c>
      <c r="J99" s="2"/>
      <c r="K99" s="2" t="e">
        <f>K95/K11</f>
        <v>#DIV/0!</v>
      </c>
      <c r="L99" s="2" t="s">
        <v>15</v>
      </c>
      <c r="M99" s="2" t="e">
        <f t="shared" si="11"/>
        <v>#DIV/0!</v>
      </c>
      <c r="N99" s="15" t="s">
        <v>14</v>
      </c>
    </row>
    <row r="100" spans="9:14" x14ac:dyDescent="0.25">
      <c r="I100" s="14" t="s">
        <v>109</v>
      </c>
      <c r="J100" s="2"/>
      <c r="K100" s="2">
        <f>K86*K96/K10</f>
        <v>0</v>
      </c>
      <c r="L100" s="2" t="s">
        <v>15</v>
      </c>
      <c r="M100" s="2">
        <f t="shared" si="11"/>
        <v>0</v>
      </c>
      <c r="N100" s="15" t="s">
        <v>14</v>
      </c>
    </row>
    <row r="101" spans="9:14" x14ac:dyDescent="0.25">
      <c r="I101" s="14" t="s">
        <v>112</v>
      </c>
      <c r="J101" s="2"/>
      <c r="K101" s="2">
        <f>K87*K97/K11</f>
        <v>0</v>
      </c>
      <c r="L101" s="2" t="s">
        <v>15</v>
      </c>
      <c r="M101" s="2">
        <f t="shared" si="11"/>
        <v>0</v>
      </c>
      <c r="N101" s="15" t="s">
        <v>14</v>
      </c>
    </row>
    <row r="102" spans="9:14" x14ac:dyDescent="0.25">
      <c r="I102" s="14" t="s">
        <v>117</v>
      </c>
      <c r="J102" s="2"/>
      <c r="K102" s="2">
        <f>K88*K82/K10</f>
        <v>0</v>
      </c>
      <c r="L102" s="2" t="s">
        <v>15</v>
      </c>
      <c r="M102" s="2">
        <f>CONVERT(K102,"N","lbf")</f>
        <v>0</v>
      </c>
      <c r="N102" s="15" t="s">
        <v>14</v>
      </c>
    </row>
    <row r="103" spans="9:14" x14ac:dyDescent="0.25">
      <c r="I103" s="14" t="s">
        <v>122</v>
      </c>
      <c r="J103" s="2"/>
      <c r="K103" s="2">
        <f>K89*K83/K11</f>
        <v>0</v>
      </c>
      <c r="L103" s="2" t="s">
        <v>15</v>
      </c>
      <c r="M103" s="2">
        <f>CONVERT(K103,"N","lbf")</f>
        <v>0</v>
      </c>
      <c r="N103" s="15" t="s">
        <v>14</v>
      </c>
    </row>
    <row r="104" spans="9:14" x14ac:dyDescent="0.25">
      <c r="I104" s="14" t="s">
        <v>121</v>
      </c>
      <c r="J104" s="2"/>
      <c r="K104" s="2" t="e">
        <f>K102+K100+K98</f>
        <v>#DIV/0!</v>
      </c>
      <c r="L104" s="2" t="s">
        <v>15</v>
      </c>
      <c r="M104" s="2" t="e">
        <f>CONVERT(K104,"N","lbf")</f>
        <v>#DIV/0!</v>
      </c>
      <c r="N104" s="15" t="s">
        <v>14</v>
      </c>
    </row>
    <row r="105" spans="9:14" ht="15.75" thickBot="1" x14ac:dyDescent="0.3">
      <c r="I105" s="19" t="s">
        <v>120</v>
      </c>
      <c r="J105" s="18"/>
      <c r="K105" s="18" t="e">
        <f>K103+K101+K99</f>
        <v>#DIV/0!</v>
      </c>
      <c r="L105" s="18" t="s">
        <v>15</v>
      </c>
      <c r="M105" s="18" t="e">
        <f>CONVERT(K105,"N","lbf")</f>
        <v>#DIV/0!</v>
      </c>
      <c r="N105" s="20" t="s">
        <v>14</v>
      </c>
    </row>
  </sheetData>
  <mergeCells count="5">
    <mergeCell ref="B1:G1"/>
    <mergeCell ref="I1:N1"/>
    <mergeCell ref="P1:U1"/>
    <mergeCell ref="AD1:AI1"/>
    <mergeCell ref="W1:AB1"/>
  </mergeCells>
  <dataValidations count="3">
    <dataValidation type="list" allowBlank="1" showInputMessage="1" showErrorMessage="1" sqref="K35" xr:uid="{2FAEB1D1-6E35-4022-9DCC-1F28C10EEFF4}">
      <formula1>Direction_of_Turn</formula1>
    </dataValidation>
    <dataValidation type="list" allowBlank="1" showInputMessage="1" showErrorMessage="1" sqref="K14" xr:uid="{28D0031D-8471-4F5E-8290-0D0594491E5D}">
      <formula1>Tire_Location</formula1>
    </dataValidation>
    <dataValidation type="list" allowBlank="1" showInputMessage="1" showErrorMessage="1" sqref="Y3" xr:uid="{DFA6D1C5-A19A-43C1-88D4-B959D6DDCF12}">
      <formula1>Leaf_Spring_Types</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AF7BD-DDA8-41C5-89B5-35D507209E91}">
  <dimension ref="A1:AC58"/>
  <sheetViews>
    <sheetView zoomScale="70" zoomScaleNormal="70" workbookViewId="0">
      <selection activeCell="AC2" sqref="AC2:AC3"/>
    </sheetView>
  </sheetViews>
  <sheetFormatPr defaultRowHeight="15" x14ac:dyDescent="0.25"/>
  <cols>
    <col min="2" max="2" width="12.7109375" bestFit="1" customWidth="1"/>
    <col min="3" max="3" width="12.85546875" bestFit="1" customWidth="1"/>
    <col min="4" max="5" width="9.28515625" bestFit="1" customWidth="1"/>
    <col min="12" max="12" width="26.5703125" bestFit="1" customWidth="1"/>
  </cols>
  <sheetData>
    <row r="1" spans="2:29" x14ac:dyDescent="0.25">
      <c r="B1" t="s">
        <v>32</v>
      </c>
      <c r="C1" t="s">
        <v>33</v>
      </c>
      <c r="D1" t="s">
        <v>34</v>
      </c>
      <c r="AA1" t="s">
        <v>193</v>
      </c>
      <c r="AB1" t="s">
        <v>222</v>
      </c>
      <c r="AC1" t="s">
        <v>278</v>
      </c>
    </row>
    <row r="2" spans="2:29" x14ac:dyDescent="0.25">
      <c r="B2" t="s">
        <v>29</v>
      </c>
      <c r="C2" t="s">
        <v>30</v>
      </c>
      <c r="D2" t="s">
        <v>31</v>
      </c>
      <c r="E2" t="s">
        <v>37</v>
      </c>
      <c r="AA2" t="s">
        <v>194</v>
      </c>
      <c r="AB2" t="s">
        <v>223</v>
      </c>
      <c r="AC2" t="s">
        <v>279</v>
      </c>
    </row>
    <row r="3" spans="2:29" x14ac:dyDescent="0.25">
      <c r="B3" t="s">
        <v>29</v>
      </c>
      <c r="C3" t="s">
        <v>35</v>
      </c>
      <c r="D3" t="s">
        <v>36</v>
      </c>
      <c r="AA3" t="s">
        <v>195</v>
      </c>
      <c r="AB3" t="s">
        <v>224</v>
      </c>
      <c r="AC3" t="s">
        <v>280</v>
      </c>
    </row>
    <row r="4" spans="2:29" x14ac:dyDescent="0.25">
      <c r="B4" t="s">
        <v>29</v>
      </c>
      <c r="C4" t="s">
        <v>38</v>
      </c>
      <c r="D4" t="s">
        <v>39</v>
      </c>
      <c r="AB4" t="s">
        <v>225</v>
      </c>
    </row>
    <row r="5" spans="2:29" x14ac:dyDescent="0.25">
      <c r="B5" t="s">
        <v>29</v>
      </c>
      <c r="C5" t="s">
        <v>40</v>
      </c>
      <c r="D5" t="s">
        <v>41</v>
      </c>
      <c r="AB5" t="s">
        <v>226</v>
      </c>
    </row>
    <row r="8" spans="2:29" x14ac:dyDescent="0.25">
      <c r="B8" t="s">
        <v>126</v>
      </c>
      <c r="C8" t="s">
        <v>18</v>
      </c>
    </row>
    <row r="9" spans="2:29" x14ac:dyDescent="0.25">
      <c r="B9" t="s">
        <v>127</v>
      </c>
      <c r="C9" t="s">
        <v>128</v>
      </c>
    </row>
    <row r="10" spans="2:29" x14ac:dyDescent="0.25">
      <c r="B10" t="s">
        <v>228</v>
      </c>
      <c r="C10" t="s">
        <v>229</v>
      </c>
    </row>
    <row r="11" spans="2:29" x14ac:dyDescent="0.25">
      <c r="B11" t="s">
        <v>230</v>
      </c>
      <c r="C11" t="s">
        <v>231</v>
      </c>
    </row>
    <row r="12" spans="2:29" x14ac:dyDescent="0.25">
      <c r="B12" t="s">
        <v>242</v>
      </c>
      <c r="C12" t="s">
        <v>243</v>
      </c>
    </row>
    <row r="13" spans="2:29" ht="15.75" thickBot="1" x14ac:dyDescent="0.3"/>
    <row r="14" spans="2:29" ht="60" x14ac:dyDescent="0.25">
      <c r="B14" s="105" t="s">
        <v>168</v>
      </c>
      <c r="C14" s="106" t="s">
        <v>169</v>
      </c>
      <c r="D14" s="107" t="s">
        <v>170</v>
      </c>
      <c r="L14" t="s">
        <v>171</v>
      </c>
      <c r="M14">
        <v>1000</v>
      </c>
      <c r="N14" t="s">
        <v>14</v>
      </c>
    </row>
    <row r="15" spans="2:29" ht="15.75" thickBot="1" x14ac:dyDescent="0.3">
      <c r="B15" s="108" t="s">
        <v>14</v>
      </c>
      <c r="C15" s="109" t="s">
        <v>14</v>
      </c>
      <c r="D15" s="110" t="s">
        <v>140</v>
      </c>
      <c r="L15" t="s">
        <v>172</v>
      </c>
      <c r="M15" s="67">
        <v>1</v>
      </c>
      <c r="N15" t="s">
        <v>140</v>
      </c>
    </row>
    <row r="16" spans="2:29" x14ac:dyDescent="0.25">
      <c r="B16" s="102">
        <v>1E-4</v>
      </c>
      <c r="C16" s="103">
        <v>2.0000000000000001E-4</v>
      </c>
      <c r="D16" s="104">
        <f>C16/B16</f>
        <v>2</v>
      </c>
      <c r="L16" t="s">
        <v>173</v>
      </c>
      <c r="M16">
        <f>M14*M15</f>
        <v>1000</v>
      </c>
      <c r="N16" t="s">
        <v>14</v>
      </c>
    </row>
    <row r="17" spans="1:13" x14ac:dyDescent="0.25">
      <c r="B17" s="98">
        <v>250</v>
      </c>
      <c r="C17" s="24">
        <v>425</v>
      </c>
      <c r="D17" s="99">
        <f t="shared" ref="D17:D26" si="0">C17/B17</f>
        <v>1.7</v>
      </c>
    </row>
    <row r="18" spans="1:13" x14ac:dyDescent="0.25">
      <c r="B18" s="14">
        <v>500</v>
      </c>
      <c r="C18" s="97">
        <v>700</v>
      </c>
      <c r="D18" s="99">
        <f t="shared" si="0"/>
        <v>1.4</v>
      </c>
      <c r="I18" t="s">
        <v>178</v>
      </c>
      <c r="J18" t="s">
        <v>177</v>
      </c>
      <c r="K18" t="s">
        <v>176</v>
      </c>
      <c r="L18" t="s">
        <v>174</v>
      </c>
      <c r="M18" t="s">
        <v>175</v>
      </c>
    </row>
    <row r="19" spans="1:13" x14ac:dyDescent="0.25">
      <c r="B19" s="14">
        <v>750</v>
      </c>
      <c r="C19" s="2">
        <v>875</v>
      </c>
      <c r="D19" s="100">
        <f t="shared" si="0"/>
        <v>1.1666666666666667</v>
      </c>
      <c r="I19" t="s">
        <v>179</v>
      </c>
      <c r="J19">
        <v>0</v>
      </c>
      <c r="K19">
        <f>2*PI()*J19/$J$57</f>
        <v>0</v>
      </c>
      <c r="L19">
        <f>$M$16*COS(K19)</f>
        <v>1000</v>
      </c>
      <c r="M19">
        <f>$M$16*SIN(K19)</f>
        <v>0</v>
      </c>
    </row>
    <row r="20" spans="1:13" x14ac:dyDescent="0.25">
      <c r="B20" s="14">
        <v>1000</v>
      </c>
      <c r="C20" s="97">
        <v>1000</v>
      </c>
      <c r="D20" s="99">
        <f t="shared" si="0"/>
        <v>1</v>
      </c>
      <c r="I20" t="str">
        <f>" "</f>
        <v xml:space="preserve"> </v>
      </c>
      <c r="J20">
        <v>1</v>
      </c>
      <c r="K20">
        <f t="shared" ref="K20:K58" si="1">2*PI()*J20/$J$58</f>
        <v>0.16110731556870733</v>
      </c>
      <c r="L20">
        <f t="shared" ref="L20:L58" si="2">$M$16*COS(K20)</f>
        <v>987.05026263791285</v>
      </c>
      <c r="M20">
        <f t="shared" ref="M20:M36" si="3">$M$16*SIN(K20)</f>
        <v>160.4112808577602</v>
      </c>
    </row>
    <row r="21" spans="1:13" x14ac:dyDescent="0.25">
      <c r="B21" s="14">
        <v>1250</v>
      </c>
      <c r="C21" s="2">
        <v>1135</v>
      </c>
      <c r="D21" s="99">
        <f t="shared" si="0"/>
        <v>0.90800000000000003</v>
      </c>
      <c r="I21" t="str">
        <f t="shared" ref="I21:I28" si="4">" "</f>
        <v xml:space="preserve"> </v>
      </c>
      <c r="J21">
        <v>2</v>
      </c>
      <c r="K21">
        <f t="shared" si="1"/>
        <v>0.32221463113741466</v>
      </c>
      <c r="L21">
        <f t="shared" si="2"/>
        <v>948.53644194714548</v>
      </c>
      <c r="M21">
        <f t="shared" si="3"/>
        <v>316.66799380147251</v>
      </c>
    </row>
    <row r="22" spans="1:13" x14ac:dyDescent="0.25">
      <c r="B22" s="14">
        <v>1500</v>
      </c>
      <c r="C22" s="97">
        <v>1250</v>
      </c>
      <c r="D22" s="99">
        <f t="shared" si="0"/>
        <v>0.83333333333333337</v>
      </c>
      <c r="I22" t="str">
        <f t="shared" si="4"/>
        <v xml:space="preserve"> </v>
      </c>
      <c r="J22">
        <v>3</v>
      </c>
      <c r="K22">
        <f t="shared" si="1"/>
        <v>0.483321946706122</v>
      </c>
      <c r="L22">
        <f t="shared" si="2"/>
        <v>885.45602565320996</v>
      </c>
      <c r="M22">
        <f t="shared" si="3"/>
        <v>464.7231720437685</v>
      </c>
    </row>
    <row r="23" spans="1:13" x14ac:dyDescent="0.25">
      <c r="B23" s="14">
        <v>1750</v>
      </c>
      <c r="C23" s="2">
        <v>1350</v>
      </c>
      <c r="D23" s="99">
        <f t="shared" si="0"/>
        <v>0.77142857142857146</v>
      </c>
      <c r="I23" t="str">
        <f t="shared" si="4"/>
        <v xml:space="preserve"> </v>
      </c>
      <c r="J23">
        <v>4</v>
      </c>
      <c r="K23">
        <f t="shared" si="1"/>
        <v>0.64442926227482933</v>
      </c>
      <c r="L23">
        <f t="shared" si="2"/>
        <v>799.4427634035012</v>
      </c>
      <c r="M23">
        <f t="shared" si="3"/>
        <v>600.74226423797882</v>
      </c>
    </row>
    <row r="24" spans="1:13" x14ac:dyDescent="0.25">
      <c r="B24" s="14">
        <v>2000</v>
      </c>
      <c r="C24" s="97">
        <v>1450</v>
      </c>
      <c r="D24" s="99">
        <f t="shared" si="0"/>
        <v>0.72499999999999998</v>
      </c>
      <c r="I24" t="str">
        <f t="shared" si="4"/>
        <v xml:space="preserve"> </v>
      </c>
      <c r="J24">
        <v>5</v>
      </c>
      <c r="K24">
        <f t="shared" si="1"/>
        <v>0.80553657784353672</v>
      </c>
      <c r="L24">
        <f t="shared" si="2"/>
        <v>692.72435350959938</v>
      </c>
      <c r="M24">
        <f t="shared" si="3"/>
        <v>721.20244734381458</v>
      </c>
    </row>
    <row r="25" spans="1:13" x14ac:dyDescent="0.25">
      <c r="B25" s="16">
        <v>2250</v>
      </c>
      <c r="C25" s="2">
        <v>1550</v>
      </c>
      <c r="D25" s="99">
        <f t="shared" si="0"/>
        <v>0.68888888888888888</v>
      </c>
      <c r="I25" t="str">
        <f t="shared" si="4"/>
        <v xml:space="preserve"> </v>
      </c>
      <c r="J25">
        <v>6</v>
      </c>
      <c r="K25">
        <f t="shared" si="1"/>
        <v>0.96664389341224399</v>
      </c>
      <c r="L25">
        <f t="shared" si="2"/>
        <v>568.06474673115588</v>
      </c>
      <c r="M25">
        <f t="shared" si="3"/>
        <v>822.98386589365634</v>
      </c>
    </row>
    <row r="26" spans="1:13" ht="15.75" thickBot="1" x14ac:dyDescent="0.3">
      <c r="B26" s="43">
        <v>2500</v>
      </c>
      <c r="C26" s="18">
        <v>1625</v>
      </c>
      <c r="D26" s="101">
        <f t="shared" si="0"/>
        <v>0.65</v>
      </c>
      <c r="I26" t="str">
        <f t="shared" si="4"/>
        <v xml:space="preserve"> </v>
      </c>
      <c r="J26">
        <v>7</v>
      </c>
      <c r="K26">
        <f t="shared" si="1"/>
        <v>1.1277512089809514</v>
      </c>
      <c r="L26">
        <f t="shared" si="2"/>
        <v>428.69256140305424</v>
      </c>
      <c r="M26">
        <f t="shared" si="3"/>
        <v>903.45043461038222</v>
      </c>
    </row>
    <row r="27" spans="1:13" x14ac:dyDescent="0.25">
      <c r="A27" t="s">
        <v>210</v>
      </c>
      <c r="B27" t="s">
        <v>211</v>
      </c>
      <c r="C27" t="s">
        <v>212</v>
      </c>
      <c r="D27" t="s">
        <v>213</v>
      </c>
      <c r="E27" t="s">
        <v>214</v>
      </c>
      <c r="I27" t="str">
        <f t="shared" si="4"/>
        <v xml:space="preserve"> </v>
      </c>
      <c r="J27">
        <v>8</v>
      </c>
      <c r="K27">
        <f t="shared" si="1"/>
        <v>1.2888585245496587</v>
      </c>
      <c r="L27">
        <f t="shared" si="2"/>
        <v>278.21746391645274</v>
      </c>
      <c r="M27">
        <f t="shared" si="3"/>
        <v>960.51811163137222</v>
      </c>
    </row>
    <row r="28" spans="1:13" x14ac:dyDescent="0.25">
      <c r="A28">
        <f t="array" ref="A28:E28">LINEST(C16:C26,B16:B26^{1,2,3,4})</f>
        <v>-1.0554778239369677E-10</v>
      </c>
      <c r="B28">
        <v>6.6542344837048866E-7</v>
      </c>
      <c r="C28">
        <v>-1.5437062637878578E-3</v>
      </c>
      <c r="D28">
        <v>1.9960567028405847</v>
      </c>
      <c r="E28">
        <v>4.7902120496825091</v>
      </c>
      <c r="I28" t="str">
        <f t="shared" si="4"/>
        <v xml:space="preserve"> </v>
      </c>
      <c r="J28">
        <v>9</v>
      </c>
      <c r="K28">
        <f t="shared" si="1"/>
        <v>1.4499658401183662</v>
      </c>
      <c r="L28">
        <f t="shared" si="2"/>
        <v>120.53668025532301</v>
      </c>
      <c r="M28">
        <f t="shared" si="3"/>
        <v>992.70887409805403</v>
      </c>
    </row>
    <row r="29" spans="1:13" x14ac:dyDescent="0.25">
      <c r="I29" t="s">
        <v>180</v>
      </c>
      <c r="J29">
        <v>10</v>
      </c>
      <c r="K29">
        <f t="shared" si="1"/>
        <v>1.6110731556870734</v>
      </c>
      <c r="L29">
        <f t="shared" si="2"/>
        <v>-40.265940109415126</v>
      </c>
      <c r="M29">
        <f t="shared" si="3"/>
        <v>999.18899817156955</v>
      </c>
    </row>
    <row r="30" spans="1:13" x14ac:dyDescent="0.25">
      <c r="I30" t="str">
        <f>" "</f>
        <v xml:space="preserve"> </v>
      </c>
      <c r="J30">
        <v>11</v>
      </c>
      <c r="K30">
        <f t="shared" si="1"/>
        <v>1.7721804712557805</v>
      </c>
      <c r="L30">
        <f t="shared" si="2"/>
        <v>-200.02569377604414</v>
      </c>
      <c r="M30">
        <f t="shared" si="3"/>
        <v>979.79065204226777</v>
      </c>
    </row>
    <row r="31" spans="1:13" x14ac:dyDescent="0.25">
      <c r="I31" t="str">
        <f t="shared" ref="I31:I38" si="5">" "</f>
        <v xml:space="preserve"> </v>
      </c>
      <c r="J31">
        <v>12</v>
      </c>
      <c r="K31">
        <f t="shared" si="1"/>
        <v>1.933287786824488</v>
      </c>
      <c r="L31">
        <f t="shared" si="2"/>
        <v>-354.60488704253544</v>
      </c>
      <c r="M31">
        <f t="shared" si="3"/>
        <v>935.0162426854148</v>
      </c>
    </row>
    <row r="32" spans="1:13" x14ac:dyDescent="0.25">
      <c r="I32" t="str">
        <f t="shared" si="5"/>
        <v xml:space="preserve"> </v>
      </c>
      <c r="J32">
        <v>13</v>
      </c>
      <c r="K32">
        <f t="shared" si="1"/>
        <v>2.0943951023931957</v>
      </c>
      <c r="L32">
        <f t="shared" si="2"/>
        <v>-500.00000000000023</v>
      </c>
      <c r="M32">
        <f t="shared" si="3"/>
        <v>866.02540378443848</v>
      </c>
    </row>
    <row r="33" spans="9:13" x14ac:dyDescent="0.25">
      <c r="I33" t="str">
        <f t="shared" si="5"/>
        <v xml:space="preserve"> </v>
      </c>
      <c r="J33">
        <v>14</v>
      </c>
      <c r="K33">
        <f t="shared" si="1"/>
        <v>2.2555024179619028</v>
      </c>
      <c r="L33">
        <f t="shared" si="2"/>
        <v>-632.44537559537719</v>
      </c>
      <c r="M33">
        <f t="shared" si="3"/>
        <v>774.60496182765462</v>
      </c>
    </row>
    <row r="34" spans="9:13" x14ac:dyDescent="0.25">
      <c r="I34" t="str">
        <f t="shared" si="5"/>
        <v xml:space="preserve"> </v>
      </c>
      <c r="J34">
        <v>15</v>
      </c>
      <c r="K34">
        <f t="shared" si="1"/>
        <v>2.4166097335306098</v>
      </c>
      <c r="L34">
        <f t="shared" si="2"/>
        <v>-748.51074817110089</v>
      </c>
      <c r="M34">
        <f t="shared" si="3"/>
        <v>663.12265824079554</v>
      </c>
    </row>
    <row r="35" spans="9:13" x14ac:dyDescent="0.25">
      <c r="I35" t="str">
        <f t="shared" si="5"/>
        <v xml:space="preserve"> </v>
      </c>
      <c r="J35">
        <v>16</v>
      </c>
      <c r="K35">
        <f t="shared" si="1"/>
        <v>2.5777170490993173</v>
      </c>
      <c r="L35">
        <f t="shared" si="2"/>
        <v>-845.19008554379457</v>
      </c>
      <c r="M35">
        <f t="shared" si="3"/>
        <v>534.46582612780128</v>
      </c>
    </row>
    <row r="36" spans="9:13" x14ac:dyDescent="0.25">
      <c r="I36" t="str">
        <f t="shared" si="5"/>
        <v xml:space="preserve"> </v>
      </c>
      <c r="J36">
        <v>17</v>
      </c>
      <c r="K36">
        <f t="shared" si="1"/>
        <v>2.7388243646680248</v>
      </c>
      <c r="L36">
        <f t="shared" si="2"/>
        <v>-919.97944365882427</v>
      </c>
      <c r="M36">
        <f t="shared" si="3"/>
        <v>391.96660986007515</v>
      </c>
    </row>
    <row r="37" spans="9:13" x14ac:dyDescent="0.25">
      <c r="I37" t="str">
        <f t="shared" si="5"/>
        <v xml:space="preserve"> </v>
      </c>
      <c r="J37">
        <v>18</v>
      </c>
      <c r="K37">
        <f t="shared" si="1"/>
        <v>2.8999316802367323</v>
      </c>
      <c r="L37">
        <f t="shared" si="2"/>
        <v>-970.94181742605201</v>
      </c>
      <c r="M37">
        <f t="shared" ref="M37:M49" si="6">$M$16*SIN(K37)</f>
        <v>239.31566428755769</v>
      </c>
    </row>
    <row r="38" spans="9:13" x14ac:dyDescent="0.25">
      <c r="I38" t="str">
        <f t="shared" si="5"/>
        <v xml:space="preserve"> </v>
      </c>
      <c r="J38">
        <v>19</v>
      </c>
      <c r="K38">
        <f t="shared" si="1"/>
        <v>3.0610389958054394</v>
      </c>
      <c r="L38">
        <f t="shared" si="2"/>
        <v>-996.75730813420989</v>
      </c>
      <c r="M38">
        <f t="shared" si="6"/>
        <v>80.466568716726087</v>
      </c>
    </row>
    <row r="39" spans="9:13" x14ac:dyDescent="0.25">
      <c r="I39" t="s">
        <v>181</v>
      </c>
      <c r="J39">
        <v>20</v>
      </c>
      <c r="K39">
        <f t="shared" si="1"/>
        <v>3.2221463113741469</v>
      </c>
      <c r="L39">
        <f t="shared" si="2"/>
        <v>-996.75730813421001</v>
      </c>
      <c r="M39">
        <f t="shared" si="6"/>
        <v>-80.466568716725831</v>
      </c>
    </row>
    <row r="40" spans="9:13" x14ac:dyDescent="0.25">
      <c r="J40">
        <v>21</v>
      </c>
      <c r="K40">
        <f t="shared" si="1"/>
        <v>3.3832536269428544</v>
      </c>
      <c r="L40">
        <f t="shared" si="2"/>
        <v>-970.94181742605201</v>
      </c>
      <c r="M40">
        <f t="shared" si="6"/>
        <v>-239.31566428755787</v>
      </c>
    </row>
    <row r="41" spans="9:13" x14ac:dyDescent="0.25">
      <c r="J41">
        <v>22</v>
      </c>
      <c r="K41">
        <f t="shared" si="1"/>
        <v>3.544360942511561</v>
      </c>
      <c r="L41">
        <f t="shared" si="2"/>
        <v>-919.97944365882449</v>
      </c>
      <c r="M41">
        <f t="shared" si="6"/>
        <v>-391.96660986007447</v>
      </c>
    </row>
    <row r="42" spans="9:13" x14ac:dyDescent="0.25">
      <c r="J42">
        <v>23</v>
      </c>
      <c r="K42">
        <f t="shared" si="1"/>
        <v>3.7054682580802685</v>
      </c>
      <c r="L42">
        <f t="shared" si="2"/>
        <v>-845.19008554379502</v>
      </c>
      <c r="M42">
        <f t="shared" si="6"/>
        <v>-534.46582612780071</v>
      </c>
    </row>
    <row r="43" spans="9:13" x14ac:dyDescent="0.25">
      <c r="J43">
        <v>24</v>
      </c>
      <c r="K43">
        <f t="shared" si="1"/>
        <v>3.866575573648976</v>
      </c>
      <c r="L43">
        <f t="shared" si="2"/>
        <v>-748.51074817110134</v>
      </c>
      <c r="M43">
        <f t="shared" si="6"/>
        <v>-663.12265824079498</v>
      </c>
    </row>
    <row r="44" spans="9:13" x14ac:dyDescent="0.25">
      <c r="J44">
        <v>25</v>
      </c>
      <c r="K44">
        <f t="shared" si="1"/>
        <v>4.0276828892176839</v>
      </c>
      <c r="L44">
        <f t="shared" si="2"/>
        <v>-632.44537559537707</v>
      </c>
      <c r="M44">
        <f t="shared" si="6"/>
        <v>-774.60496182765473</v>
      </c>
    </row>
    <row r="45" spans="9:13" x14ac:dyDescent="0.25">
      <c r="J45">
        <v>26</v>
      </c>
      <c r="K45">
        <f t="shared" si="1"/>
        <v>4.1887902047863914</v>
      </c>
      <c r="L45">
        <f t="shared" si="2"/>
        <v>-499.9999999999996</v>
      </c>
      <c r="M45">
        <f t="shared" si="6"/>
        <v>-866.02540378443882</v>
      </c>
    </row>
    <row r="46" spans="9:13" x14ac:dyDescent="0.25">
      <c r="J46">
        <v>27</v>
      </c>
      <c r="K46">
        <f t="shared" si="1"/>
        <v>4.349897520355098</v>
      </c>
      <c r="L46">
        <f t="shared" si="2"/>
        <v>-354.60488704253589</v>
      </c>
      <c r="M46">
        <f t="shared" si="6"/>
        <v>-935.01624268541468</v>
      </c>
    </row>
    <row r="47" spans="9:13" x14ac:dyDescent="0.25">
      <c r="J47">
        <v>28</v>
      </c>
      <c r="K47">
        <f t="shared" si="1"/>
        <v>4.5110048359238055</v>
      </c>
      <c r="L47">
        <f t="shared" si="2"/>
        <v>-200.02569377604456</v>
      </c>
      <c r="M47">
        <f t="shared" si="6"/>
        <v>-979.79065204226765</v>
      </c>
    </row>
    <row r="48" spans="9:13" x14ac:dyDescent="0.25">
      <c r="J48">
        <v>29</v>
      </c>
      <c r="K48">
        <f t="shared" si="1"/>
        <v>4.672112151492513</v>
      </c>
      <c r="L48">
        <f t="shared" si="2"/>
        <v>-40.265940109415141</v>
      </c>
      <c r="M48">
        <f t="shared" si="6"/>
        <v>-999.18899817156955</v>
      </c>
    </row>
    <row r="49" spans="9:13" x14ac:dyDescent="0.25">
      <c r="I49" t="s">
        <v>182</v>
      </c>
      <c r="J49">
        <v>30</v>
      </c>
      <c r="K49">
        <f t="shared" si="1"/>
        <v>4.8332194670612196</v>
      </c>
      <c r="L49">
        <f t="shared" si="2"/>
        <v>120.53668025532232</v>
      </c>
      <c r="M49">
        <f t="shared" si="6"/>
        <v>-992.70887409805414</v>
      </c>
    </row>
    <row r="50" spans="9:13" x14ac:dyDescent="0.25">
      <c r="J50">
        <v>31</v>
      </c>
      <c r="K50">
        <f t="shared" si="1"/>
        <v>4.9943267826299271</v>
      </c>
      <c r="L50">
        <f t="shared" si="2"/>
        <v>278.21746391645206</v>
      </c>
      <c r="M50">
        <f t="shared" ref="M50:M58" si="7">$M$16*SIN(K50)</f>
        <v>-960.51811163137245</v>
      </c>
    </row>
    <row r="51" spans="9:13" x14ac:dyDescent="0.25">
      <c r="J51">
        <v>32</v>
      </c>
      <c r="K51">
        <f t="shared" si="1"/>
        <v>5.1554340981986346</v>
      </c>
      <c r="L51">
        <f t="shared" si="2"/>
        <v>428.69256140305379</v>
      </c>
      <c r="M51">
        <f t="shared" si="7"/>
        <v>-903.45043461038244</v>
      </c>
    </row>
    <row r="52" spans="9:13" x14ac:dyDescent="0.25">
      <c r="J52">
        <v>33</v>
      </c>
      <c r="K52">
        <f t="shared" si="1"/>
        <v>5.3165414137673421</v>
      </c>
      <c r="L52">
        <f t="shared" si="2"/>
        <v>568.06474673115554</v>
      </c>
      <c r="M52">
        <f t="shared" si="7"/>
        <v>-822.98386589365657</v>
      </c>
    </row>
    <row r="53" spans="9:13" x14ac:dyDescent="0.25">
      <c r="J53">
        <v>34</v>
      </c>
      <c r="K53">
        <f t="shared" si="1"/>
        <v>5.4776487293360496</v>
      </c>
      <c r="L53">
        <f t="shared" si="2"/>
        <v>692.72435350959927</v>
      </c>
      <c r="M53">
        <f t="shared" si="7"/>
        <v>-721.2024473438147</v>
      </c>
    </row>
    <row r="54" spans="9:13" x14ac:dyDescent="0.25">
      <c r="J54">
        <v>35</v>
      </c>
      <c r="K54">
        <f t="shared" si="1"/>
        <v>5.6387560449047571</v>
      </c>
      <c r="L54">
        <f t="shared" si="2"/>
        <v>799.4427634035012</v>
      </c>
      <c r="M54">
        <f t="shared" si="7"/>
        <v>-600.74226423797893</v>
      </c>
    </row>
    <row r="55" spans="9:13" x14ac:dyDescent="0.25">
      <c r="J55">
        <v>36</v>
      </c>
      <c r="K55">
        <f t="shared" si="1"/>
        <v>5.7998633604734646</v>
      </c>
      <c r="L55">
        <f t="shared" si="2"/>
        <v>885.45602565321008</v>
      </c>
      <c r="M55">
        <f t="shared" si="7"/>
        <v>-464.72317204376839</v>
      </c>
    </row>
    <row r="56" spans="9:13" x14ac:dyDescent="0.25">
      <c r="J56">
        <v>37</v>
      </c>
      <c r="K56">
        <f t="shared" si="1"/>
        <v>5.9609706760421721</v>
      </c>
      <c r="L56">
        <f t="shared" si="2"/>
        <v>948.53644194714559</v>
      </c>
      <c r="M56">
        <f t="shared" si="7"/>
        <v>-316.66799380147222</v>
      </c>
    </row>
    <row r="57" spans="9:13" x14ac:dyDescent="0.25">
      <c r="J57">
        <v>38</v>
      </c>
      <c r="K57">
        <f t="shared" si="1"/>
        <v>6.1220779916108787</v>
      </c>
      <c r="L57">
        <f t="shared" si="2"/>
        <v>987.05026263791285</v>
      </c>
      <c r="M57">
        <f t="shared" si="7"/>
        <v>-160.41128085776063</v>
      </c>
    </row>
    <row r="58" spans="9:13" x14ac:dyDescent="0.25">
      <c r="J58">
        <v>39</v>
      </c>
      <c r="K58">
        <f t="shared" si="1"/>
        <v>6.2831853071795862</v>
      </c>
      <c r="L58">
        <f t="shared" si="2"/>
        <v>1000</v>
      </c>
      <c r="M58">
        <f t="shared" si="7"/>
        <v>-2.45029690981724E-13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Draft</vt:lpstr>
      <vt:lpstr>Reference</vt:lpstr>
      <vt:lpstr>Direction_of_Turn</vt:lpstr>
      <vt:lpstr>Leaf_Spring_Types</vt:lpstr>
      <vt:lpstr>Tire_Location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Justin</dc:creator>
  <cp:lastModifiedBy>Williams, Justin</cp:lastModifiedBy>
  <dcterms:created xsi:type="dcterms:W3CDTF">2022-05-06T19:21:12Z</dcterms:created>
  <dcterms:modified xsi:type="dcterms:W3CDTF">2022-05-20T17:23:31Z</dcterms:modified>
</cp:coreProperties>
</file>