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ontextron-my.sharepoint.com/personal/jwilli42_txt_textron_com/Documents/Documents/"/>
    </mc:Choice>
  </mc:AlternateContent>
  <xr:revisionPtr revIDLastSave="178" documentId="8_{E5EFE565-9D88-463B-B7CC-0D0E3D49C684}" xr6:coauthVersionLast="47" xr6:coauthVersionMax="47" xr10:uidLastSave="{D08F098C-5815-4DCF-975D-BCE0432F9003}"/>
  <bookViews>
    <workbookView xWindow="-22815" yWindow="1800" windowWidth="21600" windowHeight="11385" activeTab="3" xr2:uid="{EAA5D936-7EAA-4228-9877-E5DEA8FD2B98}"/>
  </bookViews>
  <sheets>
    <sheet name="TR-XXXX Data (AirRoll Resist)" sheetId="2" r:id="rId1"/>
    <sheet name="Hill Climb Needs" sheetId="1" r:id="rId2"/>
    <sheet name="MPS, BMEP, Disp" sheetId="6" r:id="rId3"/>
    <sheet name="Hill Climb Needs MultiCase" sheetId="7" r:id="rId4"/>
    <sheet name="Potential Torque Curve Shape" sheetId="4" r:id="rId5"/>
  </sheets>
  <definedNames>
    <definedName name="A_v" localSheetId="3">'Hill Climb Needs MultiCase'!$D$15</definedName>
    <definedName name="A_v">'Hill Climb Needs'!$D$14</definedName>
    <definedName name="accel_v" localSheetId="3">'Hill Climb Needs MultiCase'!$D$17</definedName>
    <definedName name="accel_v">'Hill Climb Needs'!$D$16</definedName>
    <definedName name="alpha" localSheetId="3">'Hill Climb Needs MultiCase'!$D$12</definedName>
    <definedName name="alpha">'Hill Climb Needs'!$D$11</definedName>
    <definedName name="C_d" localSheetId="3">'Hill Climb Needs MultiCase'!$D$14</definedName>
    <definedName name="C_d">'Hill Climb Needs'!$D$13</definedName>
    <definedName name="C_r" localSheetId="3">'Hill Climb Needs MultiCase'!$D$13</definedName>
    <definedName name="C_r">'Hill Climb Needs'!$D$12</definedName>
    <definedName name="F_a" localSheetId="3">'Hill Climb Needs MultiCase'!$D$21</definedName>
    <definedName name="F_a">'Hill Climb Needs'!$D$20</definedName>
    <definedName name="F_b" localSheetId="3">'Hill Climb Needs MultiCase'!$D$18</definedName>
    <definedName name="F_b">'Hill Climb Needs'!$D$17</definedName>
    <definedName name="F_D" localSheetId="3">'Hill Climb Needs MultiCase'!$D$20</definedName>
    <definedName name="F_D">'Hill Climb Needs'!$D$19</definedName>
    <definedName name="F_g" localSheetId="3">'Hill Climb Needs MultiCase'!$D$22</definedName>
    <definedName name="F_g">'Hill Climb Needs'!$D$21</definedName>
    <definedName name="F_R" localSheetId="3">'Hill Climb Needs MultiCase'!$D$19</definedName>
    <definedName name="F_R">'Hill Climb Needs'!$D$18</definedName>
    <definedName name="g_e" localSheetId="3">'Hill Climb Needs MultiCase'!$D$4</definedName>
    <definedName name="g_e">'Hill Climb Needs'!$D$3</definedName>
    <definedName name="ge" localSheetId="3">'Hill Climb Needs MultiCase'!$D$4</definedName>
    <definedName name="ge">'Hill Climb Needs'!$D$3</definedName>
    <definedName name="m_v" localSheetId="3">'Hill Climb Needs MultiCase'!$D$11</definedName>
    <definedName name="m_v">'Hill Climb Needs'!$D$10</definedName>
    <definedName name="MW_air" localSheetId="3">'Hill Climb Needs MultiCase'!$D$5</definedName>
    <definedName name="MW_air">'Hill Climb Needs'!$D$4</definedName>
    <definedName name="P_amb" localSheetId="3">'Hill Climb Needs MultiCase'!$D$9</definedName>
    <definedName name="P_amb">'Hill Climb Needs'!$D$8</definedName>
    <definedName name="P_r" localSheetId="3">'Hill Climb Needs MultiCase'!$D$23</definedName>
    <definedName name="P_r">'Hill Climb Needs'!$D$22</definedName>
    <definedName name="P_v" localSheetId="3">'Hill Climb Needs MultiCase'!$D$24</definedName>
    <definedName name="P_v">'Hill Climb Needs'!$D$23</definedName>
    <definedName name="Pressure_Ambient">'MPS, BMEP, Disp'!$B$3</definedName>
    <definedName name="R_air" localSheetId="3">'Hill Climb Needs MultiCase'!$D$7</definedName>
    <definedName name="R_air">'Hill Climb Needs'!$D$6</definedName>
    <definedName name="R_bar" localSheetId="3">'Hill Climb Needs MultiCase'!$D$6</definedName>
    <definedName name="R_bar">'Hill Climb Needs'!$D$5</definedName>
    <definedName name="R_universal">'MPS, BMEP, Disp'!$B$13</definedName>
    <definedName name="rho_air" localSheetId="3">'Hill Climb Needs MultiCase'!$D$10</definedName>
    <definedName name="rho_air">'Hill Climb Needs'!$D$9</definedName>
    <definedName name="S_v" localSheetId="3">'Hill Climb Needs MultiCase'!$D$16</definedName>
    <definedName name="S_v">'Hill Climb Needs'!$D$15</definedName>
    <definedName name="T_amb" localSheetId="3">'Hill Climb Needs MultiCase'!$D$8</definedName>
    <definedName name="T_amb">'Hill Climb Needs'!$D$7</definedName>
    <definedName name="Temp_Ambient">'MPS, BMEP, Disp'!$B$2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7" l="1"/>
  <c r="D14" i="7"/>
  <c r="D13" i="1"/>
  <c r="B41" i="2"/>
  <c r="D8" i="1"/>
  <c r="H17" i="7"/>
  <c r="N7" i="7"/>
  <c r="N8" i="7"/>
  <c r="N9" i="7"/>
  <c r="N10" i="7"/>
  <c r="N11" i="7"/>
  <c r="N6" i="7"/>
  <c r="AA13" i="4"/>
  <c r="AB13" i="4"/>
  <c r="AC13" i="4"/>
  <c r="AF13" i="4"/>
  <c r="AG13" i="4" s="1"/>
  <c r="AA14" i="4"/>
  <c r="AB14" i="4"/>
  <c r="AC14" i="4"/>
  <c r="AF14" i="4"/>
  <c r="AG14" i="4" s="1"/>
  <c r="AA15" i="4"/>
  <c r="AB15" i="4"/>
  <c r="AC15" i="4"/>
  <c r="AF15" i="4"/>
  <c r="AG15" i="4" s="1"/>
  <c r="AA16" i="4"/>
  <c r="AB16" i="4"/>
  <c r="AC16" i="4"/>
  <c r="AF16" i="4"/>
  <c r="AG16" i="4" s="1"/>
  <c r="AA17" i="4"/>
  <c r="AB17" i="4"/>
  <c r="AC17" i="4"/>
  <c r="AF17" i="4"/>
  <c r="AG17" i="4" s="1"/>
  <c r="AA18" i="4"/>
  <c r="AB18" i="4"/>
  <c r="AC18" i="4"/>
  <c r="AF18" i="4"/>
  <c r="AG18" i="4" s="1"/>
  <c r="AA19" i="4"/>
  <c r="AB19" i="4"/>
  <c r="AC19" i="4"/>
  <c r="AF19" i="4"/>
  <c r="AG19" i="4" s="1"/>
  <c r="AA20" i="4"/>
  <c r="AB20" i="4"/>
  <c r="AC20" i="4"/>
  <c r="AF20" i="4"/>
  <c r="AG20" i="4" s="1"/>
  <c r="AA21" i="4"/>
  <c r="AB21" i="4"/>
  <c r="AC21" i="4"/>
  <c r="AF21" i="4"/>
  <c r="AG21" i="4" s="1"/>
  <c r="AA22" i="4"/>
  <c r="AB22" i="4"/>
  <c r="AC22" i="4"/>
  <c r="AF22" i="4"/>
  <c r="AG22" i="4" s="1"/>
  <c r="AA23" i="4"/>
  <c r="AB23" i="4"/>
  <c r="AC23" i="4"/>
  <c r="AF23" i="4"/>
  <c r="AG23" i="4" s="1"/>
  <c r="AA24" i="4"/>
  <c r="AB24" i="4"/>
  <c r="AC24" i="4"/>
  <c r="AF24" i="4"/>
  <c r="AG24" i="4" s="1"/>
  <c r="AA25" i="4"/>
  <c r="AB25" i="4"/>
  <c r="AC25" i="4"/>
  <c r="AF25" i="4"/>
  <c r="AG25" i="4" s="1"/>
  <c r="AA26" i="4"/>
  <c r="AB26" i="4"/>
  <c r="AC26" i="4"/>
  <c r="AF26" i="4"/>
  <c r="AG26" i="4" s="1"/>
  <c r="X13" i="4"/>
  <c r="Z13" i="4" s="1"/>
  <c r="X14" i="4"/>
  <c r="Z14" i="4" s="1"/>
  <c r="X15" i="4"/>
  <c r="Z15" i="4" s="1"/>
  <c r="X16" i="4"/>
  <c r="AD16" i="4" s="1"/>
  <c r="AE16" i="4" s="1"/>
  <c r="X17" i="4"/>
  <c r="AD17" i="4" s="1"/>
  <c r="AE17" i="4" s="1"/>
  <c r="X18" i="4"/>
  <c r="X19" i="4"/>
  <c r="Z19" i="4" s="1"/>
  <c r="X20" i="4"/>
  <c r="AD20" i="4" s="1"/>
  <c r="AE20" i="4" s="1"/>
  <c r="X21" i="4"/>
  <c r="Z21" i="4" s="1"/>
  <c r="X22" i="4"/>
  <c r="Z22" i="4" s="1"/>
  <c r="X23" i="4"/>
  <c r="AD23" i="4" s="1"/>
  <c r="AE23" i="4" s="1"/>
  <c r="X24" i="4"/>
  <c r="AD24" i="4" s="1"/>
  <c r="AE24" i="4" s="1"/>
  <c r="X25" i="4"/>
  <c r="AD25" i="4" s="1"/>
  <c r="AE25" i="4" s="1"/>
  <c r="X26" i="4"/>
  <c r="W14" i="4"/>
  <c r="W15" i="4"/>
  <c r="W16" i="4"/>
  <c r="W17" i="4"/>
  <c r="W18" i="4"/>
  <c r="W19" i="4"/>
  <c r="W20" i="4"/>
  <c r="W21" i="4"/>
  <c r="W22" i="4"/>
  <c r="W23" i="4"/>
  <c r="W24" i="4"/>
  <c r="W25" i="4"/>
  <c r="W26" i="4"/>
  <c r="W13" i="4"/>
  <c r="AC12" i="4"/>
  <c r="AB12" i="4"/>
  <c r="AA12" i="4"/>
  <c r="AF12" i="4"/>
  <c r="AG12" i="4" s="1"/>
  <c r="X12" i="4"/>
  <c r="AD12" i="4" s="1"/>
  <c r="AM12" i="4"/>
  <c r="W12" i="4"/>
  <c r="AQ10" i="4"/>
  <c r="L10" i="7"/>
  <c r="L9" i="7"/>
  <c r="L7" i="7"/>
  <c r="L11" i="7"/>
  <c r="L8" i="7"/>
  <c r="L6" i="7"/>
  <c r="L5" i="7"/>
  <c r="D21" i="7"/>
  <c r="F21" i="7" s="1"/>
  <c r="D33" i="7"/>
  <c r="F18" i="7"/>
  <c r="F17" i="7"/>
  <c r="F16" i="7"/>
  <c r="F15" i="7"/>
  <c r="G14" i="7"/>
  <c r="F14" i="7"/>
  <c r="G13" i="7"/>
  <c r="F12" i="7"/>
  <c r="F9" i="7"/>
  <c r="F8" i="7"/>
  <c r="D7" i="7"/>
  <c r="B17" i="6"/>
  <c r="D10" i="7" l="1"/>
  <c r="D20" i="7" s="1"/>
  <c r="F20" i="7" s="1"/>
  <c r="AD26" i="4"/>
  <c r="AE26" i="4" s="1"/>
  <c r="Z26" i="4"/>
  <c r="Z18" i="4"/>
  <c r="AD18" i="4"/>
  <c r="AE18" i="4" s="1"/>
  <c r="Z20" i="4"/>
  <c r="Z25" i="4"/>
  <c r="AD14" i="4"/>
  <c r="AE14" i="4" s="1"/>
  <c r="Z16" i="4"/>
  <c r="Y6" i="4"/>
  <c r="AD15" i="4"/>
  <c r="AE15" i="4" s="1"/>
  <c r="AD22" i="4"/>
  <c r="AE22" i="4" s="1"/>
  <c r="Z24" i="4"/>
  <c r="Z17" i="4"/>
  <c r="Z23" i="4"/>
  <c r="AD21" i="4"/>
  <c r="AE21" i="4" s="1"/>
  <c r="AD19" i="4"/>
  <c r="AE19" i="4" s="1"/>
  <c r="AD13" i="4"/>
  <c r="AE13" i="4" s="1"/>
  <c r="Y5" i="4"/>
  <c r="AE12" i="4"/>
  <c r="AD7" i="4" s="1"/>
  <c r="AD6" i="4" s="1"/>
  <c r="AD5" i="4" s="1"/>
  <c r="Z12" i="4"/>
  <c r="D22" i="7"/>
  <c r="F22" i="7" s="1"/>
  <c r="F11" i="7"/>
  <c r="F10" i="7" l="1"/>
  <c r="Y7" i="4"/>
  <c r="B15" i="6" l="1"/>
  <c r="D3" i="6"/>
  <c r="D2" i="6"/>
  <c r="AS12" i="4" l="1"/>
  <c r="AT12" i="4" s="1"/>
  <c r="AU12" i="4"/>
  <c r="AU13" i="4"/>
  <c r="AU14" i="4"/>
  <c r="AU15" i="4"/>
  <c r="AU16" i="4"/>
  <c r="AU17" i="4"/>
  <c r="AU18" i="4"/>
  <c r="AU19" i="4"/>
  <c r="AU20" i="4"/>
  <c r="AU21" i="4"/>
  <c r="AU22" i="4"/>
  <c r="AU23" i="4"/>
  <c r="AU24" i="4"/>
  <c r="AU25" i="4"/>
  <c r="AU26" i="4"/>
  <c r="AU27" i="4"/>
  <c r="AU28" i="4"/>
  <c r="S13" i="4"/>
  <c r="S14" i="4"/>
  <c r="S15" i="4"/>
  <c r="S16" i="4"/>
  <c r="S17" i="4"/>
  <c r="S18" i="4"/>
  <c r="S19" i="4"/>
  <c r="S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12" i="4"/>
  <c r="D57" i="4"/>
  <c r="J57" i="4" s="1"/>
  <c r="C57" i="4"/>
  <c r="I57" i="4" s="1"/>
  <c r="H57" i="4"/>
  <c r="D56" i="4"/>
  <c r="J56" i="4" s="1"/>
  <c r="C56" i="4"/>
  <c r="I56" i="4" s="1"/>
  <c r="H56" i="4"/>
  <c r="D55" i="4"/>
  <c r="J55" i="4" s="1"/>
  <c r="C55" i="4"/>
  <c r="I55" i="4" s="1"/>
  <c r="H55" i="4"/>
  <c r="D54" i="4"/>
  <c r="J54" i="4" s="1"/>
  <c r="C54" i="4"/>
  <c r="I54" i="4" s="1"/>
  <c r="H54" i="4"/>
  <c r="D53" i="4"/>
  <c r="J53" i="4" s="1"/>
  <c r="C53" i="4"/>
  <c r="I53" i="4" s="1"/>
  <c r="H53" i="4"/>
  <c r="D52" i="4"/>
  <c r="J52" i="4" s="1"/>
  <c r="C52" i="4"/>
  <c r="I52" i="4" s="1"/>
  <c r="H52" i="4"/>
  <c r="D51" i="4"/>
  <c r="J51" i="4" s="1"/>
  <c r="C51" i="4"/>
  <c r="I51" i="4" s="1"/>
  <c r="H51" i="4"/>
  <c r="D50" i="4"/>
  <c r="J50" i="4" s="1"/>
  <c r="C50" i="4"/>
  <c r="I50" i="4" s="1"/>
  <c r="H50" i="4"/>
  <c r="D49" i="4"/>
  <c r="J49" i="4" s="1"/>
  <c r="C49" i="4"/>
  <c r="I49" i="4" s="1"/>
  <c r="H49" i="4"/>
  <c r="D48" i="4"/>
  <c r="J48" i="4" s="1"/>
  <c r="C48" i="4"/>
  <c r="I48" i="4" s="1"/>
  <c r="H48" i="4"/>
  <c r="D47" i="4"/>
  <c r="J47" i="4" s="1"/>
  <c r="C47" i="4"/>
  <c r="I47" i="4" s="1"/>
  <c r="H47" i="4"/>
  <c r="D46" i="4"/>
  <c r="J46" i="4" s="1"/>
  <c r="C46" i="4"/>
  <c r="I46" i="4" s="1"/>
  <c r="H46" i="4"/>
  <c r="D45" i="4"/>
  <c r="J45" i="4" s="1"/>
  <c r="C45" i="4"/>
  <c r="I45" i="4" s="1"/>
  <c r="H45" i="4"/>
  <c r="D44" i="4"/>
  <c r="J44" i="4" s="1"/>
  <c r="C44" i="4"/>
  <c r="I44" i="4" s="1"/>
  <c r="H44" i="4"/>
  <c r="D43" i="4"/>
  <c r="J43" i="4" s="1"/>
  <c r="C43" i="4"/>
  <c r="I43" i="4" s="1"/>
  <c r="H43" i="4"/>
  <c r="D42" i="4"/>
  <c r="J42" i="4" s="1"/>
  <c r="C42" i="4"/>
  <c r="I42" i="4" s="1"/>
  <c r="H42" i="4"/>
  <c r="D41" i="4"/>
  <c r="J41" i="4" s="1"/>
  <c r="C41" i="4"/>
  <c r="I41" i="4" s="1"/>
  <c r="H41" i="4"/>
  <c r="D40" i="4"/>
  <c r="J40" i="4" s="1"/>
  <c r="C40" i="4"/>
  <c r="I40" i="4" s="1"/>
  <c r="H40" i="4"/>
  <c r="D39" i="4"/>
  <c r="J39" i="4" s="1"/>
  <c r="C39" i="4"/>
  <c r="I39" i="4" s="1"/>
  <c r="H39" i="4"/>
  <c r="D38" i="4"/>
  <c r="J38" i="4" s="1"/>
  <c r="C38" i="4"/>
  <c r="I38" i="4" s="1"/>
  <c r="H38" i="4"/>
  <c r="D37" i="4"/>
  <c r="J37" i="4" s="1"/>
  <c r="C37" i="4"/>
  <c r="I37" i="4" s="1"/>
  <c r="H37" i="4"/>
  <c r="D36" i="4"/>
  <c r="J36" i="4" s="1"/>
  <c r="C36" i="4"/>
  <c r="I36" i="4" s="1"/>
  <c r="H36" i="4"/>
  <c r="D35" i="4"/>
  <c r="J35" i="4" s="1"/>
  <c r="C35" i="4"/>
  <c r="I35" i="4" s="1"/>
  <c r="H35" i="4"/>
  <c r="D34" i="4"/>
  <c r="J34" i="4" s="1"/>
  <c r="C34" i="4"/>
  <c r="I34" i="4" s="1"/>
  <c r="H34" i="4"/>
  <c r="D33" i="4"/>
  <c r="J33" i="4" s="1"/>
  <c r="C33" i="4"/>
  <c r="I33" i="4" s="1"/>
  <c r="H33" i="4"/>
  <c r="D32" i="4"/>
  <c r="J32" i="4" s="1"/>
  <c r="C32" i="4"/>
  <c r="I32" i="4" s="1"/>
  <c r="H32" i="4"/>
  <c r="D31" i="4"/>
  <c r="J31" i="4" s="1"/>
  <c r="C31" i="4"/>
  <c r="I31" i="4" s="1"/>
  <c r="H31" i="4"/>
  <c r="D30" i="4"/>
  <c r="J30" i="4" s="1"/>
  <c r="C30" i="4"/>
  <c r="I30" i="4" s="1"/>
  <c r="H30" i="4"/>
  <c r="D29" i="4"/>
  <c r="J29" i="4" s="1"/>
  <c r="C29" i="4"/>
  <c r="I29" i="4" s="1"/>
  <c r="H29" i="4"/>
  <c r="AN28" i="4"/>
  <c r="AW28" i="4" s="1"/>
  <c r="AM28" i="4"/>
  <c r="AS28" i="4"/>
  <c r="AT28" i="4" s="1"/>
  <c r="D28" i="4"/>
  <c r="J28" i="4" s="1"/>
  <c r="C28" i="4"/>
  <c r="I28" i="4" s="1"/>
  <c r="H28" i="4"/>
  <c r="AN27" i="4"/>
  <c r="AW27" i="4" s="1"/>
  <c r="AM27" i="4"/>
  <c r="AS27" i="4"/>
  <c r="AT27" i="4" s="1"/>
  <c r="D27" i="4"/>
  <c r="J27" i="4" s="1"/>
  <c r="C27" i="4"/>
  <c r="I27" i="4" s="1"/>
  <c r="H27" i="4"/>
  <c r="AN26" i="4"/>
  <c r="AW26" i="4" s="1"/>
  <c r="AM26" i="4"/>
  <c r="AS26" i="4"/>
  <c r="AT26" i="4" s="1"/>
  <c r="D26" i="4"/>
  <c r="J26" i="4" s="1"/>
  <c r="C26" i="4"/>
  <c r="I26" i="4" s="1"/>
  <c r="H26" i="4"/>
  <c r="AN25" i="4"/>
  <c r="AW25" i="4" s="1"/>
  <c r="AM25" i="4"/>
  <c r="AS25" i="4"/>
  <c r="AT25" i="4" s="1"/>
  <c r="D25" i="4"/>
  <c r="J25" i="4" s="1"/>
  <c r="C25" i="4"/>
  <c r="I25" i="4" s="1"/>
  <c r="H25" i="4"/>
  <c r="AN24" i="4"/>
  <c r="AW24" i="4" s="1"/>
  <c r="AM24" i="4"/>
  <c r="AS24" i="4"/>
  <c r="AT24" i="4" s="1"/>
  <c r="D24" i="4"/>
  <c r="J24" i="4" s="1"/>
  <c r="C24" i="4"/>
  <c r="I24" i="4" s="1"/>
  <c r="H24" i="4"/>
  <c r="AN23" i="4"/>
  <c r="AW23" i="4" s="1"/>
  <c r="AM23" i="4"/>
  <c r="AS23" i="4"/>
  <c r="AT23" i="4" s="1"/>
  <c r="D23" i="4"/>
  <c r="J23" i="4" s="1"/>
  <c r="C23" i="4"/>
  <c r="I23" i="4" s="1"/>
  <c r="H23" i="4"/>
  <c r="AN22" i="4"/>
  <c r="AW22" i="4" s="1"/>
  <c r="AM22" i="4"/>
  <c r="AS22" i="4"/>
  <c r="AT22" i="4" s="1"/>
  <c r="D22" i="4"/>
  <c r="J22" i="4" s="1"/>
  <c r="C22" i="4"/>
  <c r="I22" i="4" s="1"/>
  <c r="H22" i="4"/>
  <c r="AN21" i="4"/>
  <c r="AW21" i="4" s="1"/>
  <c r="AM21" i="4"/>
  <c r="AS21" i="4"/>
  <c r="AT21" i="4" s="1"/>
  <c r="D21" i="4"/>
  <c r="J21" i="4" s="1"/>
  <c r="C21" i="4"/>
  <c r="I21" i="4" s="1"/>
  <c r="H21" i="4"/>
  <c r="AN20" i="4"/>
  <c r="AW20" i="4" s="1"/>
  <c r="AM20" i="4"/>
  <c r="AS20" i="4"/>
  <c r="AT20" i="4" s="1"/>
  <c r="D20" i="4"/>
  <c r="J20" i="4" s="1"/>
  <c r="C20" i="4"/>
  <c r="I20" i="4" s="1"/>
  <c r="H20" i="4"/>
  <c r="AN19" i="4"/>
  <c r="AW19" i="4" s="1"/>
  <c r="AM19" i="4"/>
  <c r="AS19" i="4"/>
  <c r="AT19" i="4" s="1"/>
  <c r="P19" i="4"/>
  <c r="T19" i="4" s="1"/>
  <c r="R19" i="4"/>
  <c r="D19" i="4"/>
  <c r="J19" i="4" s="1"/>
  <c r="C19" i="4"/>
  <c r="I19" i="4" s="1"/>
  <c r="H19" i="4"/>
  <c r="AN18" i="4"/>
  <c r="AW18" i="4" s="1"/>
  <c r="AM18" i="4"/>
  <c r="AS18" i="4"/>
  <c r="AT18" i="4" s="1"/>
  <c r="P18" i="4"/>
  <c r="T18" i="4" s="1"/>
  <c r="R18" i="4"/>
  <c r="D18" i="4"/>
  <c r="J18" i="4" s="1"/>
  <c r="C18" i="4"/>
  <c r="I18" i="4" s="1"/>
  <c r="H18" i="4"/>
  <c r="AN17" i="4"/>
  <c r="AW17" i="4" s="1"/>
  <c r="AM17" i="4"/>
  <c r="AS17" i="4"/>
  <c r="AT17" i="4" s="1"/>
  <c r="P17" i="4"/>
  <c r="T17" i="4" s="1"/>
  <c r="R17" i="4"/>
  <c r="D17" i="4"/>
  <c r="J17" i="4" s="1"/>
  <c r="C17" i="4"/>
  <c r="I17" i="4" s="1"/>
  <c r="H17" i="4"/>
  <c r="AN16" i="4"/>
  <c r="AW16" i="4" s="1"/>
  <c r="AM16" i="4"/>
  <c r="AO16" i="4" s="1"/>
  <c r="AQ16" i="4" s="1"/>
  <c r="AS16" i="4"/>
  <c r="AT16" i="4" s="1"/>
  <c r="P16" i="4"/>
  <c r="T16" i="4" s="1"/>
  <c r="R16" i="4"/>
  <c r="D16" i="4"/>
  <c r="J16" i="4" s="1"/>
  <c r="C16" i="4"/>
  <c r="I16" i="4" s="1"/>
  <c r="H16" i="4"/>
  <c r="AN15" i="4"/>
  <c r="AW15" i="4" s="1"/>
  <c r="AM15" i="4"/>
  <c r="AS15" i="4"/>
  <c r="AT15" i="4" s="1"/>
  <c r="P15" i="4"/>
  <c r="T15" i="4" s="1"/>
  <c r="R15" i="4"/>
  <c r="D15" i="4"/>
  <c r="J15" i="4" s="1"/>
  <c r="C15" i="4"/>
  <c r="I15" i="4" s="1"/>
  <c r="H15" i="4"/>
  <c r="AN14" i="4"/>
  <c r="AW14" i="4" s="1"/>
  <c r="AM14" i="4"/>
  <c r="AS14" i="4"/>
  <c r="AT14" i="4" s="1"/>
  <c r="P14" i="4"/>
  <c r="T14" i="4" s="1"/>
  <c r="R14" i="4"/>
  <c r="D14" i="4"/>
  <c r="J14" i="4" s="1"/>
  <c r="C14" i="4"/>
  <c r="I14" i="4" s="1"/>
  <c r="H14" i="4"/>
  <c r="AN13" i="4"/>
  <c r="AW13" i="4" s="1"/>
  <c r="AM13" i="4"/>
  <c r="AS13" i="4"/>
  <c r="AT13" i="4" s="1"/>
  <c r="P13" i="4"/>
  <c r="T13" i="4" s="1"/>
  <c r="R13" i="4"/>
  <c r="D13" i="4"/>
  <c r="J13" i="4" s="1"/>
  <c r="C13" i="4"/>
  <c r="I13" i="4" s="1"/>
  <c r="H13" i="4"/>
  <c r="AN12" i="4"/>
  <c r="P12" i="4"/>
  <c r="T12" i="4" s="1"/>
  <c r="R12" i="4"/>
  <c r="D12" i="4"/>
  <c r="J12" i="4" s="1"/>
  <c r="C12" i="4"/>
  <c r="I12" i="4" s="1"/>
  <c r="H12" i="4"/>
  <c r="AP12" i="4" l="1"/>
  <c r="AX12" i="4" s="1"/>
  <c r="AM30" i="4"/>
  <c r="AO12" i="4"/>
  <c r="AQ12" i="4" s="1"/>
  <c r="AP13" i="4"/>
  <c r="AX13" i="4" s="1"/>
  <c r="AO13" i="4"/>
  <c r="AQ13" i="4" s="1"/>
  <c r="AP14" i="4"/>
  <c r="AX14" i="4" s="1"/>
  <c r="AO14" i="4"/>
  <c r="AQ14" i="4" s="1"/>
  <c r="AP15" i="4"/>
  <c r="AX15" i="4" s="1"/>
  <c r="AO15" i="4"/>
  <c r="AQ15" i="4" s="1"/>
  <c r="AP17" i="4"/>
  <c r="AX17" i="4" s="1"/>
  <c r="AO17" i="4"/>
  <c r="AQ17" i="4" s="1"/>
  <c r="AP18" i="4"/>
  <c r="AX18" i="4" s="1"/>
  <c r="AO18" i="4"/>
  <c r="AQ18" i="4" s="1"/>
  <c r="AP19" i="4"/>
  <c r="AX19" i="4" s="1"/>
  <c r="AO19" i="4"/>
  <c r="AQ19" i="4" s="1"/>
  <c r="AP20" i="4"/>
  <c r="AX20" i="4" s="1"/>
  <c r="AO20" i="4"/>
  <c r="AQ20" i="4" s="1"/>
  <c r="AP21" i="4"/>
  <c r="AX21" i="4" s="1"/>
  <c r="AO21" i="4"/>
  <c r="AQ21" i="4" s="1"/>
  <c r="AP22" i="4"/>
  <c r="AX22" i="4" s="1"/>
  <c r="AO22" i="4"/>
  <c r="AQ22" i="4" s="1"/>
  <c r="AP23" i="4"/>
  <c r="AX23" i="4" s="1"/>
  <c r="AO23" i="4"/>
  <c r="AQ23" i="4" s="1"/>
  <c r="AP24" i="4"/>
  <c r="AX24" i="4" s="1"/>
  <c r="AO24" i="4"/>
  <c r="AQ24" i="4" s="1"/>
  <c r="AP25" i="4"/>
  <c r="AX25" i="4" s="1"/>
  <c r="AO25" i="4"/>
  <c r="AQ25" i="4" s="1"/>
  <c r="AP26" i="4"/>
  <c r="AX26" i="4" s="1"/>
  <c r="AO26" i="4"/>
  <c r="AQ26" i="4" s="1"/>
  <c r="AP27" i="4"/>
  <c r="AX27" i="4" s="1"/>
  <c r="AO27" i="4"/>
  <c r="AQ27" i="4" s="1"/>
  <c r="AP28" i="4"/>
  <c r="AX28" i="4" s="1"/>
  <c r="AO28" i="4"/>
  <c r="AQ28" i="4" s="1"/>
  <c r="AW12" i="4"/>
  <c r="AM35" i="4"/>
  <c r="AM34" i="4" s="1"/>
  <c r="AM33" i="4" s="1"/>
  <c r="AP16" i="4"/>
  <c r="AX16" i="4" s="1"/>
  <c r="AM31" i="4"/>
  <c r="AM32" i="4" s="1"/>
  <c r="AV14" i="4"/>
  <c r="AV13" i="4"/>
  <c r="AV12" i="4"/>
  <c r="AV25" i="4"/>
  <c r="AV17" i="4"/>
  <c r="AV18" i="4"/>
  <c r="AV24" i="4"/>
  <c r="AV16" i="4"/>
  <c r="AV26" i="4"/>
  <c r="AV23" i="4"/>
  <c r="AV15" i="4"/>
  <c r="AV22" i="4"/>
  <c r="AV21" i="4"/>
  <c r="AV28" i="4"/>
  <c r="AV20" i="4"/>
  <c r="AV27" i="4"/>
  <c r="AV19" i="4"/>
  <c r="B5" i="6" l="1"/>
  <c r="D4" i="6"/>
  <c r="B18" i="6"/>
  <c r="B19" i="6" s="1"/>
  <c r="H16" i="1" l="1"/>
  <c r="F11" i="1" l="1"/>
  <c r="G12" i="1" l="1"/>
  <c r="G13" i="1"/>
  <c r="F13" i="1"/>
  <c r="F17" i="1"/>
  <c r="F16" i="1"/>
  <c r="F14" i="1"/>
  <c r="F8" i="1"/>
  <c r="F7" i="1"/>
  <c r="B8" i="2" l="1"/>
  <c r="B38" i="2" s="1"/>
  <c r="C8" i="2"/>
  <c r="B9" i="2"/>
  <c r="C9" i="2" s="1"/>
  <c r="B10" i="2"/>
  <c r="B11" i="2"/>
  <c r="C11" i="2" s="1"/>
  <c r="B12" i="2"/>
  <c r="C12" i="2"/>
  <c r="B13" i="2"/>
  <c r="B14" i="2"/>
  <c r="B15" i="2"/>
  <c r="C15" i="2" s="1"/>
  <c r="B16" i="2"/>
  <c r="C16" i="2" s="1"/>
  <c r="B17" i="2"/>
  <c r="C17" i="2" s="1"/>
  <c r="B18" i="2"/>
  <c r="B19" i="2"/>
  <c r="C19" i="2" s="1"/>
  <c r="B20" i="2"/>
  <c r="C20" i="2" s="1"/>
  <c r="B21" i="2"/>
  <c r="C21" i="2" s="1"/>
  <c r="B22" i="2"/>
  <c r="B23" i="2"/>
  <c r="C23" i="2" s="1"/>
  <c r="B24" i="2"/>
  <c r="C24" i="2"/>
  <c r="B25" i="2"/>
  <c r="C25" i="2" s="1"/>
  <c r="B26" i="2"/>
  <c r="B27" i="2"/>
  <c r="C27" i="2" s="1"/>
  <c r="B28" i="2"/>
  <c r="C28" i="2" s="1"/>
  <c r="B29" i="2"/>
  <c r="C29" i="2" s="1"/>
  <c r="B30" i="2"/>
  <c r="B31" i="2"/>
  <c r="C31" i="2" s="1"/>
  <c r="B32" i="2"/>
  <c r="C32" i="2" s="1"/>
  <c r="B33" i="2"/>
  <c r="C33" i="2" s="1"/>
  <c r="B43" i="2" s="1"/>
  <c r="F15" i="1"/>
  <c r="F10" i="1"/>
  <c r="C22" i="2" l="1"/>
  <c r="C13" i="2"/>
  <c r="C30" i="2"/>
  <c r="C26" i="2"/>
  <c r="C18" i="2"/>
  <c r="C14" i="2"/>
  <c r="C10" i="2"/>
  <c r="D21" i="1"/>
  <c r="F21" i="1" s="1"/>
  <c r="D20" i="1"/>
  <c r="F20" i="1" s="1"/>
  <c r="D6" i="1"/>
  <c r="D13" i="7" l="1"/>
  <c r="D12" i="1"/>
  <c r="D9" i="1"/>
  <c r="B16" i="6"/>
  <c r="B20" i="6" s="1"/>
  <c r="D19" i="1" l="1"/>
  <c r="F19" i="1" s="1"/>
  <c r="F12" i="1"/>
  <c r="D18" i="1"/>
  <c r="F18" i="1" s="1"/>
  <c r="S10" i="7"/>
  <c r="S8" i="7"/>
  <c r="S5" i="7"/>
  <c r="S6" i="7"/>
  <c r="F13" i="7"/>
  <c r="S9" i="7"/>
  <c r="S7" i="7"/>
  <c r="S11" i="7"/>
  <c r="D23" i="7"/>
  <c r="F23" i="7" s="1"/>
  <c r="D19" i="7"/>
  <c r="D22" i="1"/>
  <c r="F22" i="1" s="1"/>
  <c r="F9" i="1"/>
  <c r="B21" i="6"/>
  <c r="D20" i="6"/>
  <c r="D23" i="1" l="1"/>
  <c r="F23" i="1" s="1"/>
  <c r="H23" i="1" s="1"/>
  <c r="X9" i="7"/>
  <c r="W9" i="7"/>
  <c r="F19" i="7"/>
  <c r="D24" i="7"/>
  <c r="W6" i="7"/>
  <c r="X6" i="7"/>
  <c r="W5" i="7"/>
  <c r="X5" i="7"/>
  <c r="W8" i="7"/>
  <c r="X8" i="7"/>
  <c r="W10" i="7"/>
  <c r="X10" i="7"/>
  <c r="X11" i="7"/>
  <c r="W11" i="7"/>
  <c r="X7" i="7"/>
  <c r="W7" i="7"/>
  <c r="B23" i="6"/>
  <c r="B24" i="6" s="1"/>
  <c r="B22" i="6"/>
  <c r="D21" i="6"/>
  <c r="D34" i="7" l="1"/>
  <c r="D35" i="7" s="1"/>
  <c r="D36" i="7" s="1"/>
  <c r="D37" i="7" s="1"/>
  <c r="D38" i="7" s="1"/>
  <c r="F24" i="7"/>
  <c r="H24" i="7" s="1"/>
  <c r="D39" i="7" l="1"/>
  <c r="F37" i="7"/>
  <c r="D41" i="7" l="1"/>
  <c r="D4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A1" authorId="0" shapeId="0" xr:uid="{63456D54-F0A7-4231-8943-1CF2DF8AB5A7}">
      <text>
        <r>
          <rPr>
            <b/>
            <sz val="9"/>
            <color indexed="81"/>
            <rFont val="Tahoma"/>
            <charset val="1"/>
          </rPr>
          <t>Williams, Justin:</t>
        </r>
        <r>
          <rPr>
            <sz val="9"/>
            <color indexed="81"/>
            <rFont val="Tahoma"/>
            <charset val="1"/>
          </rPr>
          <t xml:space="preserve">
From test data</t>
        </r>
      </text>
    </comment>
    <comment ref="A2" authorId="0" shapeId="0" xr:uid="{D6156C85-B824-4A3C-AC07-3F5E19709F31}">
      <text>
        <r>
          <rPr>
            <b/>
            <sz val="9"/>
            <color indexed="81"/>
            <rFont val="Tahoma"/>
            <charset val="1"/>
          </rPr>
          <t>Williams, Justin:</t>
        </r>
        <r>
          <rPr>
            <sz val="9"/>
            <color indexed="81"/>
            <rFont val="Tahoma"/>
            <charset val="1"/>
          </rPr>
          <t xml:space="preserve">
From test data</t>
        </r>
      </text>
    </comment>
    <comment ref="B41" authorId="0" shapeId="0" xr:uid="{6FF23C67-7BB3-464B-86D7-F5868907357E}">
      <text>
        <r>
          <rPr>
            <b/>
            <sz val="9"/>
            <color indexed="81"/>
            <rFont val="Tahoma"/>
            <charset val="1"/>
          </rPr>
          <t>Williams, Justin:</t>
        </r>
        <r>
          <rPr>
            <sz val="9"/>
            <color indexed="81"/>
            <rFont val="Tahoma"/>
            <charset val="1"/>
          </rPr>
          <t xml:space="preserve">
Around 15 deg C, &lt; 300 ft above sea level, will assume atmoshperic pressure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8" authorId="0" shapeId="0" xr:uid="{74B1E352-38CC-4170-BE52-29CADC9846C8}">
      <text>
        <r>
          <rPr>
            <b/>
            <sz val="9"/>
            <color indexed="81"/>
            <rFont val="Tahoma"/>
            <family val="2"/>
          </rPr>
          <t>Williams, Justin:</t>
        </r>
        <r>
          <rPr>
            <sz val="9"/>
            <color indexed="81"/>
            <rFont val="Tahoma"/>
            <family val="2"/>
          </rPr>
          <t xml:space="preserve">
Note 101.3 kPa is avg sea level pressure
10,000 ft is around 70 kPa.</t>
        </r>
      </text>
    </comment>
    <comment ref="B10" authorId="0" shapeId="0" xr:uid="{4CDCACE3-68ED-4B4A-ABDD-1E3F2CCC0491}">
      <text>
        <r>
          <rPr>
            <b/>
            <sz val="9"/>
            <color indexed="81"/>
            <rFont val="Tahoma"/>
            <family val="2"/>
          </rPr>
          <t>Williams, Justin:</t>
        </r>
        <r>
          <rPr>
            <sz val="9"/>
            <color indexed="81"/>
            <rFont val="Tahoma"/>
            <family val="2"/>
          </rPr>
          <t xml:space="preserve">
Gross Weight 
IE Curb Weight + Payload</t>
        </r>
      </text>
    </comment>
    <comment ref="B14" authorId="0" shapeId="0" xr:uid="{99BC70B6-2C1E-49B0-9565-9BEBFC0F5E4C}">
      <text>
        <r>
          <rPr>
            <b/>
            <sz val="9"/>
            <color indexed="81"/>
            <rFont val="Tahoma"/>
            <family val="2"/>
          </rPr>
          <t>Williams, Justin:</t>
        </r>
        <r>
          <rPr>
            <sz val="9"/>
            <color indexed="81"/>
            <rFont val="Tahoma"/>
            <family val="2"/>
          </rPr>
          <t xml:space="preserve">
If unknown,estimate with:
0.9*height*width
(from Automotive Handbook 6th ed by Robert Bosch)</t>
        </r>
      </text>
    </comment>
    <comment ref="B22" authorId="0" shapeId="0" xr:uid="{739DDF65-6F9D-470D-9670-9911D2CEA14A}">
      <text>
        <r>
          <rPr>
            <b/>
            <sz val="9"/>
            <color indexed="81"/>
            <rFont val="Tahoma"/>
            <family val="2"/>
          </rPr>
          <t>Williams, Justin:</t>
        </r>
        <r>
          <rPr>
            <sz val="9"/>
            <color indexed="81"/>
            <rFont val="Tahoma"/>
            <family val="2"/>
          </rPr>
          <t xml:space="preserve">
Power to drive vehicle on level surface at constant speed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B9" authorId="0" shapeId="0" xr:uid="{E12F408A-8E3C-45EA-B195-498780744E35}">
      <text>
        <r>
          <rPr>
            <b/>
            <sz val="9"/>
            <color indexed="81"/>
            <rFont val="Tahoma"/>
            <family val="2"/>
          </rPr>
          <t>Williams, Justin:</t>
        </r>
        <r>
          <rPr>
            <sz val="9"/>
            <color indexed="81"/>
            <rFont val="Tahoma"/>
            <family val="2"/>
          </rPr>
          <t xml:space="preserve">
Start with 1 if unsure</t>
        </r>
      </text>
    </comment>
    <comment ref="B11" authorId="0" shapeId="0" xr:uid="{10AC09FE-A090-46F1-AF50-091D53E6FBF3}">
      <text>
        <r>
          <rPr>
            <b/>
            <sz val="9"/>
            <color indexed="81"/>
            <rFont val="Tahoma"/>
            <family val="2"/>
          </rPr>
          <t>Williams, Justin:</t>
        </r>
        <r>
          <rPr>
            <sz val="9"/>
            <color indexed="81"/>
            <rFont val="Tahoma"/>
            <family val="2"/>
          </rPr>
          <t xml:space="preserve">
12.9 if unsure
</t>
        </r>
      </text>
    </comment>
    <comment ref="B12" authorId="0" shapeId="0" xr:uid="{7DD52F01-8810-4BB3-8B76-BD692F8249A8}">
      <text>
        <r>
          <rPr>
            <b/>
            <sz val="9"/>
            <color indexed="81"/>
            <rFont val="Tahoma"/>
            <family val="2"/>
          </rPr>
          <t xml:space="preserve">Williams, Justin:
</t>
        </r>
        <r>
          <rPr>
            <sz val="9"/>
            <color indexed="81"/>
            <rFont val="Tahoma"/>
            <family val="2"/>
          </rPr>
          <t>If unknown, ~12.06 for gasoline, 11.83 for diesel.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C3" authorId="0" shapeId="0" xr:uid="{00C6B509-FDA4-4966-8517-CF892A60E128}">
      <text>
        <r>
          <rPr>
            <sz val="11"/>
            <color theme="1"/>
            <rFont val="Calibri"/>
            <family val="2"/>
            <scheme val="minor"/>
          </rPr>
          <t>Williams, Justin:
Red formatted text indicates used in table to the right.</t>
        </r>
      </text>
    </comment>
    <comment ref="N3" authorId="0" shapeId="0" xr:uid="{D1FE5BFD-840B-4076-994C-41E65FFE4163}">
      <text>
        <r>
          <rPr>
            <b/>
            <sz val="9"/>
            <color indexed="81"/>
            <rFont val="Tahoma"/>
            <family val="2"/>
          </rPr>
          <t>Williams, Justin:</t>
        </r>
        <r>
          <rPr>
            <sz val="9"/>
            <color indexed="81"/>
            <rFont val="Tahoma"/>
            <family val="2"/>
          </rPr>
          <t xml:space="preserve">
Assume for every 1000 ft elevation, loose about 3.5 deg F on average.
Enter Case 1 temp and others should autofill based on above.
Can obviously overwrite if needed.
</t>
        </r>
      </text>
    </comment>
    <comment ref="J8" authorId="0" shapeId="0" xr:uid="{D02FC6F4-319D-44C1-90E8-EEBD3D75927C}">
      <text>
        <r>
          <rPr>
            <sz val="11"/>
            <color theme="1"/>
            <rFont val="Calibri"/>
            <family val="2"/>
            <scheme val="minor"/>
          </rPr>
          <t>Williams, Justin:
Had confirmation from one sales rep that this was his worst case.</t>
        </r>
      </text>
    </comment>
    <comment ref="B9" authorId="0" shapeId="0" xr:uid="{31A903D0-553B-4F9B-9330-D36557DFCD6C}">
      <text>
        <r>
          <rPr>
            <b/>
            <sz val="9"/>
            <color indexed="81"/>
            <rFont val="Tahoma"/>
            <family val="2"/>
          </rPr>
          <t>Williams, Justin:</t>
        </r>
        <r>
          <rPr>
            <sz val="9"/>
            <color indexed="81"/>
            <rFont val="Tahoma"/>
            <family val="2"/>
          </rPr>
          <t xml:space="preserve">
Note 101.3 kPa is avg sea level pressure
10,000 ft is around 70 kPa.</t>
        </r>
      </text>
    </comment>
    <comment ref="M9" authorId="0" shapeId="0" xr:uid="{0A082E17-5E0D-4FA4-8A2B-BDEFBECB242A}">
      <text>
        <r>
          <rPr>
            <sz val="11"/>
            <color theme="1"/>
            <rFont val="Calibri"/>
            <family val="2"/>
            <scheme val="minor"/>
          </rPr>
          <t xml:space="preserve">Williams, Justin:
Average elevation approximated to 2500 ft above sea level in US.
https://www.infoplease.com/us/geography/highest-lowest-and-mean-elevations-united-states
</t>
        </r>
      </text>
    </comment>
    <comment ref="B11" authorId="0" shapeId="0" xr:uid="{0364AA69-449C-4DA8-930D-C114C68437DB}">
      <text>
        <r>
          <rPr>
            <b/>
            <sz val="9"/>
            <color indexed="81"/>
            <rFont val="Tahoma"/>
            <family val="2"/>
          </rPr>
          <t>Williams, Justin:</t>
        </r>
        <r>
          <rPr>
            <sz val="9"/>
            <color indexed="81"/>
            <rFont val="Tahoma"/>
            <family val="2"/>
          </rPr>
          <t xml:space="preserve">
Gross Weight 
IE Curb Weight + Payload</t>
        </r>
      </text>
    </comment>
    <comment ref="B15" authorId="0" shapeId="0" xr:uid="{38FE5505-A7F5-4402-B22E-4FE70E1D83CA}">
      <text>
        <r>
          <rPr>
            <b/>
            <sz val="9"/>
            <color indexed="81"/>
            <rFont val="Tahoma"/>
            <family val="2"/>
          </rPr>
          <t>Williams, Justin:</t>
        </r>
        <r>
          <rPr>
            <sz val="9"/>
            <color indexed="81"/>
            <rFont val="Tahoma"/>
            <family val="2"/>
          </rPr>
          <t xml:space="preserve">
If unknown,estimate with:
0.9*height*width
(from Automotive Handbook 6th ed by Robert Bosch)</t>
        </r>
      </text>
    </comment>
    <comment ref="B18" authorId="0" shapeId="0" xr:uid="{103ED404-4D43-4B42-81D5-FA57E44DD552}">
      <text>
        <r>
          <rPr>
            <sz val="11"/>
            <color theme="1"/>
            <rFont val="Calibri"/>
            <family val="2"/>
            <scheme val="minor"/>
          </rPr>
          <t>Williams, Justin:
Simply variable for accounting for dragging brakes...</t>
        </r>
      </text>
    </comment>
    <comment ref="B23" authorId="0" shapeId="0" xr:uid="{981CB7E8-0D59-48EE-8AC3-F4540A84AB6E}">
      <text>
        <r>
          <rPr>
            <b/>
            <sz val="9"/>
            <color indexed="81"/>
            <rFont val="Tahoma"/>
            <family val="2"/>
          </rPr>
          <t>Williams, Justin:</t>
        </r>
        <r>
          <rPr>
            <sz val="9"/>
            <color indexed="81"/>
            <rFont val="Tahoma"/>
            <family val="2"/>
          </rPr>
          <t xml:space="preserve">
Power to drive vehicle on level surface at constant speed
</t>
        </r>
      </text>
    </comment>
    <comment ref="B27" authorId="0" shapeId="0" xr:uid="{C7E79F60-0074-4D7E-B9FC-B9FF6D472319}">
      <text>
        <r>
          <rPr>
            <b/>
            <sz val="9"/>
            <color indexed="81"/>
            <rFont val="Tahoma"/>
            <charset val="1"/>
          </rPr>
          <t>Williams, Justin:</t>
        </r>
        <r>
          <rPr>
            <sz val="9"/>
            <color indexed="81"/>
            <rFont val="Tahoma"/>
            <charset val="1"/>
          </rPr>
          <t xml:space="preserve">
4-Stroke: 2
2-Stroke: 1
Typically for our use case, we use 4-stroke, so input '2' here.</t>
        </r>
      </text>
    </comment>
    <comment ref="B28" authorId="0" shapeId="0" xr:uid="{3D168FF5-7077-4D27-98F8-46270CF13060}">
      <text>
        <r>
          <rPr>
            <b/>
            <sz val="9"/>
            <color indexed="81"/>
            <rFont val="Tahoma"/>
            <charset val="1"/>
          </rPr>
          <t>Williams, Justin:</t>
        </r>
        <r>
          <rPr>
            <sz val="9"/>
            <color indexed="81"/>
            <rFont val="Tahoma"/>
            <charset val="1"/>
          </rPr>
          <t xml:space="preserve">
Eng1 was ~340 g/(kW*hr) across most of operating range used. Find similar engine architecture to what is desired and see if can estimate based on historical evidence if test data of specific engine not known.</t>
        </r>
      </text>
    </comment>
    <comment ref="B32" authorId="0" shapeId="0" xr:uid="{60BE925D-17B3-4CB4-B7B2-E92D837CA25D}">
      <text>
        <r>
          <rPr>
            <sz val="11"/>
            <color theme="1"/>
            <rFont val="Calibri"/>
            <family val="2"/>
            <scheme val="minor"/>
          </rPr>
          <t>Williams, Justin:
If unknown, ~12.06 for gasoline, 11.83 for diesel.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AA4" authorId="0" shapeId="0" xr:uid="{60578C4D-5875-4780-89AC-ABC7FA3DF8F8}">
      <text>
        <r>
          <rPr>
            <sz val="11"/>
            <color theme="1"/>
            <rFont val="Calibri"/>
            <family val="2"/>
            <scheme val="minor"/>
          </rPr>
          <t>Williams, Justin:
Just used for finding estimated BMEP</t>
        </r>
      </text>
    </comment>
    <comment ref="H10" authorId="0" shapeId="0" xr:uid="{C05D7811-74A3-49B3-A37E-A2EEBD5E7C8E}">
      <text>
        <r>
          <rPr>
            <b/>
            <sz val="9"/>
            <color indexed="81"/>
            <rFont val="Tahoma"/>
            <family val="2"/>
          </rPr>
          <t>Williams, Justin:</t>
        </r>
        <r>
          <rPr>
            <sz val="9"/>
            <color indexed="81"/>
            <rFont val="Tahoma"/>
            <family val="2"/>
          </rPr>
          <t xml:space="preserve">
Assume 1:1 CVT Ratio</t>
        </r>
      </text>
    </comment>
    <comment ref="R10" authorId="0" shapeId="0" xr:uid="{431713DA-85F8-4605-9F64-1F20F0D94E88}">
      <text>
        <r>
          <rPr>
            <b/>
            <sz val="9"/>
            <color indexed="81"/>
            <rFont val="Tahoma"/>
            <family val="2"/>
          </rPr>
          <t>Williams, Justin:</t>
        </r>
        <r>
          <rPr>
            <sz val="9"/>
            <color indexed="81"/>
            <rFont val="Tahoma"/>
            <family val="2"/>
          </rPr>
          <t xml:space="preserve">
Assume 1:1 CVT Ratio</t>
        </r>
      </text>
    </comment>
    <comment ref="Y11" authorId="0" shapeId="0" xr:uid="{DB6FB521-87B7-475B-9C19-32E2CC44CFCF}">
      <text>
        <r>
          <rPr>
            <b/>
            <sz val="9"/>
            <color indexed="81"/>
            <rFont val="Tahoma"/>
            <family val="2"/>
          </rPr>
          <t>Williams, Justin:</t>
        </r>
        <r>
          <rPr>
            <sz val="9"/>
            <color indexed="81"/>
            <rFont val="Tahoma"/>
            <family val="2"/>
          </rPr>
          <t xml:space="preserve">
Input Column</t>
        </r>
      </text>
    </comment>
  </commentList>
</comments>
</file>

<file path=xl/sharedStrings.xml><?xml version="1.0" encoding="utf-8"?>
<sst xmlns="http://schemas.openxmlformats.org/spreadsheetml/2006/main" count="447" uniqueCount="223">
  <si>
    <t>lbf</t>
  </si>
  <si>
    <t>Coefficients</t>
  </si>
  <si>
    <t>A</t>
  </si>
  <si>
    <t>B</t>
  </si>
  <si>
    <t>C</t>
  </si>
  <si>
    <t>Speed</t>
  </si>
  <si>
    <t>Force</t>
  </si>
  <si>
    <t>Air Drag Force</t>
  </si>
  <si>
    <t>mph</t>
  </si>
  <si>
    <t>Assume rolling resistance force is then 19.14, remainder is due to air drag</t>
  </si>
  <si>
    <t>C_r</t>
  </si>
  <si>
    <t>Frontal area was then estimated to be 1.8 m^2</t>
  </si>
  <si>
    <t>Description</t>
  </si>
  <si>
    <t>Symbol</t>
  </si>
  <si>
    <t>Value</t>
  </si>
  <si>
    <t>Units</t>
  </si>
  <si>
    <t>Legend</t>
  </si>
  <si>
    <t>This sheet used to formulate and verify calculations used later in the Hill Climb Needs MultiCase sheet. Numbers here are not necessarily indicative of use case.</t>
  </si>
  <si>
    <t>Acceleration Due to Gravity</t>
  </si>
  <si>
    <r>
      <t>g</t>
    </r>
    <r>
      <rPr>
        <vertAlign val="subscript"/>
        <sz val="11"/>
        <color theme="1"/>
        <rFont val="Calibri"/>
        <family val="2"/>
        <scheme val="minor"/>
      </rPr>
      <t>e</t>
    </r>
  </si>
  <si>
    <t>m/s^2</t>
  </si>
  <si>
    <t>Variable Inputs</t>
  </si>
  <si>
    <t>Molar Mass of Air</t>
  </si>
  <si>
    <r>
      <t>MW</t>
    </r>
    <r>
      <rPr>
        <vertAlign val="subscript"/>
        <sz val="11"/>
        <color theme="1"/>
        <rFont val="Calibri"/>
        <family val="2"/>
        <scheme val="minor"/>
      </rPr>
      <t>air</t>
    </r>
  </si>
  <si>
    <t>kg/mol</t>
  </si>
  <si>
    <t>Intermediate Calculations</t>
  </si>
  <si>
    <t>Universal Gas Constant</t>
  </si>
  <si>
    <t>R bar</t>
  </si>
  <si>
    <t>J/(K*mol)</t>
  </si>
  <si>
    <t>(Assumed) Constants</t>
  </si>
  <si>
    <t>Specific Gas Constant of Air</t>
  </si>
  <si>
    <r>
      <t>R</t>
    </r>
    <r>
      <rPr>
        <vertAlign val="subscript"/>
        <sz val="11"/>
        <color theme="1"/>
        <rFont val="Calibri"/>
        <family val="2"/>
        <scheme val="minor"/>
      </rPr>
      <t>air</t>
    </r>
  </si>
  <si>
    <t>J/(kg*K)</t>
  </si>
  <si>
    <t>Outputs</t>
  </si>
  <si>
    <t>Ambient Air Temperature</t>
  </si>
  <si>
    <r>
      <t>T</t>
    </r>
    <r>
      <rPr>
        <vertAlign val="subscript"/>
        <sz val="11"/>
        <color theme="1"/>
        <rFont val="Calibri"/>
        <family val="2"/>
        <scheme val="minor"/>
      </rPr>
      <t>amb</t>
    </r>
  </si>
  <si>
    <t>°C</t>
  </si>
  <si>
    <t>°F</t>
  </si>
  <si>
    <t>Ambient Air Pressure</t>
  </si>
  <si>
    <r>
      <t>P</t>
    </r>
    <r>
      <rPr>
        <vertAlign val="subscript"/>
        <sz val="11"/>
        <color theme="1"/>
        <rFont val="Calibri"/>
        <family val="2"/>
        <scheme val="minor"/>
      </rPr>
      <t>amb</t>
    </r>
  </si>
  <si>
    <t>kPa</t>
  </si>
  <si>
    <t>atm</t>
  </si>
  <si>
    <t>Ambient Air Density</t>
  </si>
  <si>
    <r>
      <t>ρ</t>
    </r>
    <r>
      <rPr>
        <vertAlign val="subscript"/>
        <sz val="11"/>
        <color theme="1"/>
        <rFont val="Calibri"/>
        <family val="2"/>
      </rPr>
      <t>a</t>
    </r>
  </si>
  <si>
    <t>kg/m^3</t>
  </si>
  <si>
    <r>
      <t>lb</t>
    </r>
    <r>
      <rPr>
        <vertAlign val="subscript"/>
        <sz val="11"/>
        <color theme="2" tint="-0.499984740745262"/>
        <rFont val="Calibri"/>
        <family val="2"/>
        <scheme val="minor"/>
      </rPr>
      <t>m</t>
    </r>
    <r>
      <rPr>
        <sz val="11"/>
        <color theme="2" tint="-0.499984740745262"/>
        <rFont val="Calibri"/>
        <family val="2"/>
        <scheme val="minor"/>
      </rPr>
      <t>/ft^3</t>
    </r>
  </si>
  <si>
    <t>Mass of Vehicle</t>
  </si>
  <si>
    <r>
      <t>m</t>
    </r>
    <r>
      <rPr>
        <vertAlign val="subscript"/>
        <sz val="11"/>
        <color theme="1"/>
        <rFont val="Calibri"/>
        <family val="2"/>
        <scheme val="minor"/>
      </rPr>
      <t>v</t>
    </r>
  </si>
  <si>
    <t>kg</t>
  </si>
  <si>
    <r>
      <t>lb</t>
    </r>
    <r>
      <rPr>
        <vertAlign val="subscript"/>
        <sz val="11"/>
        <color theme="2" tint="-0.499984740745262"/>
        <rFont val="Calibri"/>
        <family val="2"/>
        <scheme val="minor"/>
      </rPr>
      <t>f</t>
    </r>
  </si>
  <si>
    <t>Grade Angle</t>
  </si>
  <si>
    <t>α</t>
  </si>
  <si>
    <t>deg</t>
  </si>
  <si>
    <t>grade</t>
  </si>
  <si>
    <t>Coefficient of Rolling Resistance</t>
  </si>
  <si>
    <r>
      <t>C</t>
    </r>
    <r>
      <rPr>
        <vertAlign val="subscript"/>
        <sz val="11"/>
        <color theme="1"/>
        <rFont val="Calibri"/>
        <family val="2"/>
      </rPr>
      <t>R</t>
    </r>
  </si>
  <si>
    <t>-</t>
  </si>
  <si>
    <t>Coefficient of Air Drag</t>
  </si>
  <si>
    <r>
      <t>C</t>
    </r>
    <r>
      <rPr>
        <vertAlign val="subscript"/>
        <sz val="11"/>
        <color theme="1"/>
        <rFont val="Calibri"/>
        <family val="2"/>
      </rPr>
      <t>D</t>
    </r>
  </si>
  <si>
    <t>Frontal Area of Vehicle</t>
  </si>
  <si>
    <r>
      <t>A</t>
    </r>
    <r>
      <rPr>
        <vertAlign val="subscript"/>
        <sz val="11"/>
        <color theme="1"/>
        <rFont val="Calibri"/>
        <family val="2"/>
      </rPr>
      <t>v</t>
    </r>
  </si>
  <si>
    <t>m^2</t>
  </si>
  <si>
    <t>ft^2</t>
  </si>
  <si>
    <t>Vehicle Speed</t>
  </si>
  <si>
    <r>
      <t>S</t>
    </r>
    <r>
      <rPr>
        <vertAlign val="subscript"/>
        <sz val="11"/>
        <color theme="1"/>
        <rFont val="Calibri"/>
        <family val="2"/>
        <scheme val="minor"/>
      </rPr>
      <t>v</t>
    </r>
  </si>
  <si>
    <t>kph</t>
  </si>
  <si>
    <t>Vehicle Acceleration</t>
  </si>
  <si>
    <r>
      <t>a</t>
    </r>
    <r>
      <rPr>
        <vertAlign val="subscript"/>
        <sz val="11"/>
        <color theme="1"/>
        <rFont val="Calibri"/>
        <family val="2"/>
      </rPr>
      <t>v</t>
    </r>
  </si>
  <si>
    <t>ft/s^2</t>
  </si>
  <si>
    <t>mph/s</t>
  </si>
  <si>
    <t>Braking Force</t>
  </si>
  <si>
    <r>
      <t>F</t>
    </r>
    <r>
      <rPr>
        <vertAlign val="subscript"/>
        <sz val="11"/>
        <color theme="1"/>
        <rFont val="Calibri"/>
        <family val="2"/>
        <scheme val="minor"/>
      </rPr>
      <t>b</t>
    </r>
  </si>
  <si>
    <t>N</t>
  </si>
  <si>
    <t>Vehicle Rolling Resistance</t>
  </si>
  <si>
    <r>
      <t>F</t>
    </r>
    <r>
      <rPr>
        <vertAlign val="subscript"/>
        <sz val="11"/>
        <color theme="1"/>
        <rFont val="Calibri"/>
        <family val="2"/>
        <scheme val="minor"/>
      </rPr>
      <t>R</t>
    </r>
  </si>
  <si>
    <t>Vehicle Aerodynamic Drag</t>
  </si>
  <si>
    <r>
      <t>F</t>
    </r>
    <r>
      <rPr>
        <vertAlign val="subscript"/>
        <sz val="11"/>
        <color theme="1"/>
        <rFont val="Calibri"/>
        <family val="2"/>
        <scheme val="minor"/>
      </rPr>
      <t>D</t>
    </r>
  </si>
  <si>
    <t>Vehicle Acceleration Force</t>
  </si>
  <si>
    <r>
      <t>F</t>
    </r>
    <r>
      <rPr>
        <vertAlign val="subscript"/>
        <sz val="11"/>
        <color theme="1"/>
        <rFont val="Calibri"/>
        <family val="2"/>
        <scheme val="minor"/>
      </rPr>
      <t>a</t>
    </r>
  </si>
  <si>
    <t>Force due to Gravity</t>
  </si>
  <si>
    <r>
      <t>F</t>
    </r>
    <r>
      <rPr>
        <vertAlign val="subscript"/>
        <sz val="11"/>
        <color theme="1"/>
        <rFont val="Calibri"/>
        <family val="2"/>
        <scheme val="minor"/>
      </rPr>
      <t>g</t>
    </r>
  </si>
  <si>
    <t>Wheel Road Load Power</t>
  </si>
  <si>
    <r>
      <t>P</t>
    </r>
    <r>
      <rPr>
        <vertAlign val="subscript"/>
        <sz val="11"/>
        <color theme="1"/>
        <rFont val="Calibri"/>
        <family val="2"/>
      </rPr>
      <t>r</t>
    </r>
  </si>
  <si>
    <t>W</t>
  </si>
  <si>
    <t>HP</t>
  </si>
  <si>
    <t>Wheel Power to Drive</t>
  </si>
  <si>
    <r>
      <t>P</t>
    </r>
    <r>
      <rPr>
        <vertAlign val="subscript"/>
        <sz val="11"/>
        <color theme="1"/>
        <rFont val="Calibri"/>
        <family val="2"/>
      </rPr>
      <t>v</t>
    </r>
  </si>
  <si>
    <t>Unit (SI)</t>
  </si>
  <si>
    <t>Value (USC)</t>
  </si>
  <si>
    <t>Unit (USC)</t>
  </si>
  <si>
    <t>Ambient Temp</t>
  </si>
  <si>
    <t>deg C</t>
  </si>
  <si>
    <t>deg F</t>
  </si>
  <si>
    <t>Ambient Pressure</t>
  </si>
  <si>
    <t>psi</t>
  </si>
  <si>
    <t>Power Required</t>
  </si>
  <si>
    <t>kW</t>
  </si>
  <si>
    <t>hp</t>
  </si>
  <si>
    <t>Rated Speed</t>
  </si>
  <si>
    <t>rpm</t>
  </si>
  <si>
    <t>Volumetric Efficiency</t>
  </si>
  <si>
    <t>Brake Specific Fuel Consumption</t>
  </si>
  <si>
    <t>g/(kW*hr)</t>
  </si>
  <si>
    <t>n</t>
  </si>
  <si>
    <t>rev/cycle</t>
  </si>
  <si>
    <t>Bore/Stroke Ratio</t>
  </si>
  <si>
    <t>AFR (Stoich)</t>
  </si>
  <si>
    <t>AFR (@ Peak Power)</t>
  </si>
  <si>
    <t>Fuel Lower Heating Value</t>
  </si>
  <si>
    <t>kw*hr/kg</t>
  </si>
  <si>
    <t>kJ/(kmol*K)</t>
  </si>
  <si>
    <t>Molecular Weight of Air</t>
  </si>
  <si>
    <t>kg/kmol</t>
  </si>
  <si>
    <t>Specific Gas Constant (Air)</t>
  </si>
  <si>
    <t>kJ/(kg*K)</t>
  </si>
  <si>
    <t>Air Charge Density</t>
  </si>
  <si>
    <t>Lambda (@ Peak Power)</t>
  </si>
  <si>
    <t>Fuel Mass Flow Rate</t>
  </si>
  <si>
    <t>kg/min</t>
  </si>
  <si>
    <t>Air Mass Flow Rate</t>
  </si>
  <si>
    <t>Ideal Engine Displacement</t>
  </si>
  <si>
    <t>L</t>
  </si>
  <si>
    <t>cc</t>
  </si>
  <si>
    <t>Required Engine Displacement</t>
  </si>
  <si>
    <t>Brake Mean Effective Pressure</t>
  </si>
  <si>
    <t>Stroke</t>
  </si>
  <si>
    <t>mm</t>
  </si>
  <si>
    <t>Mean Piston Speed</t>
  </si>
  <si>
    <t>m/s</t>
  </si>
  <si>
    <t xml:space="preserve">Some of these values (symbol in red) used in table on the right and held as constant. </t>
  </si>
  <si>
    <t>Raising all of these values results in harder for engine</t>
  </si>
  <si>
    <t>Lowering this value results in harder for engine</t>
  </si>
  <si>
    <t>Raising this results in harder for engine</t>
  </si>
  <si>
    <t>Alt Value</t>
  </si>
  <si>
    <t>Alt Units</t>
  </si>
  <si>
    <t>Case</t>
  </si>
  <si>
    <t>Elevation</t>
  </si>
  <si>
    <t>Ambient Temperature</t>
  </si>
  <si>
    <t>Grade</t>
  </si>
  <si>
    <t>Braking Drag Force</t>
  </si>
  <si>
    <t>Power Required @ Wheels</t>
  </si>
  <si>
    <t>Engine Speed</t>
  </si>
  <si>
    <t>AFR</t>
  </si>
  <si>
    <t>Drivetrain Efficiency</t>
  </si>
  <si>
    <t>Power Required @ Engine</t>
  </si>
  <si>
    <t>Displacement Required</t>
  </si>
  <si>
    <r>
      <t>g</t>
    </r>
    <r>
      <rPr>
        <vertAlign val="subscript"/>
        <sz val="11"/>
        <color rgb="FFFF0000"/>
        <rFont val="Calibri"/>
        <family val="2"/>
        <scheme val="minor"/>
      </rPr>
      <t>e</t>
    </r>
  </si>
  <si>
    <t>lbm</t>
  </si>
  <si>
    <t>ft</t>
  </si>
  <si>
    <t>%</t>
  </si>
  <si>
    <t>lbm/lbm</t>
  </si>
  <si>
    <r>
      <t>R</t>
    </r>
    <r>
      <rPr>
        <vertAlign val="subscript"/>
        <sz val="11"/>
        <color rgb="FFFF0000"/>
        <rFont val="Calibri"/>
        <family val="2"/>
        <scheme val="minor"/>
      </rPr>
      <t>air</t>
    </r>
  </si>
  <si>
    <r>
      <t>C</t>
    </r>
    <r>
      <rPr>
        <vertAlign val="subscript"/>
        <sz val="11"/>
        <color rgb="FFFF0000"/>
        <rFont val="Calibri"/>
        <family val="2"/>
      </rPr>
      <t>R</t>
    </r>
  </si>
  <si>
    <r>
      <t>C</t>
    </r>
    <r>
      <rPr>
        <vertAlign val="subscript"/>
        <sz val="11"/>
        <color rgb="FFFF0000"/>
        <rFont val="Calibri"/>
        <family val="2"/>
      </rPr>
      <t>D</t>
    </r>
  </si>
  <si>
    <r>
      <t>A</t>
    </r>
    <r>
      <rPr>
        <vertAlign val="subscript"/>
        <sz val="11"/>
        <color rgb="FFFF0000"/>
        <rFont val="Calibri"/>
        <family val="2"/>
      </rPr>
      <t>v</t>
    </r>
  </si>
  <si>
    <t>Force due to Gravity (hill)</t>
  </si>
  <si>
    <t>Rated Engine Speed</t>
  </si>
  <si>
    <t>n_vol</t>
  </si>
  <si>
    <t>Rev/Cycle</t>
  </si>
  <si>
    <t>BSFC</t>
  </si>
  <si>
    <t>B/S</t>
  </si>
  <si>
    <t>AFR_stoich</t>
  </si>
  <si>
    <t>AFR_PP</t>
  </si>
  <si>
    <t>LHV</t>
  </si>
  <si>
    <t>kW*hr/kg</t>
  </si>
  <si>
    <t>λ_PP</t>
  </si>
  <si>
    <t>m_dot_fuel</t>
  </si>
  <si>
    <t>m_dot_air</t>
  </si>
  <si>
    <t>Disp_ideal</t>
  </si>
  <si>
    <t>Disp_req</t>
  </si>
  <si>
    <t>BMEP</t>
  </si>
  <si>
    <t>S</t>
  </si>
  <si>
    <t>Bore</t>
  </si>
  <si>
    <t>v_pist</t>
  </si>
  <si>
    <t>Change gearbox ratio will change engine torque and power curves to match torque and power curves based on wheel speed. If making changes to shape, must change power for wheel speed via range Y12:Y26. Gearbox change can be made at cell AA1. These changes assume a constant CVT ratio of 1:1 for comparison sake.</t>
  </si>
  <si>
    <t>Proposed Gearbox Ratio</t>
  </si>
  <si>
    <t>:1</t>
  </si>
  <si>
    <t>Proposed Tire Diameter</t>
  </si>
  <si>
    <t>in</t>
  </si>
  <si>
    <t>Proposed Axle Ratio</t>
  </si>
  <si>
    <t>Proposed Displacement</t>
  </si>
  <si>
    <t>Rated Power</t>
  </si>
  <si>
    <t>Power @ Peak Torque</t>
  </si>
  <si>
    <t>Speed @ Peak Torque</t>
  </si>
  <si>
    <t>Torque @Rated Speed</t>
  </si>
  <si>
    <t>N*m</t>
  </si>
  <si>
    <t>Peak Torque</t>
  </si>
  <si>
    <r>
      <t>Potential Proposed Curve 2 (</t>
    </r>
    <r>
      <rPr>
        <b/>
        <sz val="14"/>
        <color theme="5" tint="-0.249977111117893"/>
        <rFont val="Calibri"/>
        <family val="2"/>
        <scheme val="minor"/>
      </rPr>
      <t>Wheel Speed Based</t>
    </r>
    <r>
      <rPr>
        <b/>
        <sz val="14"/>
        <color theme="1"/>
        <rFont val="Calibri"/>
        <family val="2"/>
        <scheme val="minor"/>
      </rPr>
      <t>)</t>
    </r>
  </si>
  <si>
    <t>Potential Proposed 1 …....... Potential 2 shown to the left is wheel speed based, likely better way to find desired engine curves. Have since filtered this table from chart.</t>
  </si>
  <si>
    <t>Imperial (@Engine)</t>
  </si>
  <si>
    <t>Metric
(@ Engine)</t>
  </si>
  <si>
    <t xml:space="preserve">Wheel Speed </t>
  </si>
  <si>
    <t>Imperial (@Wheel)</t>
  </si>
  <si>
    <t>Metric
(@ Wheel)</t>
  </si>
  <si>
    <t>Imperial
(@ Engine)</t>
  </si>
  <si>
    <t>Imperial
(@ Wheel)</t>
  </si>
  <si>
    <t>Wheel Speed</t>
  </si>
  <si>
    <t>Imperial
(@Wheel)</t>
  </si>
  <si>
    <t>Metric
(@Wheel)</t>
  </si>
  <si>
    <t>Engine Torque</t>
  </si>
  <si>
    <t>Engine Power</t>
  </si>
  <si>
    <t>Imperial
(@Engine)</t>
  </si>
  <si>
    <t>Metric
(@Engine)</t>
  </si>
  <si>
    <t>LBf*FT</t>
  </si>
  <si>
    <t>PS</t>
  </si>
  <si>
    <t>Lbf*ft</t>
  </si>
  <si>
    <t>Veh1, Flat Ground, 12mph, Sea Level</t>
  </si>
  <si>
    <t>Veh1, Flat Ground, 12mph, 10000 ft elevation, (hot, elev temp drop)</t>
  </si>
  <si>
    <t>Veh1, 45% grade, 6mph, 10000 ft elevation, (hot, elev temp drop)</t>
  </si>
  <si>
    <t>Veh2, 30% Grade, Fully Loaded, 1250 ft Elevation,  6.25mph</t>
  </si>
  <si>
    <t>Veh2, 35% Grade, 5.5mph, 2500 ft elevation, (hot, elev temp drop)</t>
  </si>
  <si>
    <t>Veh2, 30% Grade, 5mph, 6000 ft elevation, (hot, elev temp drop)</t>
  </si>
  <si>
    <t>Veh3, 25% Grade, Fully Loaded, 1000 ft Elevation, 6.5 mph, (hot, elev temp drop)</t>
  </si>
  <si>
    <r>
      <t>Acceleration 
(</t>
    </r>
    <r>
      <rPr>
        <b/>
        <sz val="8"/>
        <color theme="1"/>
        <rFont val="Calibri"/>
        <family val="2"/>
        <scheme val="minor"/>
      </rPr>
      <t>@ Speed Specified)</t>
    </r>
  </si>
  <si>
    <t>Eng1</t>
  </si>
  <si>
    <t>Eng0</t>
  </si>
  <si>
    <t>C_d</t>
  </si>
  <si>
    <r>
      <t>lb</t>
    </r>
    <r>
      <rPr>
        <vertAlign val="subscript"/>
        <sz val="11"/>
        <rFont val="Calibri"/>
        <family val="2"/>
        <scheme val="minor"/>
      </rPr>
      <t>m</t>
    </r>
    <r>
      <rPr>
        <sz val="11"/>
        <rFont val="Calibri"/>
        <family val="2"/>
        <scheme val="minor"/>
      </rPr>
      <t>/ft^3</t>
    </r>
  </si>
  <si>
    <t>Rho_air</t>
  </si>
  <si>
    <t>A_frontal</t>
  </si>
  <si>
    <t>Coefficient of rolling resistance is therefore estimated to be:</t>
  </si>
  <si>
    <t>Then drag coefficient was estiamted to be:</t>
  </si>
  <si>
    <t>Vehicle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</si>
</sst>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
    <numFmt numFmtId="165" formatCode="0.00000"/>
    <numFmt numFmtId="166" formatCode="0.000"/>
    <numFmt numFmtId="167" formatCode="0.00_);[Red]\(0.00\)"/>
    <numFmt numFmtId="168" formatCode="0_);[Red]\(0\)"/>
    <numFmt numFmtId="169" formatCode="0.00000_);[Red]\(0.00000\)"/>
    <numFmt numFmtId="170" formatCode="0.0000"/>
    <numFmt numFmtId="171" formatCode="0.0"/>
    <numFmt numFmtId="172" formatCode="0.0000000"/>
    <numFmt numFmtId="173" formatCode="0.0_);[Red]\(0.0\)"/>
  </numFmts>
  <fonts count="40" x14ac:knownFonts="1">
    <font>
      <sz val="11"/>
      <color theme="1"/>
      <name val="Calibri"/>
      <family val="2"/>
      <scheme val="minor"/>
    </font>
    <font>
      <b/>
      <sz val="11"/>
      <color theme="1"/>
      <name val="Calibri"/>
      <family val="2"/>
      <scheme val="minor"/>
    </font>
    <font>
      <vertAlign val="subscript"/>
      <sz val="11"/>
      <color theme="1"/>
      <name val="Calibri"/>
      <family val="2"/>
      <scheme val="minor"/>
    </font>
    <font>
      <sz val="11"/>
      <color theme="1"/>
      <name val="Calibri"/>
      <family val="2"/>
    </font>
    <font>
      <vertAlign val="subscript"/>
      <sz val="11"/>
      <color theme="1"/>
      <name val="Calibri"/>
      <family val="2"/>
    </font>
    <font>
      <sz val="9"/>
      <color indexed="81"/>
      <name val="Tahoma"/>
      <family val="2"/>
    </font>
    <font>
      <b/>
      <sz val="9"/>
      <color indexed="81"/>
      <name val="Tahoma"/>
      <family val="2"/>
    </font>
    <font>
      <i/>
      <sz val="11"/>
      <color theme="1"/>
      <name val="Calibri"/>
      <family val="2"/>
      <scheme val="minor"/>
    </font>
    <font>
      <sz val="11"/>
      <color theme="2" tint="-0.499984740745262"/>
      <name val="Calibri"/>
      <family val="2"/>
      <scheme val="minor"/>
    </font>
    <font>
      <vertAlign val="subscript"/>
      <sz val="11"/>
      <color theme="2" tint="-0.499984740745262"/>
      <name val="Calibri"/>
      <family val="2"/>
      <scheme val="minor"/>
    </font>
    <font>
      <sz val="11"/>
      <color theme="1"/>
      <name val="Calibri"/>
      <family val="2"/>
      <scheme val="minor"/>
    </font>
    <font>
      <sz val="10"/>
      <name val="Arial"/>
      <family val="2"/>
    </font>
    <font>
      <b/>
      <sz val="12"/>
      <name val="Calibri"/>
      <family val="2"/>
      <scheme val="minor"/>
    </font>
    <font>
      <i/>
      <sz val="12"/>
      <name val="Calibri"/>
      <family val="2"/>
      <scheme val="minor"/>
    </font>
    <font>
      <i/>
      <sz val="12"/>
      <color theme="1"/>
      <name val="Calibri"/>
      <family val="2"/>
      <scheme val="minor"/>
    </font>
    <font>
      <b/>
      <i/>
      <u/>
      <sz val="11"/>
      <color theme="1"/>
      <name val="Calibri"/>
      <family val="2"/>
      <scheme val="minor"/>
    </font>
    <font>
      <sz val="8"/>
      <color theme="2" tint="-0.499984740745262"/>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b/>
      <i/>
      <sz val="12"/>
      <color theme="1"/>
      <name val="Calibri"/>
      <family val="2"/>
      <scheme val="minor"/>
    </font>
    <font>
      <i/>
      <sz val="10"/>
      <color theme="1"/>
      <name val="Calibri"/>
      <family val="2"/>
      <scheme val="minor"/>
    </font>
    <font>
      <sz val="11"/>
      <color rgb="FFFF0000"/>
      <name val="Calibri"/>
      <family val="2"/>
      <scheme val="minor"/>
    </font>
    <font>
      <vertAlign val="subscript"/>
      <sz val="11"/>
      <color rgb="FFFF0000"/>
      <name val="Calibri"/>
      <family val="2"/>
      <scheme val="minor"/>
    </font>
    <font>
      <sz val="11"/>
      <color rgb="FFFF0000"/>
      <name val="Calibri"/>
      <family val="2"/>
    </font>
    <font>
      <vertAlign val="subscript"/>
      <sz val="11"/>
      <color rgb="FFFF0000"/>
      <name val="Calibri"/>
      <family val="2"/>
    </font>
    <font>
      <b/>
      <sz val="14"/>
      <color theme="1"/>
      <name val="Calibri"/>
      <family val="2"/>
      <scheme val="minor"/>
    </font>
    <font>
      <b/>
      <sz val="14"/>
      <color theme="5" tint="-0.249977111117893"/>
      <name val="Calibri"/>
      <family val="2"/>
      <scheme val="minor"/>
    </font>
    <font>
      <b/>
      <i/>
      <u/>
      <sz val="10"/>
      <color theme="0" tint="-0.499984740745262"/>
      <name val="Calibri"/>
      <family val="2"/>
      <scheme val="minor"/>
    </font>
    <font>
      <b/>
      <sz val="11"/>
      <color theme="0" tint="-0.499984740745262"/>
      <name val="Calibri"/>
      <family val="2"/>
      <scheme val="minor"/>
    </font>
    <font>
      <b/>
      <sz val="8"/>
      <color theme="0" tint="-0.499984740745262"/>
      <name val="Calibri"/>
      <family val="2"/>
      <scheme val="minor"/>
    </font>
    <font>
      <i/>
      <sz val="12"/>
      <color theme="0" tint="-0.499984740745262"/>
      <name val="Calibri"/>
      <family val="2"/>
      <scheme val="minor"/>
    </font>
    <font>
      <i/>
      <sz val="11"/>
      <color theme="0" tint="-0.499984740745262"/>
      <name val="Calibri"/>
      <family val="2"/>
      <scheme val="minor"/>
    </font>
    <font>
      <sz val="10"/>
      <color theme="0" tint="-0.499984740745262"/>
      <name val="Arial"/>
      <family val="2"/>
    </font>
    <font>
      <sz val="11"/>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
      <sz val="11"/>
      <name val="Calibri"/>
      <family val="2"/>
      <scheme val="minor"/>
    </font>
    <font>
      <vertAlign val="subscript"/>
      <sz val="11"/>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C000"/>
        <bgColor indexed="64"/>
      </patternFill>
    </fill>
    <fill>
      <patternFill patternType="solid">
        <fgColor rgb="FFF0D4F0"/>
        <bgColor indexed="64"/>
      </patternFill>
    </fill>
    <fill>
      <patternFill patternType="solid">
        <fgColor rgb="FFD993D9"/>
        <bgColor indexed="64"/>
      </patternFill>
    </fill>
    <fill>
      <patternFill patternType="solid">
        <fgColor rgb="FFAA72D4"/>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medium">
        <color indexed="64"/>
      </bottom>
      <diagonal/>
    </border>
    <border>
      <left/>
      <right style="medium">
        <color rgb="FF000000"/>
      </right>
      <top/>
      <bottom/>
      <diagonal/>
    </border>
    <border>
      <left style="medium">
        <color rgb="FF000000"/>
      </left>
      <right style="thin">
        <color indexed="64"/>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style="thin">
        <color indexed="64"/>
      </top>
      <bottom/>
      <diagonal/>
    </border>
    <border>
      <left style="medium">
        <color rgb="FF000000"/>
      </left>
      <right style="thin">
        <color indexed="64"/>
      </right>
      <top style="medium">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bottom style="thin">
        <color indexed="64"/>
      </bottom>
      <diagonal/>
    </border>
    <border>
      <left style="thin">
        <color indexed="64"/>
      </left>
      <right style="thin">
        <color indexed="64"/>
      </right>
      <top/>
      <bottom style="medium">
        <color rgb="FF000000"/>
      </bottom>
      <diagonal/>
    </border>
    <border>
      <left style="thin">
        <color indexed="64"/>
      </left>
      <right style="medium">
        <color rgb="FF000000"/>
      </right>
      <top/>
      <bottom style="medium">
        <color rgb="FF000000"/>
      </bottom>
      <diagonal/>
    </border>
    <border>
      <left style="medium">
        <color indexed="64"/>
      </left>
      <right/>
      <top style="thin">
        <color indexed="64"/>
      </top>
      <bottom/>
      <diagonal/>
    </border>
    <border>
      <left style="medium">
        <color rgb="FF000000"/>
      </left>
      <right style="thin">
        <color indexed="64"/>
      </right>
      <top/>
      <bottom/>
      <diagonal/>
    </border>
    <border>
      <left style="thin">
        <color indexed="64"/>
      </left>
      <right style="thin">
        <color indexed="64"/>
      </right>
      <top/>
      <bottom/>
      <diagonal/>
    </border>
    <border>
      <left style="thin">
        <color indexed="64"/>
      </left>
      <right style="medium">
        <color rgb="FF000000"/>
      </right>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indexed="64"/>
      </right>
      <top/>
      <bottom style="medium">
        <color rgb="FF000000"/>
      </bottom>
      <diagonal/>
    </border>
    <border>
      <left style="medium">
        <color rgb="FF000000"/>
      </left>
      <right/>
      <top style="thin">
        <color indexed="64"/>
      </top>
      <bottom style="thin">
        <color indexed="64"/>
      </bottom>
      <diagonal/>
    </border>
    <border>
      <left style="medium">
        <color rgb="FF000000"/>
      </left>
      <right/>
      <top/>
      <bottom style="thin">
        <color indexed="64"/>
      </bottom>
      <diagonal/>
    </border>
    <border>
      <left style="medium">
        <color rgb="FF000000"/>
      </left>
      <right/>
      <top style="thin">
        <color indexed="64"/>
      </top>
      <bottom style="medium">
        <color rgb="FF000000"/>
      </bottom>
      <diagonal/>
    </border>
    <border>
      <left/>
      <right style="thin">
        <color rgb="FF000000"/>
      </right>
      <top style="thin">
        <color rgb="FF000000"/>
      </top>
      <bottom style="thin">
        <color rgb="FF000000"/>
      </bottom>
      <diagonal/>
    </border>
    <border>
      <left style="thin">
        <color indexed="64"/>
      </left>
      <right style="medium">
        <color rgb="FF000000"/>
      </right>
      <top style="thin">
        <color indexed="64"/>
      </top>
      <bottom/>
      <diagonal/>
    </border>
    <border>
      <left/>
      <right style="thin">
        <color indexed="64"/>
      </right>
      <top/>
      <bottom/>
      <diagonal/>
    </border>
    <border>
      <left style="medium">
        <color rgb="FF000000"/>
      </left>
      <right/>
      <top style="medium">
        <color rgb="FF000000"/>
      </top>
      <bottom style="thin">
        <color indexed="64"/>
      </bottom>
      <diagonal/>
    </border>
    <border>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right style="thin">
        <color indexed="64"/>
      </right>
      <top/>
      <bottom style="medium">
        <color rgb="FF000000"/>
      </bottom>
      <diagonal/>
    </border>
    <border>
      <left style="thin">
        <color indexed="64"/>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bottom style="thin">
        <color indexed="64"/>
      </bottom>
      <diagonal/>
    </border>
    <border>
      <left/>
      <right/>
      <top style="medium">
        <color rgb="FF000000"/>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top style="thin">
        <color indexed="64"/>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9" fontId="10" fillId="0" borderId="0" applyFont="0" applyFill="0" applyBorder="0" applyAlignment="0" applyProtection="0"/>
    <xf numFmtId="0" fontId="11" fillId="0" borderId="0"/>
  </cellStyleXfs>
  <cellXfs count="444">
    <xf numFmtId="0" fontId="0" fillId="0" borderId="0" xfId="0"/>
    <xf numFmtId="0" fontId="0" fillId="2" borderId="1" xfId="0" applyFill="1" applyBorder="1"/>
    <xf numFmtId="0" fontId="0" fillId="0" borderId="3" xfId="0" applyBorder="1"/>
    <xf numFmtId="0" fontId="0" fillId="0" borderId="5" xfId="0" applyBorder="1"/>
    <xf numFmtId="0" fontId="0" fillId="0" borderId="8" xfId="0" applyBorder="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0" fillId="0" borderId="10" xfId="0" applyBorder="1" applyAlignment="1">
      <alignment horizontal="center"/>
    </xf>
    <xf numFmtId="0" fontId="0" fillId="0" borderId="4" xfId="0" applyBorder="1" applyAlignment="1">
      <alignment horizontal="center"/>
    </xf>
    <xf numFmtId="0" fontId="3" fillId="0" borderId="4" xfId="0" applyFont="1" applyBorder="1" applyAlignment="1">
      <alignment horizontal="center"/>
    </xf>
    <xf numFmtId="0" fontId="0" fillId="0" borderId="7" xfId="0" applyBorder="1" applyAlignment="1">
      <alignment horizontal="center"/>
    </xf>
    <xf numFmtId="0" fontId="0" fillId="0" borderId="9" xfId="0" applyBorder="1" applyAlignment="1">
      <alignment horizontal="right"/>
    </xf>
    <xf numFmtId="0" fontId="0" fillId="0" borderId="1" xfId="0" applyBorder="1" applyAlignment="1">
      <alignment horizontal="right"/>
    </xf>
    <xf numFmtId="0" fontId="3" fillId="0" borderId="1" xfId="0" applyFont="1" applyBorder="1" applyAlignment="1">
      <alignment horizontal="right"/>
    </xf>
    <xf numFmtId="0" fontId="3" fillId="0" borderId="6" xfId="0" applyFont="1" applyBorder="1" applyAlignment="1">
      <alignment horizontal="right"/>
    </xf>
    <xf numFmtId="0" fontId="0" fillId="4" borderId="9" xfId="0" applyFill="1" applyBorder="1"/>
    <xf numFmtId="0" fontId="0" fillId="4" borderId="1" xfId="0" applyFill="1" applyBorder="1"/>
    <xf numFmtId="0" fontId="0" fillId="5" borderId="1" xfId="0" applyFill="1" applyBorder="1"/>
    <xf numFmtId="0" fontId="0" fillId="5" borderId="14" xfId="0" applyFill="1" applyBorder="1" applyAlignment="1">
      <alignment horizontal="right"/>
    </xf>
    <xf numFmtId="0" fontId="0" fillId="4" borderId="14" xfId="0" applyFill="1" applyBorder="1" applyAlignment="1">
      <alignment horizontal="right"/>
    </xf>
    <xf numFmtId="0" fontId="0" fillId="3" borderId="15" xfId="0" applyFill="1" applyBorder="1" applyAlignment="1">
      <alignment horizontal="right"/>
    </xf>
    <xf numFmtId="0" fontId="0" fillId="2" borderId="16" xfId="0" applyFill="1" applyBorder="1" applyAlignment="1">
      <alignment horizontal="right" vertical="center"/>
    </xf>
    <xf numFmtId="0" fontId="1" fillId="0" borderId="2" xfId="0" applyFont="1" applyBorder="1" applyAlignment="1">
      <alignment horizontal="center" vertical="center"/>
    </xf>
    <xf numFmtId="166" fontId="0" fillId="3" borderId="1" xfId="0" applyNumberFormat="1" applyFill="1" applyBorder="1"/>
    <xf numFmtId="166" fontId="0" fillId="3" borderId="6" xfId="0" applyNumberFormat="1" applyFill="1" applyBorder="1"/>
    <xf numFmtId="164" fontId="0" fillId="5" borderId="1" xfId="0" applyNumberFormat="1" applyFill="1" applyBorder="1"/>
    <xf numFmtId="166" fontId="0" fillId="5" borderId="1" xfId="0" applyNumberFormat="1" applyFill="1" applyBorder="1"/>
    <xf numFmtId="165" fontId="0" fillId="4" borderId="1" xfId="0" applyNumberFormat="1" applyFill="1" applyBorder="1"/>
    <xf numFmtId="0" fontId="0" fillId="6" borderId="0" xfId="0" applyFill="1"/>
    <xf numFmtId="0" fontId="0" fillId="0" borderId="15" xfId="0" applyBorder="1"/>
    <xf numFmtId="0" fontId="0" fillId="0" borderId="7" xfId="0" applyBorder="1"/>
    <xf numFmtId="0" fontId="0" fillId="0" borderId="14" xfId="0" applyBorder="1"/>
    <xf numFmtId="0" fontId="0" fillId="0" borderId="4" xfId="0" applyBorder="1"/>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0" fillId="0" borderId="17" xfId="0" applyBorder="1"/>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0" fillId="0" borderId="1" xfId="0" applyBorder="1"/>
    <xf numFmtId="0" fontId="8" fillId="0" borderId="0" xfId="0" applyFont="1"/>
    <xf numFmtId="166" fontId="8" fillId="0" borderId="0" xfId="0" applyNumberFormat="1" applyFont="1"/>
    <xf numFmtId="0" fontId="8" fillId="0" borderId="0" xfId="0" applyFont="1" applyAlignment="1">
      <alignment horizontal="center" vertical="center"/>
    </xf>
    <xf numFmtId="165" fontId="8" fillId="0" borderId="0" xfId="0" applyNumberFormat="1" applyFont="1"/>
    <xf numFmtId="10" fontId="8" fillId="0" borderId="0" xfId="1" applyNumberFormat="1" applyFont="1"/>
    <xf numFmtId="0" fontId="0" fillId="0" borderId="0" xfId="0" applyAlignment="1">
      <alignment horizontal="center"/>
    </xf>
    <xf numFmtId="0" fontId="1" fillId="0" borderId="0" xfId="0" applyFont="1"/>
    <xf numFmtId="168" fontId="11" fillId="0" borderId="0" xfId="2" applyNumberFormat="1" applyAlignment="1">
      <alignment horizontal="center" vertical="center"/>
    </xf>
    <xf numFmtId="169" fontId="11" fillId="0" borderId="0" xfId="2" applyNumberFormat="1" applyAlignment="1">
      <alignment horizontal="center" vertical="center"/>
    </xf>
    <xf numFmtId="167" fontId="11" fillId="0" borderId="0" xfId="2" applyNumberFormat="1" applyAlignment="1">
      <alignment horizontal="center" vertical="center"/>
    </xf>
    <xf numFmtId="167" fontId="11" fillId="6" borderId="0" xfId="2" applyNumberFormat="1" applyFill="1" applyAlignment="1">
      <alignment horizontal="center" vertical="center"/>
    </xf>
    <xf numFmtId="0" fontId="12" fillId="0" borderId="0" xfId="2" applyFont="1" applyAlignment="1">
      <alignment horizontal="center" wrapText="1"/>
    </xf>
    <xf numFmtId="0" fontId="1" fillId="0" borderId="0" xfId="0" applyFont="1" applyAlignment="1">
      <alignment horizontal="center"/>
    </xf>
    <xf numFmtId="2" fontId="0" fillId="0" borderId="0" xfId="0" applyNumberFormat="1"/>
    <xf numFmtId="167" fontId="0" fillId="0" borderId="0" xfId="0" applyNumberFormat="1"/>
    <xf numFmtId="0" fontId="1" fillId="0" borderId="11" xfId="0" applyFont="1" applyBorder="1" applyAlignment="1">
      <alignment horizontal="center" vertical="center" wrapText="1"/>
    </xf>
    <xf numFmtId="0" fontId="7" fillId="0" borderId="0" xfId="0" applyFont="1" applyAlignment="1">
      <alignment horizontal="center"/>
    </xf>
    <xf numFmtId="0" fontId="1" fillId="8" borderId="35" xfId="0" applyFont="1" applyFill="1" applyBorder="1"/>
    <xf numFmtId="0" fontId="13" fillId="8" borderId="35" xfId="2" applyFont="1" applyFill="1" applyBorder="1" applyAlignment="1">
      <alignment horizontal="center" wrapText="1"/>
    </xf>
    <xf numFmtId="0" fontId="7" fillId="8" borderId="11" xfId="0" applyFont="1" applyFill="1" applyBorder="1" applyAlignment="1">
      <alignment horizontal="center"/>
    </xf>
    <xf numFmtId="0" fontId="7" fillId="8" borderId="13" xfId="0" applyFont="1" applyFill="1" applyBorder="1" applyAlignment="1">
      <alignment horizontal="center"/>
    </xf>
    <xf numFmtId="168" fontId="11" fillId="8" borderId="23" xfId="2" applyNumberFormat="1" applyFill="1" applyBorder="1" applyAlignment="1">
      <alignment horizontal="center" vertical="center"/>
    </xf>
    <xf numFmtId="2" fontId="0" fillId="8" borderId="19" xfId="0" applyNumberFormat="1" applyFill="1" applyBorder="1"/>
    <xf numFmtId="2" fontId="0" fillId="8" borderId="18" xfId="0" applyNumberFormat="1" applyFill="1" applyBorder="1"/>
    <xf numFmtId="168" fontId="11" fillId="8" borderId="39" xfId="2" applyNumberFormat="1" applyFill="1" applyBorder="1" applyAlignment="1">
      <alignment horizontal="center" vertical="center"/>
    </xf>
    <xf numFmtId="2" fontId="0" fillId="8" borderId="3" xfId="0" applyNumberFormat="1" applyFill="1" applyBorder="1"/>
    <xf numFmtId="2" fontId="0" fillId="8" borderId="10" xfId="0" applyNumberFormat="1" applyFill="1" applyBorder="1"/>
    <xf numFmtId="168" fontId="11" fillId="8" borderId="37" xfId="2" applyNumberFormat="1" applyFill="1" applyBorder="1" applyAlignment="1">
      <alignment horizontal="center" vertical="center"/>
    </xf>
    <xf numFmtId="168" fontId="11" fillId="8" borderId="25" xfId="2" applyNumberFormat="1" applyFill="1" applyBorder="1" applyAlignment="1">
      <alignment horizontal="center" vertical="center"/>
    </xf>
    <xf numFmtId="2" fontId="0" fillId="8" borderId="5" xfId="0" applyNumberFormat="1" applyFill="1" applyBorder="1"/>
    <xf numFmtId="2" fontId="0" fillId="8" borderId="33" xfId="0" applyNumberFormat="1" applyFill="1" applyBorder="1"/>
    <xf numFmtId="0" fontId="1" fillId="9" borderId="23" xfId="0" applyFont="1" applyFill="1" applyBorder="1"/>
    <xf numFmtId="0" fontId="13" fillId="9" borderId="25" xfId="2" applyFont="1" applyFill="1" applyBorder="1" applyAlignment="1">
      <alignment horizontal="center" wrapText="1"/>
    </xf>
    <xf numFmtId="0" fontId="7" fillId="9" borderId="5" xfId="0" applyFont="1" applyFill="1" applyBorder="1" applyAlignment="1">
      <alignment horizontal="center"/>
    </xf>
    <xf numFmtId="0" fontId="7" fillId="9" borderId="7" xfId="0" applyFont="1" applyFill="1" applyBorder="1" applyAlignment="1">
      <alignment horizontal="center"/>
    </xf>
    <xf numFmtId="1" fontId="11" fillId="9" borderId="37" xfId="2" applyNumberFormat="1" applyFill="1" applyBorder="1" applyAlignment="1">
      <alignment horizontal="center" vertical="center"/>
    </xf>
    <xf numFmtId="2" fontId="0" fillId="9" borderId="8" xfId="0" applyNumberFormat="1" applyFill="1" applyBorder="1"/>
    <xf numFmtId="2" fontId="0" fillId="9" borderId="10" xfId="0" applyNumberFormat="1" applyFill="1" applyBorder="1"/>
    <xf numFmtId="1" fontId="11" fillId="9" borderId="39" xfId="2" applyNumberFormat="1" applyFill="1" applyBorder="1" applyAlignment="1">
      <alignment horizontal="center" vertical="center"/>
    </xf>
    <xf numFmtId="2" fontId="0" fillId="9" borderId="3" xfId="0" applyNumberFormat="1" applyFill="1" applyBorder="1"/>
    <xf numFmtId="2" fontId="0" fillId="9" borderId="4" xfId="0" applyNumberFormat="1" applyFill="1" applyBorder="1"/>
    <xf numFmtId="1" fontId="11" fillId="9" borderId="25" xfId="2" applyNumberFormat="1" applyFill="1" applyBorder="1" applyAlignment="1">
      <alignment horizontal="center" vertical="center"/>
    </xf>
    <xf numFmtId="2" fontId="0" fillId="9" borderId="5" xfId="0" applyNumberFormat="1" applyFill="1" applyBorder="1"/>
    <xf numFmtId="2" fontId="0" fillId="9" borderId="7" xfId="0" applyNumberFormat="1" applyFill="1" applyBorder="1"/>
    <xf numFmtId="0" fontId="1" fillId="0" borderId="24" xfId="0" applyFont="1" applyBorder="1" applyAlignment="1">
      <alignment horizontal="center" vertical="center" wrapText="1"/>
    </xf>
    <xf numFmtId="2" fontId="0" fillId="0" borderId="27" xfId="0" applyNumberFormat="1" applyBorder="1"/>
    <xf numFmtId="0" fontId="1" fillId="5" borderId="34" xfId="0" applyFont="1" applyFill="1" applyBorder="1" applyAlignment="1">
      <alignment horizontal="center" vertical="center" wrapText="1"/>
    </xf>
    <xf numFmtId="0" fontId="13" fillId="5" borderId="31" xfId="2" applyFont="1" applyFill="1" applyBorder="1" applyAlignment="1">
      <alignment horizontal="center" wrapText="1"/>
    </xf>
    <xf numFmtId="0" fontId="7" fillId="5" borderId="32" xfId="0" applyFont="1" applyFill="1" applyBorder="1" applyAlignment="1">
      <alignment horizontal="center"/>
    </xf>
    <xf numFmtId="0" fontId="7" fillId="5" borderId="33" xfId="0" applyFont="1" applyFill="1" applyBorder="1" applyAlignment="1">
      <alignment horizontal="center"/>
    </xf>
    <xf numFmtId="0" fontId="14" fillId="5" borderId="34" xfId="0" applyFont="1" applyFill="1" applyBorder="1" applyAlignment="1">
      <alignment horizontal="center" wrapText="1"/>
    </xf>
    <xf numFmtId="0" fontId="13" fillId="5" borderId="33" xfId="2" applyFont="1" applyFill="1" applyBorder="1" applyAlignment="1">
      <alignment horizontal="center" wrapText="1"/>
    </xf>
    <xf numFmtId="1" fontId="11" fillId="5" borderId="16" xfId="2" applyNumberFormat="1" applyFill="1" applyBorder="1" applyAlignment="1">
      <alignment horizontal="center" vertical="center"/>
    </xf>
    <xf numFmtId="2" fontId="0" fillId="5" borderId="29" xfId="0" applyNumberFormat="1" applyFill="1" applyBorder="1"/>
    <xf numFmtId="2" fontId="0" fillId="5" borderId="10" xfId="0" applyNumberFormat="1" applyFill="1" applyBorder="1"/>
    <xf numFmtId="167" fontId="11" fillId="5" borderId="8" xfId="2" applyNumberFormat="1" applyFill="1" applyBorder="1" applyAlignment="1">
      <alignment horizontal="center" vertical="center"/>
    </xf>
    <xf numFmtId="167" fontId="11" fillId="5" borderId="10" xfId="2" applyNumberFormat="1" applyFill="1" applyBorder="1" applyAlignment="1">
      <alignment horizontal="center" vertical="center"/>
    </xf>
    <xf numFmtId="1" fontId="11" fillId="5" borderId="14" xfId="2" applyNumberFormat="1" applyFill="1" applyBorder="1" applyAlignment="1">
      <alignment horizontal="center" vertical="center"/>
    </xf>
    <xf numFmtId="2" fontId="0" fillId="5" borderId="20" xfId="0" applyNumberFormat="1" applyFill="1" applyBorder="1"/>
    <xf numFmtId="2" fontId="0" fillId="5" borderId="4" xfId="0" applyNumberFormat="1" applyFill="1" applyBorder="1"/>
    <xf numFmtId="167" fontId="11" fillId="5" borderId="3" xfId="2" applyNumberFormat="1" applyFill="1" applyBorder="1" applyAlignment="1">
      <alignment horizontal="center" vertical="center"/>
    </xf>
    <xf numFmtId="167" fontId="11" fillId="5" borderId="4" xfId="2" applyNumberFormat="1" applyFill="1" applyBorder="1" applyAlignment="1">
      <alignment horizontal="center" vertical="center"/>
    </xf>
    <xf numFmtId="1" fontId="11" fillId="5" borderId="15" xfId="2" applyNumberFormat="1" applyFill="1" applyBorder="1" applyAlignment="1">
      <alignment horizontal="center" vertical="center"/>
    </xf>
    <xf numFmtId="2" fontId="0" fillId="5" borderId="26" xfId="0" applyNumberFormat="1" applyFill="1" applyBorder="1"/>
    <xf numFmtId="2" fontId="0" fillId="5" borderId="7" xfId="0" applyNumberFormat="1" applyFill="1" applyBorder="1"/>
    <xf numFmtId="167" fontId="11" fillId="5" borderId="5" xfId="2" applyNumberFormat="1" applyFill="1" applyBorder="1" applyAlignment="1">
      <alignment horizontal="center" vertical="center"/>
    </xf>
    <xf numFmtId="167" fontId="11" fillId="5" borderId="7" xfId="2" applyNumberFormat="1" applyFill="1" applyBorder="1" applyAlignment="1">
      <alignment horizontal="center" vertical="center"/>
    </xf>
    <xf numFmtId="0" fontId="1" fillId="10" borderId="37" xfId="0" applyFont="1" applyFill="1" applyBorder="1" applyAlignment="1">
      <alignment horizontal="center" vertical="center" wrapText="1"/>
    </xf>
    <xf numFmtId="0" fontId="13" fillId="10" borderId="25" xfId="2" applyFont="1" applyFill="1" applyBorder="1" applyAlignment="1">
      <alignment horizontal="center" wrapText="1"/>
    </xf>
    <xf numFmtId="0" fontId="7" fillId="10" borderId="5" xfId="0" applyFont="1" applyFill="1" applyBorder="1" applyAlignment="1">
      <alignment horizontal="center"/>
    </xf>
    <xf numFmtId="0" fontId="7" fillId="10" borderId="7" xfId="0" applyFont="1" applyFill="1" applyBorder="1" applyAlignment="1">
      <alignment horizontal="center"/>
    </xf>
    <xf numFmtId="0" fontId="14" fillId="10" borderId="26" xfId="0" applyFont="1" applyFill="1" applyBorder="1" applyAlignment="1">
      <alignment horizontal="center" wrapText="1"/>
    </xf>
    <xf numFmtId="0" fontId="13" fillId="10" borderId="7" xfId="2" applyFont="1" applyFill="1" applyBorder="1" applyAlignment="1">
      <alignment horizontal="center" wrapText="1"/>
    </xf>
    <xf numFmtId="1" fontId="11" fillId="10" borderId="8" xfId="2" applyNumberFormat="1" applyFill="1" applyBorder="1" applyAlignment="1">
      <alignment horizontal="center" vertical="center"/>
    </xf>
    <xf numFmtId="167" fontId="11" fillId="10" borderId="9" xfId="2" applyNumberFormat="1" applyFill="1" applyBorder="1" applyAlignment="1">
      <alignment horizontal="center" vertical="center"/>
    </xf>
    <xf numFmtId="167" fontId="11" fillId="10" borderId="10" xfId="2" applyNumberFormat="1" applyFill="1" applyBorder="1" applyAlignment="1">
      <alignment horizontal="center" vertical="center"/>
    </xf>
    <xf numFmtId="1" fontId="11" fillId="10" borderId="3" xfId="2" applyNumberFormat="1" applyFill="1" applyBorder="1" applyAlignment="1">
      <alignment horizontal="center" vertical="center"/>
    </xf>
    <xf numFmtId="167" fontId="11" fillId="10" borderId="1" xfId="2" applyNumberFormat="1" applyFill="1" applyBorder="1" applyAlignment="1">
      <alignment horizontal="center" vertical="center"/>
    </xf>
    <xf numFmtId="167" fontId="11" fillId="10" borderId="4" xfId="2" applyNumberFormat="1" applyFill="1" applyBorder="1" applyAlignment="1">
      <alignment horizontal="center" vertical="center"/>
    </xf>
    <xf numFmtId="1" fontId="11" fillId="10" borderId="5" xfId="2" applyNumberFormat="1" applyFill="1" applyBorder="1" applyAlignment="1">
      <alignment horizontal="center" vertical="center"/>
    </xf>
    <xf numFmtId="167" fontId="11" fillId="10" borderId="6" xfId="2" applyNumberFormat="1" applyFill="1" applyBorder="1" applyAlignment="1">
      <alignment horizontal="center" vertical="center"/>
    </xf>
    <xf numFmtId="167" fontId="11" fillId="10" borderId="7" xfId="2" applyNumberFormat="1" applyFill="1" applyBorder="1" applyAlignment="1">
      <alignment horizontal="center" vertical="center"/>
    </xf>
    <xf numFmtId="0" fontId="16" fillId="0" borderId="0" xfId="0" applyFont="1" applyAlignment="1">
      <alignment horizontal="left" vertical="center"/>
    </xf>
    <xf numFmtId="9" fontId="0" fillId="2" borderId="1" xfId="1" applyFont="1" applyFill="1" applyBorder="1"/>
    <xf numFmtId="0" fontId="0" fillId="3" borderId="1" xfId="0" applyFill="1" applyBorder="1"/>
    <xf numFmtId="0" fontId="19" fillId="0" borderId="20" xfId="0" applyFont="1" applyBorder="1"/>
    <xf numFmtId="0" fontId="1" fillId="0" borderId="36" xfId="0" applyFont="1" applyBorder="1" applyAlignment="1">
      <alignment horizontal="center" vertical="center" wrapText="1"/>
    </xf>
    <xf numFmtId="0" fontId="0" fillId="0" borderId="39" xfId="0" applyBorder="1" applyAlignment="1">
      <alignment horizontal="right"/>
    </xf>
    <xf numFmtId="0" fontId="0" fillId="0" borderId="39" xfId="0" applyBorder="1" applyAlignment="1">
      <alignment horizontal="right" vertical="center"/>
    </xf>
    <xf numFmtId="0" fontId="0" fillId="0" borderId="25" xfId="0" applyBorder="1" applyAlignment="1">
      <alignment horizontal="right" vertical="center"/>
    </xf>
    <xf numFmtId="0" fontId="0" fillId="2" borderId="3" xfId="0" applyFill="1" applyBorder="1"/>
    <xf numFmtId="0" fontId="19" fillId="0" borderId="4" xfId="0" applyFont="1" applyBorder="1"/>
    <xf numFmtId="2" fontId="0" fillId="2" borderId="3" xfId="0" applyNumberFormat="1" applyFill="1" applyBorder="1"/>
    <xf numFmtId="9" fontId="0" fillId="2" borderId="3" xfId="1" applyFont="1" applyFill="1" applyBorder="1"/>
    <xf numFmtId="0" fontId="0" fillId="2" borderId="3" xfId="1" applyNumberFormat="1" applyFont="1" applyFill="1" applyBorder="1"/>
    <xf numFmtId="0" fontId="0" fillId="3" borderId="3" xfId="0" applyFill="1" applyBorder="1"/>
    <xf numFmtId="0" fontId="0" fillId="3" borderId="5" xfId="0" applyFill="1" applyBorder="1"/>
    <xf numFmtId="0" fontId="19" fillId="0" borderId="26" xfId="0" applyFont="1" applyBorder="1"/>
    <xf numFmtId="0" fontId="19" fillId="0" borderId="7" xfId="0" applyFont="1" applyBorder="1"/>
    <xf numFmtId="0" fontId="0" fillId="0" borderId="37" xfId="0" applyBorder="1" applyAlignment="1">
      <alignment horizontal="right"/>
    </xf>
    <xf numFmtId="0" fontId="0" fillId="2" borderId="8" xfId="0" applyFill="1" applyBorder="1"/>
    <xf numFmtId="0" fontId="0" fillId="0" borderId="10" xfId="0" applyBorder="1"/>
    <xf numFmtId="0" fontId="19" fillId="0" borderId="29" xfId="0" applyFont="1" applyBorder="1"/>
    <xf numFmtId="0" fontId="19" fillId="0" borderId="10" xfId="0" applyFont="1" applyBorder="1"/>
    <xf numFmtId="0" fontId="1" fillId="0" borderId="35" xfId="0" applyFont="1" applyBorder="1" applyAlignment="1">
      <alignment horizontal="center" vertical="center"/>
    </xf>
    <xf numFmtId="0" fontId="1" fillId="0" borderId="13"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13" xfId="0" applyFont="1" applyBorder="1" applyAlignment="1">
      <alignment horizontal="center" vertical="center" wrapText="1"/>
    </xf>
    <xf numFmtId="166" fontId="19" fillId="0" borderId="20" xfId="0" applyNumberFormat="1" applyFont="1" applyBorder="1"/>
    <xf numFmtId="2" fontId="19" fillId="0" borderId="20" xfId="0" applyNumberFormat="1" applyFont="1" applyBorder="1"/>
    <xf numFmtId="171" fontId="0" fillId="2" borderId="9" xfId="0" applyNumberFormat="1" applyFill="1" applyBorder="1"/>
    <xf numFmtId="0" fontId="0" fillId="2" borderId="9" xfId="0" applyFill="1" applyBorder="1"/>
    <xf numFmtId="2" fontId="0" fillId="2" borderId="9" xfId="0" applyNumberFormat="1" applyFill="1" applyBorder="1"/>
    <xf numFmtId="0" fontId="1" fillId="0" borderId="45" xfId="0" applyFont="1" applyBorder="1" applyAlignment="1">
      <alignment horizontal="center" vertical="center" wrapText="1"/>
    </xf>
    <xf numFmtId="0" fontId="1" fillId="0" borderId="18" xfId="0" applyFont="1" applyBorder="1" applyAlignment="1">
      <alignment horizontal="center" vertical="center" wrapText="1"/>
    </xf>
    <xf numFmtId="0" fontId="17" fillId="0" borderId="0" xfId="0" applyFont="1" applyAlignment="1">
      <alignment horizontal="center" vertical="center" wrapText="1"/>
    </xf>
    <xf numFmtId="0" fontId="3" fillId="0" borderId="48" xfId="0" applyFont="1" applyBorder="1" applyAlignment="1">
      <alignment horizontal="right"/>
    </xf>
    <xf numFmtId="170" fontId="0" fillId="3" borderId="48" xfId="0" applyNumberFormat="1" applyFill="1" applyBorder="1"/>
    <xf numFmtId="0" fontId="0" fillId="0" borderId="44" xfId="0" applyBorder="1" applyAlignment="1">
      <alignment horizontal="center"/>
    </xf>
    <xf numFmtId="0" fontId="3" fillId="0" borderId="36" xfId="0" applyFont="1" applyBorder="1" applyAlignment="1">
      <alignment horizontal="right"/>
    </xf>
    <xf numFmtId="0" fontId="0" fillId="2" borderId="36" xfId="0" applyFill="1" applyBorder="1"/>
    <xf numFmtId="0" fontId="0" fillId="0" borderId="18" xfId="0" applyBorder="1" applyAlignment="1">
      <alignment horizontal="center"/>
    </xf>
    <xf numFmtId="2" fontId="0" fillId="3" borderId="22" xfId="1" applyNumberFormat="1" applyFont="1" applyFill="1" applyBorder="1"/>
    <xf numFmtId="0" fontId="20" fillId="0" borderId="0" xfId="0" applyFont="1" applyAlignment="1">
      <alignment horizontal="center" vertical="center" wrapText="1"/>
    </xf>
    <xf numFmtId="0" fontId="1" fillId="0" borderId="52" xfId="0" applyFont="1" applyBorder="1" applyAlignment="1">
      <alignment horizontal="center" vertical="center"/>
    </xf>
    <xf numFmtId="0" fontId="1" fillId="0" borderId="0" xfId="0" applyFont="1" applyAlignment="1">
      <alignment horizontal="center" vertical="center"/>
    </xf>
    <xf numFmtId="0" fontId="1" fillId="0" borderId="53" xfId="0" applyFont="1" applyBorder="1" applyAlignment="1">
      <alignment horizontal="center" vertical="center"/>
    </xf>
    <xf numFmtId="0" fontId="0" fillId="0" borderId="54" xfId="0" applyBorder="1"/>
    <xf numFmtId="0" fontId="0" fillId="0" borderId="53" xfId="0" applyBorder="1"/>
    <xf numFmtId="0" fontId="0" fillId="0" borderId="55" xfId="0" applyBorder="1"/>
    <xf numFmtId="0" fontId="8" fillId="0" borderId="53" xfId="0" applyFont="1" applyBorder="1" applyAlignment="1">
      <alignment horizontal="center" vertical="center"/>
    </xf>
    <xf numFmtId="10" fontId="8" fillId="0" borderId="0" xfId="1" applyNumberFormat="1" applyFont="1" applyBorder="1"/>
    <xf numFmtId="0" fontId="0" fillId="0" borderId="56" xfId="0" applyBorder="1"/>
    <xf numFmtId="0" fontId="0" fillId="0" borderId="57" xfId="0" applyBorder="1"/>
    <xf numFmtId="0" fontId="0" fillId="0" borderId="58" xfId="0" applyBorder="1"/>
    <xf numFmtId="0" fontId="3" fillId="0" borderId="59" xfId="0" applyFont="1" applyBorder="1" applyAlignment="1">
      <alignment horizontal="right"/>
    </xf>
    <xf numFmtId="0" fontId="0" fillId="3" borderId="59" xfId="0" applyFill="1" applyBorder="1"/>
    <xf numFmtId="0" fontId="0" fillId="0" borderId="60" xfId="0" applyBorder="1" applyAlignment="1">
      <alignment horizontal="center"/>
    </xf>
    <xf numFmtId="0" fontId="0" fillId="0" borderId="61" xfId="0" applyBorder="1"/>
    <xf numFmtId="0" fontId="0" fillId="0" borderId="62" xfId="0" applyBorder="1"/>
    <xf numFmtId="172" fontId="8" fillId="0" borderId="0" xfId="0" applyNumberFormat="1" applyFont="1"/>
    <xf numFmtId="164" fontId="8" fillId="0" borderId="0" xfId="0" applyNumberFormat="1" applyFont="1"/>
    <xf numFmtId="0" fontId="1" fillId="0" borderId="63" xfId="0" applyFont="1" applyBorder="1" applyAlignment="1">
      <alignment horizontal="center" vertical="center" wrapText="1"/>
    </xf>
    <xf numFmtId="0" fontId="1" fillId="0" borderId="64" xfId="0" applyFont="1" applyBorder="1" applyAlignment="1">
      <alignment horizontal="center" vertical="center" wrapText="1"/>
    </xf>
    <xf numFmtId="0" fontId="1" fillId="0" borderId="65" xfId="0" applyFont="1" applyBorder="1" applyAlignment="1">
      <alignment horizontal="center" vertical="center" wrapText="1"/>
    </xf>
    <xf numFmtId="2" fontId="0" fillId="3" borderId="66" xfId="0" applyNumberFormat="1" applyFill="1" applyBorder="1"/>
    <xf numFmtId="171" fontId="0" fillId="2" borderId="67" xfId="0" applyNumberFormat="1" applyFill="1" applyBorder="1"/>
    <xf numFmtId="0" fontId="0" fillId="2" borderId="67" xfId="0" applyFill="1" applyBorder="1"/>
    <xf numFmtId="2" fontId="0" fillId="2" borderId="67" xfId="0" applyNumberFormat="1" applyFill="1" applyBorder="1"/>
    <xf numFmtId="2" fontId="0" fillId="3" borderId="68" xfId="0" applyNumberFormat="1" applyFill="1" applyBorder="1"/>
    <xf numFmtId="0" fontId="1" fillId="0" borderId="23" xfId="0" applyFont="1" applyBorder="1" applyAlignment="1">
      <alignment horizontal="center" vertical="center" wrapText="1"/>
    </xf>
    <xf numFmtId="0" fontId="7" fillId="0" borderId="25" xfId="0" applyFont="1" applyBorder="1" applyAlignment="1">
      <alignment horizontal="center" vertical="center"/>
    </xf>
    <xf numFmtId="0" fontId="0" fillId="0" borderId="23" xfId="0" applyBorder="1"/>
    <xf numFmtId="0" fontId="0" fillId="0" borderId="37" xfId="0" applyBorder="1"/>
    <xf numFmtId="0" fontId="0" fillId="0" borderId="39" xfId="0" applyBorder="1"/>
    <xf numFmtId="0" fontId="0" fillId="0" borderId="25" xfId="0" applyBorder="1"/>
    <xf numFmtId="0" fontId="0" fillId="2" borderId="20" xfId="0" applyFill="1" applyBorder="1"/>
    <xf numFmtId="0" fontId="0" fillId="0" borderId="69" xfId="0" applyBorder="1"/>
    <xf numFmtId="171" fontId="0" fillId="2" borderId="71" xfId="0" applyNumberFormat="1" applyFill="1" applyBorder="1"/>
    <xf numFmtId="2" fontId="0" fillId="2" borderId="71" xfId="0" applyNumberFormat="1" applyFill="1" applyBorder="1"/>
    <xf numFmtId="2" fontId="0" fillId="3" borderId="72" xfId="0" applyNumberFormat="1" applyFill="1" applyBorder="1"/>
    <xf numFmtId="0" fontId="0" fillId="2" borderId="43" xfId="0" applyFill="1" applyBorder="1"/>
    <xf numFmtId="0" fontId="0" fillId="2" borderId="48" xfId="0" applyFill="1" applyBorder="1"/>
    <xf numFmtId="9" fontId="0" fillId="2" borderId="48" xfId="1" applyFont="1" applyFill="1" applyBorder="1"/>
    <xf numFmtId="2" fontId="0" fillId="3" borderId="73" xfId="1" applyNumberFormat="1" applyFont="1" applyFill="1" applyBorder="1"/>
    <xf numFmtId="171" fontId="0" fillId="2" borderId="74" xfId="0" applyNumberFormat="1" applyFill="1" applyBorder="1"/>
    <xf numFmtId="0" fontId="0" fillId="2" borderId="74" xfId="0" applyFill="1" applyBorder="1"/>
    <xf numFmtId="2" fontId="0" fillId="2" borderId="74" xfId="0" applyNumberFormat="1" applyFill="1" applyBorder="1"/>
    <xf numFmtId="9" fontId="0" fillId="2" borderId="74" xfId="1" applyFont="1" applyFill="1" applyBorder="1"/>
    <xf numFmtId="2" fontId="0" fillId="3" borderId="74" xfId="1" applyNumberFormat="1" applyFont="1" applyFill="1" applyBorder="1"/>
    <xf numFmtId="0" fontId="0" fillId="0" borderId="75" xfId="0" applyBorder="1"/>
    <xf numFmtId="0" fontId="0" fillId="2" borderId="64" xfId="0" applyFill="1" applyBorder="1"/>
    <xf numFmtId="171" fontId="0" fillId="2" borderId="64" xfId="0" applyNumberFormat="1" applyFill="1" applyBorder="1"/>
    <xf numFmtId="2" fontId="0" fillId="2" borderId="64" xfId="0" applyNumberFormat="1" applyFill="1" applyBorder="1"/>
    <xf numFmtId="2" fontId="0" fillId="3" borderId="65" xfId="0" applyNumberFormat="1" applyFill="1" applyBorder="1"/>
    <xf numFmtId="2" fontId="0" fillId="3" borderId="77" xfId="0" applyNumberFormat="1" applyFill="1" applyBorder="1"/>
    <xf numFmtId="0" fontId="0" fillId="0" borderId="79" xfId="0" applyBorder="1"/>
    <xf numFmtId="0" fontId="0" fillId="0" borderId="80" xfId="0" applyBorder="1"/>
    <xf numFmtId="0" fontId="0" fillId="0" borderId="81" xfId="0" applyBorder="1"/>
    <xf numFmtId="0" fontId="0" fillId="2" borderId="82" xfId="0" applyFill="1" applyBorder="1"/>
    <xf numFmtId="0" fontId="7" fillId="0" borderId="48" xfId="0" applyFont="1" applyBorder="1" applyAlignment="1">
      <alignment horizontal="center" vertical="center" wrapText="1"/>
    </xf>
    <xf numFmtId="0" fontId="7" fillId="0" borderId="83" xfId="0" applyFont="1" applyBorder="1" applyAlignment="1">
      <alignment horizontal="center" vertical="center" wrapText="1"/>
    </xf>
    <xf numFmtId="0" fontId="0" fillId="2" borderId="84" xfId="0" applyFill="1" applyBorder="1"/>
    <xf numFmtId="0" fontId="0" fillId="0" borderId="85" xfId="0" applyBorder="1"/>
    <xf numFmtId="0" fontId="0" fillId="2" borderId="86" xfId="0" applyFill="1" applyBorder="1"/>
    <xf numFmtId="9" fontId="0" fillId="2" borderId="64" xfId="1" applyFont="1" applyFill="1" applyBorder="1"/>
    <xf numFmtId="2" fontId="0" fillId="3" borderId="87" xfId="1" applyNumberFormat="1" applyFont="1" applyFill="1" applyBorder="1"/>
    <xf numFmtId="0" fontId="0" fillId="2" borderId="89" xfId="0" applyFill="1" applyBorder="1"/>
    <xf numFmtId="9" fontId="0" fillId="2" borderId="67" xfId="1" applyFont="1" applyFill="1" applyBorder="1"/>
    <xf numFmtId="2" fontId="0" fillId="3" borderId="90" xfId="1" applyNumberFormat="1" applyFont="1" applyFill="1" applyBorder="1"/>
    <xf numFmtId="0" fontId="7" fillId="0" borderId="56"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73" xfId="0" applyFont="1" applyBorder="1" applyAlignment="1">
      <alignment horizontal="center" vertical="center" wrapText="1"/>
    </xf>
    <xf numFmtId="0" fontId="7" fillId="0" borderId="44" xfId="0" applyFont="1" applyBorder="1" applyAlignment="1">
      <alignment horizontal="center" vertical="center" wrapText="1"/>
    </xf>
    <xf numFmtId="1" fontId="0" fillId="2" borderId="63" xfId="0" applyNumberFormat="1" applyFill="1" applyBorder="1"/>
    <xf numFmtId="1" fontId="0" fillId="2" borderId="54" xfId="0" applyNumberFormat="1" applyFill="1" applyBorder="1"/>
    <xf numFmtId="1" fontId="0" fillId="2" borderId="70" xfId="0" applyNumberFormat="1" applyFill="1" applyBorder="1"/>
    <xf numFmtId="1" fontId="0" fillId="2" borderId="76" xfId="0" applyNumberFormat="1" applyFill="1" applyBorder="1"/>
    <xf numFmtId="1" fontId="0" fillId="2" borderId="78" xfId="0" applyNumberFormat="1" applyFill="1" applyBorder="1"/>
    <xf numFmtId="171" fontId="0" fillId="3" borderId="65" xfId="0" applyNumberFormat="1" applyFill="1" applyBorder="1"/>
    <xf numFmtId="171" fontId="0" fillId="3" borderId="88" xfId="0" applyNumberFormat="1" applyFill="1" applyBorder="1"/>
    <xf numFmtId="171" fontId="0" fillId="3" borderId="83" xfId="0" applyNumberFormat="1" applyFill="1" applyBorder="1"/>
    <xf numFmtId="171" fontId="0" fillId="3" borderId="77" xfId="0" applyNumberFormat="1" applyFill="1" applyBorder="1"/>
    <xf numFmtId="171" fontId="0" fillId="3" borderId="68" xfId="0" applyNumberFormat="1" applyFill="1" applyBorder="1"/>
    <xf numFmtId="9" fontId="0" fillId="2" borderId="9" xfId="1" applyFont="1" applyFill="1" applyBorder="1"/>
    <xf numFmtId="9" fontId="0" fillId="2" borderId="71" xfId="1" applyFont="1" applyFill="1" applyBorder="1"/>
    <xf numFmtId="0" fontId="22" fillId="0" borderId="9" xfId="0" applyFont="1" applyBorder="1" applyAlignment="1">
      <alignment horizontal="right"/>
    </xf>
    <xf numFmtId="0" fontId="22" fillId="0" borderId="1" xfId="0" applyFont="1" applyBorder="1" applyAlignment="1">
      <alignment horizontal="right"/>
    </xf>
    <xf numFmtId="0" fontId="24" fillId="0" borderId="1" xfId="0" applyFont="1" applyBorder="1" applyAlignment="1">
      <alignment horizontal="right"/>
    </xf>
    <xf numFmtId="0" fontId="22" fillId="2" borderId="1" xfId="0" applyFont="1" applyFill="1" applyBorder="1"/>
    <xf numFmtId="0" fontId="17" fillId="0" borderId="0" xfId="0" applyFont="1"/>
    <xf numFmtId="0" fontId="0" fillId="0" borderId="27" xfId="0" applyBorder="1"/>
    <xf numFmtId="0" fontId="0" fillId="6" borderId="1" xfId="0" applyFill="1" applyBorder="1"/>
    <xf numFmtId="0" fontId="1" fillId="12" borderId="46" xfId="0" applyFont="1" applyFill="1" applyBorder="1" applyAlignment="1">
      <alignment horizontal="center" vertical="center" wrapText="1"/>
    </xf>
    <xf numFmtId="0" fontId="7" fillId="12" borderId="109" xfId="0" applyFont="1" applyFill="1" applyBorder="1" applyAlignment="1">
      <alignment horizontal="center" vertical="center"/>
    </xf>
    <xf numFmtId="0" fontId="7" fillId="12" borderId="5" xfId="0" applyFont="1" applyFill="1" applyBorder="1" applyAlignment="1">
      <alignment horizontal="center" vertical="center"/>
    </xf>
    <xf numFmtId="0" fontId="7" fillId="12" borderId="7" xfId="0" applyFont="1" applyFill="1" applyBorder="1" applyAlignment="1">
      <alignment horizontal="center" vertical="center"/>
    </xf>
    <xf numFmtId="0" fontId="7" fillId="12" borderId="26" xfId="0" applyFont="1" applyFill="1" applyBorder="1" applyAlignment="1">
      <alignment horizontal="center" vertical="center"/>
    </xf>
    <xf numFmtId="0" fontId="0" fillId="12" borderId="46" xfId="0" applyFill="1" applyBorder="1"/>
    <xf numFmtId="167" fontId="0" fillId="12" borderId="24" xfId="0" applyNumberFormat="1" applyFill="1" applyBorder="1"/>
    <xf numFmtId="0" fontId="0" fillId="12" borderId="21" xfId="0" applyFill="1" applyBorder="1"/>
    <xf numFmtId="167" fontId="0" fillId="12" borderId="20" xfId="0" applyNumberFormat="1" applyFill="1" applyBorder="1"/>
    <xf numFmtId="0" fontId="0" fillId="12" borderId="109" xfId="0" applyFill="1" applyBorder="1"/>
    <xf numFmtId="167" fontId="0" fillId="12" borderId="26" xfId="0" applyNumberFormat="1" applyFill="1" applyBorder="1"/>
    <xf numFmtId="0" fontId="1" fillId="13" borderId="19"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3" fillId="13" borderId="5" xfId="2" applyFont="1" applyFill="1" applyBorder="1" applyAlignment="1">
      <alignment horizontal="center" wrapText="1"/>
    </xf>
    <xf numFmtId="0" fontId="13" fillId="13" borderId="7" xfId="2" applyFont="1" applyFill="1" applyBorder="1" applyAlignment="1">
      <alignment horizontal="center" wrapText="1"/>
    </xf>
    <xf numFmtId="0" fontId="7" fillId="13" borderId="26" xfId="0" applyFont="1" applyFill="1" applyBorder="1" applyAlignment="1">
      <alignment horizontal="center"/>
    </xf>
    <xf numFmtId="0" fontId="14" fillId="13" borderId="5" xfId="0" applyFont="1" applyFill="1" applyBorder="1" applyAlignment="1">
      <alignment horizontal="center" wrapText="1"/>
    </xf>
    <xf numFmtId="0" fontId="13" fillId="13" borderId="6" xfId="2" applyFont="1" applyFill="1" applyBorder="1" applyAlignment="1">
      <alignment horizontal="center" wrapText="1"/>
    </xf>
    <xf numFmtId="168" fontId="11" fillId="13" borderId="19" xfId="2" applyNumberFormat="1" applyFill="1" applyBorder="1" applyAlignment="1">
      <alignment horizontal="center" vertical="center"/>
    </xf>
    <xf numFmtId="168" fontId="11" fillId="13" borderId="18" xfId="2" applyNumberFormat="1" applyFill="1" applyBorder="1" applyAlignment="1">
      <alignment horizontal="center" vertical="center"/>
    </xf>
    <xf numFmtId="167" fontId="11" fillId="13" borderId="24" xfId="2" applyNumberFormat="1" applyFill="1" applyBorder="1" applyAlignment="1">
      <alignment horizontal="center" vertical="center"/>
    </xf>
    <xf numFmtId="0" fontId="0" fillId="13" borderId="24" xfId="0" applyFill="1" applyBorder="1"/>
    <xf numFmtId="167" fontId="0" fillId="13" borderId="36" xfId="0" applyNumberFormat="1" applyFill="1" applyBorder="1"/>
    <xf numFmtId="168" fontId="11" fillId="13" borderId="3" xfId="2" applyNumberFormat="1" applyFill="1" applyBorder="1" applyAlignment="1">
      <alignment horizontal="center" vertical="center"/>
    </xf>
    <xf numFmtId="168" fontId="11" fillId="13" borderId="4" xfId="2" applyNumberFormat="1" applyFill="1" applyBorder="1" applyAlignment="1">
      <alignment horizontal="center" vertical="center"/>
    </xf>
    <xf numFmtId="167" fontId="11" fillId="13" borderId="20" xfId="2" applyNumberFormat="1" applyFill="1" applyBorder="1" applyAlignment="1">
      <alignment horizontal="center" vertical="center"/>
    </xf>
    <xf numFmtId="0" fontId="0" fillId="13" borderId="20" xfId="0" applyFill="1" applyBorder="1"/>
    <xf numFmtId="167" fontId="0" fillId="13" borderId="1" xfId="0" applyNumberFormat="1" applyFill="1" applyBorder="1"/>
    <xf numFmtId="168" fontId="11" fillId="13" borderId="5" xfId="2" applyNumberFormat="1" applyFill="1" applyBorder="1" applyAlignment="1">
      <alignment horizontal="center" vertical="center"/>
    </xf>
    <xf numFmtId="168" fontId="11" fillId="13" borderId="7" xfId="2" applyNumberFormat="1" applyFill="1" applyBorder="1" applyAlignment="1">
      <alignment horizontal="center" vertical="center"/>
    </xf>
    <xf numFmtId="167" fontId="11" fillId="13" borderId="26" xfId="2" applyNumberFormat="1" applyFill="1" applyBorder="1" applyAlignment="1">
      <alignment horizontal="center" vertical="center"/>
    </xf>
    <xf numFmtId="0" fontId="0" fillId="13" borderId="26" xfId="0" applyFill="1" applyBorder="1"/>
    <xf numFmtId="167" fontId="0" fillId="13" borderId="6" xfId="0" applyNumberFormat="1" applyFill="1" applyBorder="1"/>
    <xf numFmtId="0" fontId="7" fillId="14" borderId="7" xfId="0" applyFont="1" applyFill="1" applyBorder="1" applyAlignment="1">
      <alignment horizontal="center"/>
    </xf>
    <xf numFmtId="167" fontId="11" fillId="14" borderId="18" xfId="2" applyNumberFormat="1" applyFill="1" applyBorder="1" applyAlignment="1">
      <alignment horizontal="center" vertical="center"/>
    </xf>
    <xf numFmtId="167" fontId="11" fillId="14" borderId="4" xfId="2" applyNumberFormat="1" applyFill="1" applyBorder="1" applyAlignment="1">
      <alignment horizontal="center" vertical="center"/>
    </xf>
    <xf numFmtId="168" fontId="11" fillId="13" borderId="8" xfId="2" applyNumberFormat="1" applyFill="1" applyBorder="1" applyAlignment="1">
      <alignment horizontal="center" vertical="center"/>
    </xf>
    <xf numFmtId="168" fontId="11" fillId="13" borderId="10" xfId="2" applyNumberFormat="1" applyFill="1" applyBorder="1" applyAlignment="1">
      <alignment horizontal="center" vertical="center"/>
    </xf>
    <xf numFmtId="167" fontId="11" fillId="13" borderId="29" xfId="2" applyNumberFormat="1" applyFill="1" applyBorder="1" applyAlignment="1">
      <alignment horizontal="center" vertical="center"/>
    </xf>
    <xf numFmtId="167" fontId="11" fillId="14" borderId="10" xfId="2" applyNumberFormat="1" applyFill="1" applyBorder="1" applyAlignment="1">
      <alignment horizontal="center" vertical="center"/>
    </xf>
    <xf numFmtId="0" fontId="0" fillId="13" borderId="29" xfId="0" applyFill="1" applyBorder="1"/>
    <xf numFmtId="167" fontId="0" fillId="13" borderId="9" xfId="0" applyNumberFormat="1" applyFill="1" applyBorder="1"/>
    <xf numFmtId="0" fontId="0" fillId="12" borderId="100" xfId="0" applyFill="1" applyBorder="1"/>
    <xf numFmtId="167" fontId="0" fillId="12" borderId="29" xfId="0" applyNumberFormat="1" applyFill="1" applyBorder="1"/>
    <xf numFmtId="166" fontId="0" fillId="12" borderId="19" xfId="0" applyNumberFormat="1" applyFill="1" applyBorder="1"/>
    <xf numFmtId="166" fontId="0" fillId="12" borderId="18" xfId="0" applyNumberFormat="1" applyFill="1" applyBorder="1"/>
    <xf numFmtId="166" fontId="0" fillId="12" borderId="8" xfId="0" applyNumberFormat="1" applyFill="1" applyBorder="1"/>
    <xf numFmtId="166" fontId="0" fillId="12" borderId="10" xfId="0" applyNumberFormat="1" applyFill="1" applyBorder="1"/>
    <xf numFmtId="166" fontId="0" fillId="12" borderId="3" xfId="0" applyNumberFormat="1" applyFill="1" applyBorder="1"/>
    <xf numFmtId="166" fontId="0" fillId="12" borderId="4" xfId="0" applyNumberFormat="1" applyFill="1" applyBorder="1"/>
    <xf numFmtId="0" fontId="29" fillId="2" borderId="17" xfId="0" applyFont="1" applyFill="1" applyBorder="1" applyAlignment="1">
      <alignment horizontal="center" vertical="center" wrapText="1"/>
    </xf>
    <xf numFmtId="0" fontId="30" fillId="2" borderId="105" xfId="0" applyFont="1" applyFill="1" applyBorder="1" applyAlignment="1">
      <alignment horizontal="center" vertical="center" wrapText="1"/>
    </xf>
    <xf numFmtId="0" fontId="29" fillId="0" borderId="0" xfId="0" applyFont="1" applyAlignment="1">
      <alignment horizontal="center" vertical="center" wrapText="1"/>
    </xf>
    <xf numFmtId="0" fontId="29" fillId="7" borderId="19" xfId="0" applyFont="1" applyFill="1" applyBorder="1" applyAlignment="1">
      <alignment horizontal="center" vertical="center" wrapText="1"/>
    </xf>
    <xf numFmtId="0" fontId="29" fillId="7" borderId="18" xfId="0" applyFont="1" applyFill="1" applyBorder="1" applyAlignment="1">
      <alignment horizontal="center" vertical="center" wrapText="1"/>
    </xf>
    <xf numFmtId="0" fontId="31" fillId="2" borderId="15" xfId="2" applyFont="1" applyFill="1" applyBorder="1" applyAlignment="1">
      <alignment horizontal="center" wrapText="1"/>
    </xf>
    <xf numFmtId="0" fontId="32" fillId="2" borderId="26" xfId="0" applyFont="1" applyFill="1" applyBorder="1" applyAlignment="1">
      <alignment horizontal="center"/>
    </xf>
    <xf numFmtId="0" fontId="32" fillId="2" borderId="7" xfId="0" applyFont="1" applyFill="1" applyBorder="1" applyAlignment="1">
      <alignment horizontal="center"/>
    </xf>
    <xf numFmtId="0" fontId="31" fillId="2" borderId="43" xfId="0" applyFont="1" applyFill="1" applyBorder="1" applyAlignment="1">
      <alignment horizontal="center" wrapText="1"/>
    </xf>
    <xf numFmtId="0" fontId="31" fillId="2" borderId="104" xfId="0" applyFont="1" applyFill="1" applyBorder="1" applyAlignment="1">
      <alignment horizontal="center" wrapText="1"/>
    </xf>
    <xf numFmtId="0" fontId="31" fillId="2" borderId="73" xfId="2" applyFont="1" applyFill="1" applyBorder="1" applyAlignment="1">
      <alignment horizontal="center" wrapText="1"/>
    </xf>
    <xf numFmtId="0" fontId="31" fillId="2" borderId="108" xfId="2" applyFont="1" applyFill="1" applyBorder="1" applyAlignment="1">
      <alignment horizontal="center" wrapText="1"/>
    </xf>
    <xf numFmtId="0" fontId="31" fillId="0" borderId="0" xfId="2" applyFont="1" applyAlignment="1">
      <alignment horizontal="center" wrapText="1"/>
    </xf>
    <xf numFmtId="0" fontId="31" fillId="7" borderId="3" xfId="2" applyFont="1" applyFill="1" applyBorder="1" applyAlignment="1">
      <alignment horizontal="center" wrapText="1"/>
    </xf>
    <xf numFmtId="0" fontId="31" fillId="7" borderId="4" xfId="2" applyFont="1" applyFill="1" applyBorder="1" applyAlignment="1">
      <alignment horizontal="center" wrapText="1"/>
    </xf>
    <xf numFmtId="0" fontId="32" fillId="7" borderId="43" xfId="0" applyFont="1" applyFill="1" applyBorder="1" applyAlignment="1">
      <alignment horizontal="center"/>
    </xf>
    <xf numFmtId="0" fontId="32" fillId="7" borderId="44" xfId="0" applyFont="1" applyFill="1" applyBorder="1" applyAlignment="1">
      <alignment horizontal="center"/>
    </xf>
    <xf numFmtId="0" fontId="31" fillId="7" borderId="43" xfId="0" applyFont="1" applyFill="1" applyBorder="1" applyAlignment="1">
      <alignment horizontal="center" wrapText="1"/>
    </xf>
    <xf numFmtId="0" fontId="31" fillId="7" borderId="44" xfId="2" applyFont="1" applyFill="1" applyBorder="1" applyAlignment="1">
      <alignment horizontal="center" wrapText="1"/>
    </xf>
    <xf numFmtId="168" fontId="33" fillId="2" borderId="16" xfId="2" applyNumberFormat="1" applyFont="1" applyFill="1" applyBorder="1" applyAlignment="1">
      <alignment horizontal="center" vertical="center"/>
    </xf>
    <xf numFmtId="2" fontId="34" fillId="2" borderId="8" xfId="0" applyNumberFormat="1" applyFont="1" applyFill="1" applyBorder="1"/>
    <xf numFmtId="2" fontId="34" fillId="2" borderId="102" xfId="0" applyNumberFormat="1" applyFont="1" applyFill="1" applyBorder="1"/>
    <xf numFmtId="167" fontId="33" fillId="2" borderId="63" xfId="2" applyNumberFormat="1" applyFont="1" applyFill="1" applyBorder="1" applyAlignment="1">
      <alignment horizontal="center" vertical="center"/>
    </xf>
    <xf numFmtId="167" fontId="33" fillId="2" borderId="101" xfId="2" applyNumberFormat="1" applyFont="1" applyFill="1" applyBorder="1" applyAlignment="1">
      <alignment horizontal="center" vertical="center"/>
    </xf>
    <xf numFmtId="167" fontId="33" fillId="2" borderId="87" xfId="2" applyNumberFormat="1" applyFont="1" applyFill="1" applyBorder="1" applyAlignment="1">
      <alignment horizontal="center" vertical="center"/>
    </xf>
    <xf numFmtId="173" fontId="33" fillId="2" borderId="105" xfId="2" applyNumberFormat="1" applyFont="1" applyFill="1" applyBorder="1" applyAlignment="1">
      <alignment horizontal="center" vertical="center"/>
    </xf>
    <xf numFmtId="167" fontId="33" fillId="0" borderId="0" xfId="2" applyNumberFormat="1" applyFont="1" applyAlignment="1">
      <alignment horizontal="center" vertical="center"/>
    </xf>
    <xf numFmtId="168" fontId="33" fillId="7" borderId="3" xfId="2" applyNumberFormat="1" applyFont="1" applyFill="1" applyBorder="1" applyAlignment="1">
      <alignment horizontal="center" vertical="center"/>
    </xf>
    <xf numFmtId="168" fontId="33" fillId="7" borderId="4" xfId="2" applyNumberFormat="1" applyFont="1" applyFill="1" applyBorder="1" applyAlignment="1">
      <alignment horizontal="center" vertical="center"/>
    </xf>
    <xf numFmtId="167" fontId="33" fillId="7" borderId="24" xfId="2" applyNumberFormat="1" applyFont="1" applyFill="1" applyBorder="1" applyAlignment="1">
      <alignment horizontal="center" vertical="center"/>
    </xf>
    <xf numFmtId="167" fontId="33" fillId="7" borderId="18" xfId="2" applyNumberFormat="1" applyFont="1" applyFill="1" applyBorder="1" applyAlignment="1">
      <alignment horizontal="center" vertical="center"/>
    </xf>
    <xf numFmtId="0" fontId="34" fillId="7" borderId="24" xfId="0" applyFont="1" applyFill="1" applyBorder="1"/>
    <xf numFmtId="167" fontId="34" fillId="7" borderId="18" xfId="0" applyNumberFormat="1" applyFont="1" applyFill="1" applyBorder="1"/>
    <xf numFmtId="168" fontId="33" fillId="2" borderId="14" xfId="2" applyNumberFormat="1" applyFont="1" applyFill="1" applyBorder="1" applyAlignment="1">
      <alignment horizontal="center" vertical="center"/>
    </xf>
    <xf numFmtId="167" fontId="33" fillId="2" borderId="54" xfId="2" applyNumberFormat="1" applyFont="1" applyFill="1" applyBorder="1" applyAlignment="1">
      <alignment horizontal="center" vertical="center"/>
    </xf>
    <xf numFmtId="167" fontId="33" fillId="2" borderId="100" xfId="2" applyNumberFormat="1" applyFont="1" applyFill="1" applyBorder="1" applyAlignment="1">
      <alignment horizontal="center" vertical="center"/>
    </xf>
    <xf numFmtId="167" fontId="33" fillId="2" borderId="102" xfId="2" applyNumberFormat="1" applyFont="1" applyFill="1" applyBorder="1" applyAlignment="1">
      <alignment horizontal="center" vertical="center"/>
    </xf>
    <xf numFmtId="173" fontId="33" fillId="2" borderId="106" xfId="2" applyNumberFormat="1" applyFont="1" applyFill="1" applyBorder="1" applyAlignment="1">
      <alignment horizontal="center" vertical="center"/>
    </xf>
    <xf numFmtId="167" fontId="33" fillId="7" borderId="20" xfId="2" applyNumberFormat="1" applyFont="1" applyFill="1" applyBorder="1" applyAlignment="1">
      <alignment horizontal="center" vertical="center"/>
    </xf>
    <xf numFmtId="167" fontId="33" fillId="7" borderId="4" xfId="2" applyNumberFormat="1" applyFont="1" applyFill="1" applyBorder="1" applyAlignment="1">
      <alignment horizontal="center" vertical="center"/>
    </xf>
    <xf numFmtId="0" fontId="34" fillId="7" borderId="20" xfId="0" applyFont="1" applyFill="1" applyBorder="1"/>
    <xf numFmtId="167" fontId="34" fillId="7" borderId="4" xfId="0" applyNumberFormat="1" applyFont="1" applyFill="1" applyBorder="1"/>
    <xf numFmtId="168" fontId="33" fillId="2" borderId="31" xfId="2" applyNumberFormat="1" applyFont="1" applyFill="1" applyBorder="1" applyAlignment="1">
      <alignment horizontal="center" vertical="center"/>
    </xf>
    <xf numFmtId="2" fontId="34" fillId="2" borderId="34" xfId="0" applyNumberFormat="1" applyFont="1" applyFill="1" applyBorder="1"/>
    <xf numFmtId="2" fontId="34" fillId="2" borderId="103" xfId="0" applyNumberFormat="1" applyFont="1" applyFill="1" applyBorder="1"/>
    <xf numFmtId="167" fontId="33" fillId="2" borderId="78" xfId="2" applyNumberFormat="1" applyFont="1" applyFill="1" applyBorder="1" applyAlignment="1">
      <alignment horizontal="center" vertical="center"/>
    </xf>
    <xf numFmtId="167" fontId="33" fillId="2" borderId="61" xfId="2" applyNumberFormat="1" applyFont="1" applyFill="1" applyBorder="1" applyAlignment="1">
      <alignment horizontal="center" vertical="center"/>
    </xf>
    <xf numFmtId="167" fontId="33" fillId="2" borderId="90" xfId="2" applyNumberFormat="1" applyFont="1" applyFill="1" applyBorder="1" applyAlignment="1">
      <alignment horizontal="center" vertical="center"/>
    </xf>
    <xf numFmtId="173" fontId="33" fillId="2" borderId="107" xfId="2" applyNumberFormat="1" applyFont="1" applyFill="1" applyBorder="1" applyAlignment="1">
      <alignment horizontal="center" vertical="center"/>
    </xf>
    <xf numFmtId="167" fontId="33" fillId="0" borderId="27" xfId="2" applyNumberFormat="1" applyFont="1" applyBorder="1" applyAlignment="1">
      <alignment horizontal="center" vertical="center"/>
    </xf>
    <xf numFmtId="168" fontId="33" fillId="7" borderId="5" xfId="2" applyNumberFormat="1" applyFont="1" applyFill="1" applyBorder="1" applyAlignment="1">
      <alignment horizontal="center" vertical="center"/>
    </xf>
    <xf numFmtId="168" fontId="33" fillId="7" borderId="7" xfId="2" applyNumberFormat="1" applyFont="1" applyFill="1" applyBorder="1" applyAlignment="1">
      <alignment horizontal="center" vertical="center"/>
    </xf>
    <xf numFmtId="167" fontId="33" fillId="7" borderId="26" xfId="2" applyNumberFormat="1" applyFont="1" applyFill="1" applyBorder="1" applyAlignment="1">
      <alignment horizontal="center" vertical="center"/>
    </xf>
    <xf numFmtId="167" fontId="33" fillId="7" borderId="7" xfId="2" applyNumberFormat="1" applyFont="1" applyFill="1" applyBorder="1" applyAlignment="1">
      <alignment horizontal="center" vertical="center"/>
    </xf>
    <xf numFmtId="0" fontId="34" fillId="7" borderId="26" xfId="0" applyFont="1" applyFill="1" applyBorder="1"/>
    <xf numFmtId="167" fontId="34" fillId="7" borderId="7" xfId="0" applyNumberFormat="1" applyFont="1" applyFill="1" applyBorder="1"/>
    <xf numFmtId="2" fontId="35" fillId="0" borderId="92" xfId="0" applyNumberFormat="1" applyFont="1" applyBorder="1"/>
    <xf numFmtId="0" fontId="35" fillId="0" borderId="93" xfId="0" applyFont="1" applyBorder="1"/>
    <xf numFmtId="0" fontId="35" fillId="0" borderId="74" xfId="0" applyFont="1" applyBorder="1"/>
    <xf numFmtId="0" fontId="35" fillId="0" borderId="77" xfId="0" applyFont="1" applyBorder="1"/>
    <xf numFmtId="2" fontId="35" fillId="0" borderId="97" xfId="0" applyNumberFormat="1" applyFont="1" applyBorder="1"/>
    <xf numFmtId="0" fontId="35" fillId="0" borderId="99" xfId="0" applyFont="1" applyBorder="1"/>
    <xf numFmtId="1" fontId="35" fillId="0" borderId="74" xfId="0" applyNumberFormat="1" applyFont="1" applyBorder="1"/>
    <xf numFmtId="167" fontId="35" fillId="0" borderId="95" xfId="0" applyNumberFormat="1" applyFont="1" applyBorder="1"/>
    <xf numFmtId="0" fontId="35" fillId="0" borderId="96" xfId="0" applyFont="1" applyBorder="1"/>
    <xf numFmtId="0" fontId="17" fillId="0" borderId="1" xfId="0" applyFont="1" applyBorder="1"/>
    <xf numFmtId="2" fontId="17" fillId="0" borderId="36" xfId="0" applyNumberFormat="1" applyFont="1" applyBorder="1"/>
    <xf numFmtId="0" fontId="17" fillId="0" borderId="18" xfId="0" applyFont="1" applyBorder="1"/>
    <xf numFmtId="0" fontId="17" fillId="0" borderId="4" xfId="0" applyFont="1" applyBorder="1"/>
    <xf numFmtId="2" fontId="17" fillId="0" borderId="6" xfId="0" applyNumberFormat="1" applyFont="1" applyBorder="1"/>
    <xf numFmtId="0" fontId="17" fillId="0" borderId="7" xfId="0" applyFont="1" applyBorder="1"/>
    <xf numFmtId="0" fontId="17" fillId="0" borderId="45" xfId="0" applyFont="1" applyBorder="1"/>
    <xf numFmtId="0" fontId="17" fillId="0" borderId="22" xfId="0" applyFont="1" applyBorder="1"/>
    <xf numFmtId="0" fontId="17" fillId="0" borderId="110" xfId="0" applyFont="1" applyBorder="1"/>
    <xf numFmtId="1" fontId="17" fillId="0" borderId="1" xfId="0" applyNumberFormat="1" applyFont="1" applyBorder="1"/>
    <xf numFmtId="167" fontId="17" fillId="0" borderId="6" xfId="0" applyNumberFormat="1" applyFont="1" applyBorder="1"/>
    <xf numFmtId="167" fontId="11" fillId="14" borderId="7" xfId="2" applyNumberFormat="1" applyFill="1" applyBorder="1" applyAlignment="1">
      <alignment horizontal="center" vertical="center"/>
    </xf>
    <xf numFmtId="166" fontId="0" fillId="12" borderId="5" xfId="0" applyNumberFormat="1" applyFill="1" applyBorder="1"/>
    <xf numFmtId="166" fontId="0" fillId="12" borderId="7" xfId="0" applyNumberFormat="1" applyFill="1" applyBorder="1"/>
    <xf numFmtId="0" fontId="0" fillId="0" borderId="1" xfId="0" applyBorder="1" applyAlignment="1">
      <alignment horizontal="center"/>
    </xf>
    <xf numFmtId="0" fontId="0" fillId="11" borderId="0" xfId="0" applyFill="1" applyAlignment="1">
      <alignment horizontal="left" vertical="top" wrapText="1"/>
    </xf>
    <xf numFmtId="0" fontId="17" fillId="0" borderId="0" xfId="0" applyFont="1" applyAlignment="1">
      <alignment horizontal="center" vertical="center" wrapText="1"/>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6" borderId="0" xfId="0" applyFill="1" applyAlignment="1">
      <alignment horizontal="center" vertical="center" wrapText="1"/>
    </xf>
    <xf numFmtId="0" fontId="15" fillId="0" borderId="35" xfId="0" applyFont="1" applyBorder="1" applyAlignment="1">
      <alignment horizontal="center"/>
    </xf>
    <xf numFmtId="0" fontId="15" fillId="0" borderId="30" xfId="0" applyFont="1" applyBorder="1" applyAlignment="1">
      <alignment horizontal="center"/>
    </xf>
    <xf numFmtId="0" fontId="15" fillId="0" borderId="38" xfId="0" applyFont="1" applyBorder="1" applyAlignment="1">
      <alignment horizontal="center"/>
    </xf>
    <xf numFmtId="0" fontId="15" fillId="0" borderId="40" xfId="0" applyFont="1" applyBorder="1" applyAlignment="1">
      <alignment horizontal="center"/>
    </xf>
    <xf numFmtId="0" fontId="15" fillId="0" borderId="42" xfId="0" applyFont="1" applyBorder="1" applyAlignment="1">
      <alignment horizontal="center"/>
    </xf>
    <xf numFmtId="0" fontId="15" fillId="0" borderId="47" xfId="0" applyFont="1" applyBorder="1" applyAlignment="1">
      <alignment horizontal="center"/>
    </xf>
    <xf numFmtId="0" fontId="29" fillId="2" borderId="24"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7" borderId="46" xfId="0" applyFont="1" applyFill="1" applyBorder="1" applyAlignment="1">
      <alignment horizontal="center" vertical="center" wrapText="1"/>
    </xf>
    <xf numFmtId="0" fontId="29" fillId="7" borderId="41" xfId="0" applyFont="1" applyFill="1" applyBorder="1" applyAlignment="1">
      <alignment horizontal="center" vertical="center" wrapText="1"/>
    </xf>
    <xf numFmtId="0" fontId="28" fillId="0" borderId="40" xfId="0" applyFont="1" applyBorder="1" applyAlignment="1">
      <alignment horizontal="center" wrapText="1"/>
    </xf>
    <xf numFmtId="0" fontId="28" fillId="0" borderId="42" xfId="0" applyFont="1" applyBorder="1" applyAlignment="1">
      <alignment horizontal="center" wrapText="1"/>
    </xf>
    <xf numFmtId="0" fontId="28" fillId="0" borderId="47" xfId="0" applyFont="1" applyBorder="1" applyAlignment="1">
      <alignment horizontal="center" wrapText="1"/>
    </xf>
    <xf numFmtId="0" fontId="1" fillId="5" borderId="8"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8" borderId="30" xfId="0" applyFont="1" applyFill="1" applyBorder="1" applyAlignment="1">
      <alignment horizontal="center" wrapText="1"/>
    </xf>
    <xf numFmtId="0" fontId="1" fillId="8" borderId="38" xfId="0" applyFont="1" applyFill="1" applyBorder="1" applyAlignment="1">
      <alignment horizontal="center"/>
    </xf>
    <xf numFmtId="0" fontId="29" fillId="2" borderId="46" xfId="0" applyFont="1" applyFill="1" applyBorder="1" applyAlignment="1">
      <alignment horizontal="center" vertical="center" wrapText="1"/>
    </xf>
    <xf numFmtId="0" fontId="29" fillId="2" borderId="45"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29" xfId="0" applyFont="1" applyFill="1" applyBorder="1" applyAlignment="1">
      <alignment horizontal="center" vertical="center" wrapText="1"/>
    </xf>
    <xf numFmtId="0" fontId="1" fillId="9" borderId="19" xfId="0" applyFont="1" applyFill="1" applyBorder="1" applyAlignment="1">
      <alignment horizontal="center" wrapText="1"/>
    </xf>
    <xf numFmtId="0" fontId="1" fillId="9" borderId="18" xfId="0" applyFont="1" applyFill="1" applyBorder="1" applyAlignment="1">
      <alignment horizontal="center"/>
    </xf>
    <xf numFmtId="0" fontId="26" fillId="0" borderId="35" xfId="0" applyFont="1" applyBorder="1" applyAlignment="1">
      <alignment horizontal="center"/>
    </xf>
    <xf numFmtId="0" fontId="26" fillId="0" borderId="30" xfId="0" applyFont="1" applyBorder="1" applyAlignment="1">
      <alignment horizontal="center"/>
    </xf>
    <xf numFmtId="0" fontId="26" fillId="0" borderId="38" xfId="0" applyFont="1" applyBorder="1" applyAlignment="1">
      <alignment horizontal="center"/>
    </xf>
    <xf numFmtId="0" fontId="29" fillId="7" borderId="23" xfId="0" applyFont="1" applyFill="1" applyBorder="1" applyAlignment="1">
      <alignment horizontal="center" vertical="center" wrapText="1"/>
    </xf>
    <xf numFmtId="0" fontId="1" fillId="13" borderId="46" xfId="0" applyFont="1" applyFill="1" applyBorder="1" applyAlignment="1">
      <alignment horizontal="center" vertical="center" wrapText="1"/>
    </xf>
    <xf numFmtId="0" fontId="1" fillId="13" borderId="41" xfId="0" applyFont="1" applyFill="1" applyBorder="1" applyAlignment="1">
      <alignment horizontal="center" vertical="center" wrapText="1"/>
    </xf>
    <xf numFmtId="0" fontId="1" fillId="12" borderId="19"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12" borderId="24" xfId="0" applyFont="1" applyFill="1" applyBorder="1" applyAlignment="1">
      <alignment horizontal="center" vertical="center" wrapText="1"/>
    </xf>
    <xf numFmtId="0" fontId="1" fillId="13" borderId="23" xfId="0" applyFont="1" applyFill="1" applyBorder="1" applyAlignment="1">
      <alignment horizontal="center" vertical="center" wrapText="1"/>
    </xf>
    <xf numFmtId="0" fontId="35" fillId="0" borderId="94" xfId="0" applyFont="1" applyBorder="1" applyAlignment="1">
      <alignment horizontal="center" vertical="center"/>
    </xf>
    <xf numFmtId="0" fontId="35" fillId="0" borderId="95" xfId="0" applyFont="1" applyBorder="1" applyAlignment="1">
      <alignment horizontal="center" vertical="center"/>
    </xf>
    <xf numFmtId="0" fontId="17" fillId="0" borderId="19" xfId="0" applyFont="1" applyBorder="1" applyAlignment="1">
      <alignment horizontal="center" vertical="center"/>
    </xf>
    <xf numFmtId="0" fontId="17" fillId="0" borderId="36" xfId="0" applyFont="1" applyBorder="1" applyAlignment="1">
      <alignment horizontal="center" vertical="center"/>
    </xf>
    <xf numFmtId="0" fontId="17" fillId="0" borderId="3" xfId="0" applyFont="1" applyBorder="1" applyAlignment="1">
      <alignment horizontal="center" vertical="center"/>
    </xf>
    <xf numFmtId="0" fontId="17" fillId="0" borderId="1" xfId="0" applyFont="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35" fillId="0" borderId="76" xfId="0" applyFont="1" applyBorder="1" applyAlignment="1">
      <alignment horizontal="center" vertical="center"/>
    </xf>
    <xf numFmtId="0" fontId="35" fillId="0" borderId="74" xfId="0" applyFont="1" applyBorder="1" applyAlignment="1">
      <alignment horizontal="center" vertical="center"/>
    </xf>
    <xf numFmtId="0" fontId="35" fillId="0" borderId="91" xfId="0" applyFont="1" applyBorder="1" applyAlignment="1">
      <alignment horizontal="center" vertical="center"/>
    </xf>
    <xf numFmtId="0" fontId="35" fillId="0" borderId="92" xfId="0" applyFont="1" applyBorder="1" applyAlignment="1">
      <alignment horizontal="center" vertical="center"/>
    </xf>
    <xf numFmtId="0" fontId="35" fillId="0" borderId="98" xfId="0" applyFont="1" applyBorder="1" applyAlignment="1">
      <alignment horizontal="center" vertical="center"/>
    </xf>
    <xf numFmtId="0" fontId="35" fillId="0" borderId="97" xfId="0" applyFont="1" applyBorder="1" applyAlignment="1">
      <alignment horizontal="center" vertical="center"/>
    </xf>
    <xf numFmtId="0" fontId="21" fillId="0" borderId="0" xfId="0" applyFont="1" applyAlignment="1">
      <alignment vertical="top" wrapText="1"/>
    </xf>
    <xf numFmtId="171" fontId="0" fillId="0" borderId="9" xfId="0" applyNumberFormat="1" applyFill="1" applyBorder="1"/>
    <xf numFmtId="171" fontId="0" fillId="0" borderId="71" xfId="0" applyNumberFormat="1" applyFill="1" applyBorder="1"/>
    <xf numFmtId="171" fontId="0" fillId="0" borderId="74" xfId="0" applyNumberFormat="1" applyFill="1" applyBorder="1"/>
    <xf numFmtId="171" fontId="0" fillId="0" borderId="67" xfId="0" applyNumberFormat="1" applyFill="1" applyBorder="1"/>
    <xf numFmtId="0" fontId="38" fillId="0" borderId="0" xfId="0" applyFont="1" applyAlignment="1">
      <alignment horizontal="center" vertical="center"/>
    </xf>
  </cellXfs>
  <cellStyles count="3">
    <cellStyle name="Normal" xfId="0" builtinId="0"/>
    <cellStyle name="Normal 2" xfId="2" xr:uid="{E8ECC2A0-20BF-4D08-AA8B-0ECE3AA293E8}"/>
    <cellStyle name="Percent" xfId="1" builtinId="5"/>
  </cellStyles>
  <dxfs count="0"/>
  <tableStyles count="0" defaultTableStyle="TableStyleMedium2" defaultPivotStyle="PivotStyleLight16"/>
  <colors>
    <mruColors>
      <color rgb="FFAA72D4"/>
      <color rgb="FFD993D9"/>
      <color rgb="FFF0D4F0"/>
      <color rgb="FFDFA5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'TR-XXXX Data (AirRoll Resist)'!$B$6</c:f>
              <c:strCache>
                <c:ptCount val="1"/>
                <c:pt idx="0">
                  <c:v>Force</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'TR-XXXX Data (AirRoll Resist)'!$A$8:$A$33</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'TR-XXXX Data (AirRoll Resist)'!$B$8:$B$33</c:f>
              <c:numCache>
                <c:formatCode>General</c:formatCode>
                <c:ptCount val="26"/>
                <c:pt idx="0">
                  <c:v>19.14</c:v>
                </c:pt>
                <c:pt idx="1">
                  <c:v>19.210630000000002</c:v>
                </c:pt>
                <c:pt idx="2">
                  <c:v>19.35472</c:v>
                </c:pt>
                <c:pt idx="3">
                  <c:v>19.57227</c:v>
                </c:pt>
                <c:pt idx="4">
                  <c:v>19.86328</c:v>
                </c:pt>
                <c:pt idx="5">
                  <c:v>20.22775</c:v>
                </c:pt>
                <c:pt idx="6">
                  <c:v>20.665680000000002</c:v>
                </c:pt>
                <c:pt idx="7">
                  <c:v>21.177070000000001</c:v>
                </c:pt>
                <c:pt idx="8">
                  <c:v>21.76192</c:v>
                </c:pt>
                <c:pt idx="9">
                  <c:v>22.42023</c:v>
                </c:pt>
                <c:pt idx="10">
                  <c:v>23.152000000000001</c:v>
                </c:pt>
                <c:pt idx="11">
                  <c:v>23.957230000000003</c:v>
                </c:pt>
                <c:pt idx="12">
                  <c:v>24.835920000000002</c:v>
                </c:pt>
                <c:pt idx="13">
                  <c:v>25.788070000000001</c:v>
                </c:pt>
                <c:pt idx="14">
                  <c:v>26.813679999999998</c:v>
                </c:pt>
                <c:pt idx="15">
                  <c:v>27.912750000000003</c:v>
                </c:pt>
                <c:pt idx="16">
                  <c:v>29.085280000000001</c:v>
                </c:pt>
                <c:pt idx="17">
                  <c:v>30.33127</c:v>
                </c:pt>
                <c:pt idx="18">
                  <c:v>31.65072</c:v>
                </c:pt>
                <c:pt idx="19">
                  <c:v>33.04363</c:v>
                </c:pt>
                <c:pt idx="20">
                  <c:v>34.510000000000005</c:v>
                </c:pt>
                <c:pt idx="21">
                  <c:v>36.04983</c:v>
                </c:pt>
                <c:pt idx="22">
                  <c:v>37.663119999999999</c:v>
                </c:pt>
                <c:pt idx="23">
                  <c:v>39.349869999999996</c:v>
                </c:pt>
                <c:pt idx="24">
                  <c:v>41.110079999999996</c:v>
                </c:pt>
                <c:pt idx="25">
                  <c:v>42.943750000000001</c:v>
                </c:pt>
              </c:numCache>
            </c:numRef>
          </c:yVal>
          <c:smooth val="1"/>
          <c:extLst>
            <c:ext xmlns:c16="http://schemas.microsoft.com/office/drawing/2014/chart" uri="{C3380CC4-5D6E-409C-BE32-E72D297353CC}">
              <c16:uniqueId val="{00000000-792F-4BEA-8EB4-AE4BAAE4EE4B}"/>
            </c:ext>
          </c:extLst>
        </c:ser>
        <c:dLbls>
          <c:showLegendKey val="0"/>
          <c:showVal val="0"/>
          <c:showCatName val="0"/>
          <c:showSerName val="0"/>
          <c:showPercent val="0"/>
          <c:showBubbleSize val="0"/>
        </c:dLbls>
        <c:axId val="547781184"/>
        <c:axId val="547781512"/>
      </c:scatterChart>
      <c:valAx>
        <c:axId val="547781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81512"/>
        <c:crosses val="autoZero"/>
        <c:crossBetween val="midCat"/>
      </c:valAx>
      <c:valAx>
        <c:axId val="547781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781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Torque &amp; Power</a:t>
            </a:r>
            <a:r>
              <a:rPr lang="en-US" baseline="0"/>
              <a:t> Curve vs Engine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Eng1 Torque</c:v>
          </c:tx>
          <c:spPr>
            <a:ln w="19050" cap="rnd">
              <a:solidFill>
                <a:schemeClr val="accent1"/>
              </a:solidFill>
              <a:round/>
            </a:ln>
            <a:effectLst/>
          </c:spPr>
          <c:marker>
            <c:symbol val="none"/>
          </c:marker>
          <c:xVal>
            <c:numRef>
              <c:f>'Potential Torque Curve Shape'!$B$12:$B$57</c:f>
              <c:numCache>
                <c:formatCode>0</c:formatCode>
                <c:ptCount val="46"/>
                <c:pt idx="0">
                  <c:v>3000</c:v>
                </c:pt>
                <c:pt idx="1">
                  <c:v>3100</c:v>
                </c:pt>
                <c:pt idx="2">
                  <c:v>3200</c:v>
                </c:pt>
                <c:pt idx="3">
                  <c:v>3300</c:v>
                </c:pt>
                <c:pt idx="4">
                  <c:v>3400</c:v>
                </c:pt>
                <c:pt idx="5">
                  <c:v>3500</c:v>
                </c:pt>
                <c:pt idx="6">
                  <c:v>3600</c:v>
                </c:pt>
                <c:pt idx="7">
                  <c:v>3700</c:v>
                </c:pt>
                <c:pt idx="8">
                  <c:v>3800</c:v>
                </c:pt>
                <c:pt idx="9">
                  <c:v>3900</c:v>
                </c:pt>
                <c:pt idx="10">
                  <c:v>4000</c:v>
                </c:pt>
                <c:pt idx="11">
                  <c:v>4100</c:v>
                </c:pt>
                <c:pt idx="12">
                  <c:v>4200</c:v>
                </c:pt>
                <c:pt idx="13">
                  <c:v>4300</c:v>
                </c:pt>
                <c:pt idx="14">
                  <c:v>4400</c:v>
                </c:pt>
                <c:pt idx="15">
                  <c:v>4500</c:v>
                </c:pt>
                <c:pt idx="16">
                  <c:v>4600</c:v>
                </c:pt>
                <c:pt idx="17">
                  <c:v>4700</c:v>
                </c:pt>
                <c:pt idx="18">
                  <c:v>4800</c:v>
                </c:pt>
                <c:pt idx="19">
                  <c:v>4900</c:v>
                </c:pt>
                <c:pt idx="20">
                  <c:v>5000</c:v>
                </c:pt>
                <c:pt idx="21">
                  <c:v>5100</c:v>
                </c:pt>
                <c:pt idx="22">
                  <c:v>5200</c:v>
                </c:pt>
                <c:pt idx="23">
                  <c:v>5300</c:v>
                </c:pt>
                <c:pt idx="24">
                  <c:v>5400</c:v>
                </c:pt>
                <c:pt idx="25">
                  <c:v>5500</c:v>
                </c:pt>
                <c:pt idx="26">
                  <c:v>5600</c:v>
                </c:pt>
                <c:pt idx="27">
                  <c:v>5700</c:v>
                </c:pt>
                <c:pt idx="28">
                  <c:v>5800</c:v>
                </c:pt>
                <c:pt idx="29">
                  <c:v>5900</c:v>
                </c:pt>
                <c:pt idx="30">
                  <c:v>6000</c:v>
                </c:pt>
                <c:pt idx="31">
                  <c:v>6100</c:v>
                </c:pt>
                <c:pt idx="32">
                  <c:v>6200</c:v>
                </c:pt>
                <c:pt idx="33">
                  <c:v>6300</c:v>
                </c:pt>
                <c:pt idx="34">
                  <c:v>6400</c:v>
                </c:pt>
                <c:pt idx="35">
                  <c:v>6500</c:v>
                </c:pt>
                <c:pt idx="36">
                  <c:v>6600</c:v>
                </c:pt>
                <c:pt idx="37">
                  <c:v>6700</c:v>
                </c:pt>
                <c:pt idx="38">
                  <c:v>6800</c:v>
                </c:pt>
                <c:pt idx="39">
                  <c:v>6900</c:v>
                </c:pt>
                <c:pt idx="40">
                  <c:v>7000</c:v>
                </c:pt>
                <c:pt idx="41">
                  <c:v>7100</c:v>
                </c:pt>
                <c:pt idx="42">
                  <c:v>7200</c:v>
                </c:pt>
                <c:pt idx="43">
                  <c:v>7300</c:v>
                </c:pt>
                <c:pt idx="44">
                  <c:v>7400</c:v>
                </c:pt>
                <c:pt idx="45">
                  <c:v>7500</c:v>
                </c:pt>
              </c:numCache>
            </c:numRef>
          </c:xVal>
          <c:yVal>
            <c:numRef>
              <c:f>'Potential Torque Curve Shape'!$C$12:$C$57</c:f>
              <c:numCache>
                <c:formatCode>0.00</c:formatCode>
                <c:ptCount val="46"/>
                <c:pt idx="0">
                  <c:v>6.3672265222807773</c:v>
                </c:pt>
                <c:pt idx="1">
                  <c:v>7.0907749907217736</c:v>
                </c:pt>
                <c:pt idx="2">
                  <c:v>7.4525492249422722</c:v>
                </c:pt>
                <c:pt idx="3">
                  <c:v>7.6696137654745735</c:v>
                </c:pt>
                <c:pt idx="4">
                  <c:v>7.8866783060068721</c:v>
                </c:pt>
                <c:pt idx="5">
                  <c:v>8.0313879996950703</c:v>
                </c:pt>
                <c:pt idx="6">
                  <c:v>8.248452540227369</c:v>
                </c:pt>
                <c:pt idx="7">
                  <c:v>8.3208073870714685</c:v>
                </c:pt>
                <c:pt idx="8">
                  <c:v>8.3931622339155698</c:v>
                </c:pt>
                <c:pt idx="9">
                  <c:v>8.3931622339155698</c:v>
                </c:pt>
                <c:pt idx="10">
                  <c:v>8.4655170807596694</c:v>
                </c:pt>
                <c:pt idx="11">
                  <c:v>8.4655170807596694</c:v>
                </c:pt>
                <c:pt idx="12">
                  <c:v>8.3931622339155698</c:v>
                </c:pt>
                <c:pt idx="13">
                  <c:v>8.3931622339155698</c:v>
                </c:pt>
                <c:pt idx="14">
                  <c:v>8.3208073870714685</c:v>
                </c:pt>
                <c:pt idx="15">
                  <c:v>8.3208073870714685</c:v>
                </c:pt>
                <c:pt idx="16">
                  <c:v>8.3931622339155698</c:v>
                </c:pt>
                <c:pt idx="17">
                  <c:v>8.3931622339155698</c:v>
                </c:pt>
                <c:pt idx="18">
                  <c:v>8.3208073870714685</c:v>
                </c:pt>
                <c:pt idx="19">
                  <c:v>8.3931622339155698</c:v>
                </c:pt>
                <c:pt idx="20">
                  <c:v>8.3208073870714685</c:v>
                </c:pt>
                <c:pt idx="21">
                  <c:v>8.248452540227369</c:v>
                </c:pt>
                <c:pt idx="22">
                  <c:v>8.1760976933832694</c:v>
                </c:pt>
                <c:pt idx="23">
                  <c:v>8.0313879996950703</c:v>
                </c:pt>
                <c:pt idx="24">
                  <c:v>7.8866783060068721</c:v>
                </c:pt>
                <c:pt idx="25">
                  <c:v>7.8143234591627708</c:v>
                </c:pt>
                <c:pt idx="26">
                  <c:v>7.7419686123186713</c:v>
                </c:pt>
                <c:pt idx="27">
                  <c:v>7.8143234591627708</c:v>
                </c:pt>
                <c:pt idx="28">
                  <c:v>7.7419686123186713</c:v>
                </c:pt>
                <c:pt idx="29">
                  <c:v>7.7419686123186713</c:v>
                </c:pt>
                <c:pt idx="30">
                  <c:v>7.8143234591627708</c:v>
                </c:pt>
                <c:pt idx="31">
                  <c:v>7.8866783060068721</c:v>
                </c:pt>
                <c:pt idx="32">
                  <c:v>7.8143234591627708</c:v>
                </c:pt>
                <c:pt idx="33">
                  <c:v>7.6696137654745735</c:v>
                </c:pt>
                <c:pt idx="34">
                  <c:v>7.5972589186304722</c:v>
                </c:pt>
                <c:pt idx="35">
                  <c:v>7.5249040717863735</c:v>
                </c:pt>
                <c:pt idx="36">
                  <c:v>7.5249040717863735</c:v>
                </c:pt>
                <c:pt idx="37">
                  <c:v>7.4525492249422722</c:v>
                </c:pt>
                <c:pt idx="38">
                  <c:v>7.3801943780981736</c:v>
                </c:pt>
                <c:pt idx="39">
                  <c:v>7.307839531254074</c:v>
                </c:pt>
                <c:pt idx="40">
                  <c:v>7.1631298375658741</c:v>
                </c:pt>
                <c:pt idx="41">
                  <c:v>7.018420143877675</c:v>
                </c:pt>
                <c:pt idx="42">
                  <c:v>6.873710450189475</c:v>
                </c:pt>
                <c:pt idx="43">
                  <c:v>6.729000756501275</c:v>
                </c:pt>
                <c:pt idx="44">
                  <c:v>6.5119362159689764</c:v>
                </c:pt>
                <c:pt idx="45">
                  <c:v>6.2948716754366769</c:v>
                </c:pt>
              </c:numCache>
            </c:numRef>
          </c:yVal>
          <c:smooth val="1"/>
          <c:extLst>
            <c:ext xmlns:c16="http://schemas.microsoft.com/office/drawing/2014/chart" uri="{C3380CC4-5D6E-409C-BE32-E72D297353CC}">
              <c16:uniqueId val="{00000000-1E35-4351-950C-E18E5BFEED98}"/>
            </c:ext>
          </c:extLst>
        </c:ser>
        <c:ser>
          <c:idx val="1"/>
          <c:order val="1"/>
          <c:tx>
            <c:v>Eng1 Power</c:v>
          </c:tx>
          <c:spPr>
            <a:ln w="19050" cap="rnd">
              <a:solidFill>
                <a:schemeClr val="accent1"/>
              </a:solidFill>
              <a:prstDash val="sysDash"/>
              <a:round/>
            </a:ln>
            <a:effectLst/>
          </c:spPr>
          <c:marker>
            <c:symbol val="none"/>
          </c:marker>
          <c:xVal>
            <c:numRef>
              <c:f>'Potential Torque Curve Shape'!$B$12:$B$57</c:f>
              <c:numCache>
                <c:formatCode>0</c:formatCode>
                <c:ptCount val="46"/>
                <c:pt idx="0">
                  <c:v>3000</c:v>
                </c:pt>
                <c:pt idx="1">
                  <c:v>3100</c:v>
                </c:pt>
                <c:pt idx="2">
                  <c:v>3200</c:v>
                </c:pt>
                <c:pt idx="3">
                  <c:v>3300</c:v>
                </c:pt>
                <c:pt idx="4">
                  <c:v>3400</c:v>
                </c:pt>
                <c:pt idx="5">
                  <c:v>3500</c:v>
                </c:pt>
                <c:pt idx="6">
                  <c:v>3600</c:v>
                </c:pt>
                <c:pt idx="7">
                  <c:v>3700</c:v>
                </c:pt>
                <c:pt idx="8">
                  <c:v>3800</c:v>
                </c:pt>
                <c:pt idx="9">
                  <c:v>3900</c:v>
                </c:pt>
                <c:pt idx="10">
                  <c:v>4000</c:v>
                </c:pt>
                <c:pt idx="11">
                  <c:v>4100</c:v>
                </c:pt>
                <c:pt idx="12">
                  <c:v>4200</c:v>
                </c:pt>
                <c:pt idx="13">
                  <c:v>4300</c:v>
                </c:pt>
                <c:pt idx="14">
                  <c:v>4400</c:v>
                </c:pt>
                <c:pt idx="15">
                  <c:v>4500</c:v>
                </c:pt>
                <c:pt idx="16">
                  <c:v>4600</c:v>
                </c:pt>
                <c:pt idx="17">
                  <c:v>4700</c:v>
                </c:pt>
                <c:pt idx="18">
                  <c:v>4800</c:v>
                </c:pt>
                <c:pt idx="19">
                  <c:v>4900</c:v>
                </c:pt>
                <c:pt idx="20">
                  <c:v>5000</c:v>
                </c:pt>
                <c:pt idx="21">
                  <c:v>5100</c:v>
                </c:pt>
                <c:pt idx="22">
                  <c:v>5200</c:v>
                </c:pt>
                <c:pt idx="23">
                  <c:v>5300</c:v>
                </c:pt>
                <c:pt idx="24">
                  <c:v>5400</c:v>
                </c:pt>
                <c:pt idx="25">
                  <c:v>5500</c:v>
                </c:pt>
                <c:pt idx="26">
                  <c:v>5600</c:v>
                </c:pt>
                <c:pt idx="27">
                  <c:v>5700</c:v>
                </c:pt>
                <c:pt idx="28">
                  <c:v>5800</c:v>
                </c:pt>
                <c:pt idx="29">
                  <c:v>5900</c:v>
                </c:pt>
                <c:pt idx="30">
                  <c:v>6000</c:v>
                </c:pt>
                <c:pt idx="31">
                  <c:v>6100</c:v>
                </c:pt>
                <c:pt idx="32">
                  <c:v>6200</c:v>
                </c:pt>
                <c:pt idx="33">
                  <c:v>6300</c:v>
                </c:pt>
                <c:pt idx="34">
                  <c:v>6400</c:v>
                </c:pt>
                <c:pt idx="35">
                  <c:v>6500</c:v>
                </c:pt>
                <c:pt idx="36">
                  <c:v>6600</c:v>
                </c:pt>
                <c:pt idx="37">
                  <c:v>6700</c:v>
                </c:pt>
                <c:pt idx="38">
                  <c:v>6800</c:v>
                </c:pt>
                <c:pt idx="39">
                  <c:v>6900</c:v>
                </c:pt>
                <c:pt idx="40">
                  <c:v>7000</c:v>
                </c:pt>
                <c:pt idx="41">
                  <c:v>7100</c:v>
                </c:pt>
                <c:pt idx="42">
                  <c:v>7200</c:v>
                </c:pt>
                <c:pt idx="43">
                  <c:v>7300</c:v>
                </c:pt>
                <c:pt idx="44">
                  <c:v>7400</c:v>
                </c:pt>
                <c:pt idx="45">
                  <c:v>7500</c:v>
                </c:pt>
              </c:numCache>
            </c:numRef>
          </c:xVal>
          <c:yVal>
            <c:numRef>
              <c:f>'Potential Torque Curve Shape'!$D$12:$D$57</c:f>
              <c:numCache>
                <c:formatCode>0.00</c:formatCode>
                <c:ptCount val="46"/>
                <c:pt idx="0">
                  <c:v>3.6183383545576859</c:v>
                </c:pt>
                <c:pt idx="1">
                  <c:v>4.1605961461126526</c:v>
                </c:pt>
                <c:pt idx="2">
                  <c:v>4.5352469839142655</c:v>
                </c:pt>
                <c:pt idx="3">
                  <c:v>4.8211647285523389</c:v>
                </c:pt>
                <c:pt idx="4">
                  <c:v>5.0873640080429592</c:v>
                </c:pt>
                <c:pt idx="5">
                  <c:v>5.3338448223861255</c:v>
                </c:pt>
                <c:pt idx="6">
                  <c:v>5.649340264745379</c:v>
                </c:pt>
                <c:pt idx="7">
                  <c:v>5.856384148793639</c:v>
                </c:pt>
                <c:pt idx="8">
                  <c:v>6.053568800268172</c:v>
                </c:pt>
                <c:pt idx="9">
                  <c:v>6.2014572888740718</c:v>
                </c:pt>
                <c:pt idx="10">
                  <c:v>6.4282196380697849</c:v>
                </c:pt>
                <c:pt idx="11">
                  <c:v>6.5958265918231387</c:v>
                </c:pt>
                <c:pt idx="12">
                  <c:v>6.6944189175604052</c:v>
                </c:pt>
                <c:pt idx="13">
                  <c:v>6.852166638740032</c:v>
                </c:pt>
                <c:pt idx="14">
                  <c:v>6.9704774296247525</c:v>
                </c:pt>
                <c:pt idx="15">
                  <c:v>7.1282251508043792</c:v>
                </c:pt>
                <c:pt idx="16">
                  <c:v>7.3155505697051852</c:v>
                </c:pt>
                <c:pt idx="17">
                  <c:v>7.473298290884812</c:v>
                </c:pt>
                <c:pt idx="18">
                  <c:v>7.6014683143432586</c:v>
                </c:pt>
                <c:pt idx="19">
                  <c:v>7.7986529658177917</c:v>
                </c:pt>
                <c:pt idx="20">
                  <c:v>7.9169637567025113</c:v>
                </c:pt>
                <c:pt idx="21">
                  <c:v>8.0352745475872318</c:v>
                </c:pt>
                <c:pt idx="22">
                  <c:v>8.0648522453084119</c:v>
                </c:pt>
                <c:pt idx="23">
                  <c:v>8.0747114778821381</c:v>
                </c:pt>
                <c:pt idx="24">
                  <c:v>8.0845707104558642</c:v>
                </c:pt>
                <c:pt idx="25">
                  <c:v>8.1831630361931325</c:v>
                </c:pt>
                <c:pt idx="26">
                  <c:v>8.2718961293566728</c:v>
                </c:pt>
                <c:pt idx="27">
                  <c:v>8.4690807808312041</c:v>
                </c:pt>
                <c:pt idx="28">
                  <c:v>8.5578138739947445</c:v>
                </c:pt>
                <c:pt idx="29">
                  <c:v>8.676124664879465</c:v>
                </c:pt>
                <c:pt idx="30">
                  <c:v>8.9028870140751781</c:v>
                </c:pt>
                <c:pt idx="31">
                  <c:v>9.1197901306971652</c:v>
                </c:pt>
                <c:pt idx="32">
                  <c:v>9.2085232238607038</c:v>
                </c:pt>
                <c:pt idx="33">
                  <c:v>9.2183824564344317</c:v>
                </c:pt>
                <c:pt idx="34">
                  <c:v>9.2578193867293379</c:v>
                </c:pt>
                <c:pt idx="35">
                  <c:v>9.3366932473191522</c:v>
                </c:pt>
                <c:pt idx="36">
                  <c:v>9.4550040382038709</c:v>
                </c:pt>
                <c:pt idx="37">
                  <c:v>9.5141594336462312</c:v>
                </c:pt>
                <c:pt idx="38">
                  <c:v>9.5634555965148635</c:v>
                </c:pt>
                <c:pt idx="39">
                  <c:v>9.6028925268097716</c:v>
                </c:pt>
                <c:pt idx="40">
                  <c:v>9.5535963639411374</c:v>
                </c:pt>
                <c:pt idx="41">
                  <c:v>9.484581735925051</c:v>
                </c:pt>
                <c:pt idx="42">
                  <c:v>9.4155671079089647</c:v>
                </c:pt>
                <c:pt idx="43">
                  <c:v>9.3169747821716982</c:v>
                </c:pt>
                <c:pt idx="44">
                  <c:v>9.1690862935657993</c:v>
                </c:pt>
                <c:pt idx="45">
                  <c:v>9.0113385723861725</c:v>
                </c:pt>
              </c:numCache>
            </c:numRef>
          </c:yVal>
          <c:smooth val="1"/>
          <c:extLst>
            <c:ext xmlns:c16="http://schemas.microsoft.com/office/drawing/2014/chart" uri="{C3380CC4-5D6E-409C-BE32-E72D297353CC}">
              <c16:uniqueId val="{00000001-1E35-4351-950C-E18E5BFEED98}"/>
            </c:ext>
          </c:extLst>
        </c:ser>
        <c:ser>
          <c:idx val="2"/>
          <c:order val="2"/>
          <c:tx>
            <c:v>Eng0 Torque</c:v>
          </c:tx>
          <c:spPr>
            <a:ln w="19050" cap="rnd">
              <a:solidFill>
                <a:schemeClr val="accent2"/>
              </a:solidFill>
              <a:round/>
            </a:ln>
            <a:effectLst/>
          </c:spPr>
          <c:marker>
            <c:symbol val="none"/>
          </c:marker>
          <c:xVal>
            <c:numRef>
              <c:f>'Potential Torque Curve Shape'!$N$12:$N$19</c:f>
              <c:numCache>
                <c:formatCode>0_);[Red]\(0\)</c:formatCode>
                <c:ptCount val="8"/>
                <c:pt idx="0">
                  <c:v>1797</c:v>
                </c:pt>
                <c:pt idx="1">
                  <c:v>2096</c:v>
                </c:pt>
                <c:pt idx="2">
                  <c:v>2396</c:v>
                </c:pt>
                <c:pt idx="3">
                  <c:v>2695</c:v>
                </c:pt>
                <c:pt idx="4">
                  <c:v>2994</c:v>
                </c:pt>
                <c:pt idx="5">
                  <c:v>3200</c:v>
                </c:pt>
                <c:pt idx="6">
                  <c:v>3294</c:v>
                </c:pt>
                <c:pt idx="7">
                  <c:v>3600</c:v>
                </c:pt>
              </c:numCache>
            </c:numRef>
          </c:xVal>
          <c:yVal>
            <c:numRef>
              <c:f>'Potential Torque Curve Shape'!$O$12:$O$19</c:f>
              <c:numCache>
                <c:formatCode>0.00</c:formatCode>
                <c:ptCount val="8"/>
                <c:pt idx="0">
                  <c:v>18.600000000000001</c:v>
                </c:pt>
                <c:pt idx="1">
                  <c:v>20</c:v>
                </c:pt>
                <c:pt idx="2">
                  <c:v>18.899999999999999</c:v>
                </c:pt>
                <c:pt idx="3">
                  <c:v>19.7</c:v>
                </c:pt>
                <c:pt idx="4">
                  <c:v>19.100000000000001</c:v>
                </c:pt>
                <c:pt idx="5">
                  <c:v>18.2</c:v>
                </c:pt>
                <c:pt idx="6">
                  <c:v>18.3</c:v>
                </c:pt>
                <c:pt idx="7">
                  <c:v>16.3</c:v>
                </c:pt>
              </c:numCache>
            </c:numRef>
          </c:yVal>
          <c:smooth val="1"/>
          <c:extLst>
            <c:ext xmlns:c16="http://schemas.microsoft.com/office/drawing/2014/chart" uri="{C3380CC4-5D6E-409C-BE32-E72D297353CC}">
              <c16:uniqueId val="{00000002-1E35-4351-950C-E18E5BFEED98}"/>
            </c:ext>
          </c:extLst>
        </c:ser>
        <c:ser>
          <c:idx val="3"/>
          <c:order val="3"/>
          <c:tx>
            <c:v>Eng0 Power</c:v>
          </c:tx>
          <c:spPr>
            <a:ln w="19050" cap="rnd">
              <a:solidFill>
                <a:schemeClr val="accent2"/>
              </a:solidFill>
              <a:prstDash val="sysDash"/>
              <a:round/>
            </a:ln>
            <a:effectLst/>
          </c:spPr>
          <c:marker>
            <c:symbol val="none"/>
          </c:marker>
          <c:xVal>
            <c:numRef>
              <c:f>'Potential Torque Curve Shape'!$N$12:$N$19</c:f>
              <c:numCache>
                <c:formatCode>0_);[Red]\(0\)</c:formatCode>
                <c:ptCount val="8"/>
                <c:pt idx="0">
                  <c:v>1797</c:v>
                </c:pt>
                <c:pt idx="1">
                  <c:v>2096</c:v>
                </c:pt>
                <c:pt idx="2">
                  <c:v>2396</c:v>
                </c:pt>
                <c:pt idx="3">
                  <c:v>2695</c:v>
                </c:pt>
                <c:pt idx="4">
                  <c:v>2994</c:v>
                </c:pt>
                <c:pt idx="5">
                  <c:v>3200</c:v>
                </c:pt>
                <c:pt idx="6">
                  <c:v>3294</c:v>
                </c:pt>
                <c:pt idx="7">
                  <c:v>3600</c:v>
                </c:pt>
              </c:numCache>
            </c:numRef>
          </c:xVal>
          <c:yVal>
            <c:numRef>
              <c:f>'Potential Torque Curve Shape'!$P$12:$P$19</c:f>
              <c:numCache>
                <c:formatCode>0.00</c:formatCode>
                <c:ptCount val="8"/>
                <c:pt idx="0">
                  <c:v>6.3640898705255147</c:v>
                </c:pt>
                <c:pt idx="1">
                  <c:v>7.9817212490479816</c:v>
                </c:pt>
                <c:pt idx="2">
                  <c:v>8.6223153084539206</c:v>
                </c:pt>
                <c:pt idx="3">
                  <c:v>10.108815689261235</c:v>
                </c:pt>
                <c:pt idx="4">
                  <c:v>10.888309215536939</c:v>
                </c:pt>
                <c:pt idx="5">
                  <c:v>11.089108910891088</c:v>
                </c:pt>
                <c:pt idx="6">
                  <c:v>11.477570449352628</c:v>
                </c:pt>
                <c:pt idx="7">
                  <c:v>11.172886519421173</c:v>
                </c:pt>
              </c:numCache>
            </c:numRef>
          </c:yVal>
          <c:smooth val="1"/>
          <c:extLst>
            <c:ext xmlns:c16="http://schemas.microsoft.com/office/drawing/2014/chart" uri="{C3380CC4-5D6E-409C-BE32-E72D297353CC}">
              <c16:uniqueId val="{00000003-1E35-4351-950C-E18E5BFEED98}"/>
            </c:ext>
          </c:extLst>
        </c:ser>
        <c:ser>
          <c:idx val="4"/>
          <c:order val="4"/>
          <c:tx>
            <c:v>Initial Proposed Torque</c:v>
          </c:tx>
          <c:spPr>
            <a:ln w="19050" cap="rnd">
              <a:solidFill>
                <a:schemeClr val="accent5"/>
              </a:solidFill>
              <a:round/>
            </a:ln>
            <a:effectLst/>
          </c:spPr>
          <c:marker>
            <c:symbol val="none"/>
          </c:marker>
          <c:xVal>
            <c:numRef>
              <c:f>'Potential Torque Curve Shape'!$AK$12:$AK$28</c:f>
            </c:numRef>
          </c:xVal>
          <c:yVal>
            <c:numRef>
              <c:f>'Potential Torque Curve Shape'!$AL$12:$AL$28</c:f>
              <c:extLst xmlns:c15="http://schemas.microsoft.com/office/drawing/2012/chart"/>
            </c:numRef>
          </c:yVal>
          <c:smooth val="1"/>
          <c:extLst xmlns:c15="http://schemas.microsoft.com/office/drawing/2012/chart">
            <c:ext xmlns:c16="http://schemas.microsoft.com/office/drawing/2014/chart" uri="{C3380CC4-5D6E-409C-BE32-E72D297353CC}">
              <c16:uniqueId val="{00000004-1E35-4351-950C-E18E5BFEED98}"/>
            </c:ext>
          </c:extLst>
        </c:ser>
        <c:ser>
          <c:idx val="5"/>
          <c:order val="5"/>
          <c:tx>
            <c:v>Initial Proposed Power</c:v>
          </c:tx>
          <c:spPr>
            <a:ln w="19050" cap="rnd">
              <a:solidFill>
                <a:schemeClr val="accent6"/>
              </a:solidFill>
              <a:round/>
            </a:ln>
            <a:effectLst/>
          </c:spPr>
          <c:marker>
            <c:symbol val="none"/>
          </c:marker>
          <c:xVal>
            <c:numRef>
              <c:f>'Potential Torque Curve Shape'!$AK$12:$AK$28</c:f>
            </c:numRef>
          </c:xVal>
          <c:yVal>
            <c:numRef>
              <c:f>'Potential Torque Curve Shape'!$AM$12:$AM$28</c:f>
              <c:extLst xmlns:c15="http://schemas.microsoft.com/office/drawing/2012/chart"/>
            </c:numRef>
          </c:yVal>
          <c:smooth val="1"/>
          <c:extLst xmlns:c15="http://schemas.microsoft.com/office/drawing/2012/chart">
            <c:ext xmlns:c16="http://schemas.microsoft.com/office/drawing/2014/chart" uri="{C3380CC4-5D6E-409C-BE32-E72D297353CC}">
              <c16:uniqueId val="{00000005-1E35-4351-950C-E18E5BFEED98}"/>
            </c:ext>
          </c:extLst>
        </c:ser>
        <c:ser>
          <c:idx val="6"/>
          <c:order val="6"/>
          <c:tx>
            <c:v>Proposed Wheel Based Power</c:v>
          </c:tx>
          <c:spPr>
            <a:ln w="19050" cap="rnd">
              <a:solidFill>
                <a:srgbClr val="7030A0"/>
              </a:solidFill>
              <a:prstDash val="sysDash"/>
              <a:round/>
            </a:ln>
            <a:effectLst/>
          </c:spPr>
          <c:marker>
            <c:symbol val="none"/>
          </c:marker>
          <c:xVal>
            <c:numRef>
              <c:f>'Potential Torque Curve Shape'!$AC$12:$AC$26</c:f>
              <c:numCache>
                <c:formatCode>General</c:formatCode>
                <c:ptCount val="15"/>
                <c:pt idx="0">
                  <c:v>573.5</c:v>
                </c:pt>
                <c:pt idx="1">
                  <c:v>860.25</c:v>
                </c:pt>
                <c:pt idx="2">
                  <c:v>1147</c:v>
                </c:pt>
                <c:pt idx="3">
                  <c:v>1433.75</c:v>
                </c:pt>
                <c:pt idx="4">
                  <c:v>1720.5</c:v>
                </c:pt>
                <c:pt idx="5">
                  <c:v>2007.25</c:v>
                </c:pt>
                <c:pt idx="6">
                  <c:v>2294</c:v>
                </c:pt>
                <c:pt idx="7">
                  <c:v>2580.75</c:v>
                </c:pt>
                <c:pt idx="8">
                  <c:v>2867.5</c:v>
                </c:pt>
                <c:pt idx="9">
                  <c:v>3154.25</c:v>
                </c:pt>
                <c:pt idx="10">
                  <c:v>3441</c:v>
                </c:pt>
                <c:pt idx="11">
                  <c:v>3727.75</c:v>
                </c:pt>
                <c:pt idx="12">
                  <c:v>4014.5</c:v>
                </c:pt>
                <c:pt idx="13">
                  <c:v>4301.25</c:v>
                </c:pt>
                <c:pt idx="14">
                  <c:v>4588</c:v>
                </c:pt>
              </c:numCache>
            </c:numRef>
          </c:xVal>
          <c:yVal>
            <c:numRef>
              <c:f>'Potential Torque Curve Shape'!$Y$12:$Y$26</c:f>
              <c:numCache>
                <c:formatCode>0.00_);[Red]\(0.00\)</c:formatCode>
                <c:ptCount val="15"/>
                <c:pt idx="0">
                  <c:v>0.4</c:v>
                </c:pt>
                <c:pt idx="1">
                  <c:v>1.4</c:v>
                </c:pt>
                <c:pt idx="2">
                  <c:v>3.3</c:v>
                </c:pt>
                <c:pt idx="3">
                  <c:v>5.8</c:v>
                </c:pt>
                <c:pt idx="4">
                  <c:v>8.9</c:v>
                </c:pt>
                <c:pt idx="5">
                  <c:v>11.6</c:v>
                </c:pt>
                <c:pt idx="6">
                  <c:v>13.3</c:v>
                </c:pt>
                <c:pt idx="7">
                  <c:v>14.7</c:v>
                </c:pt>
                <c:pt idx="8">
                  <c:v>16</c:v>
                </c:pt>
                <c:pt idx="9">
                  <c:v>17</c:v>
                </c:pt>
                <c:pt idx="10">
                  <c:v>16.600000000000001</c:v>
                </c:pt>
                <c:pt idx="11">
                  <c:v>13.5</c:v>
                </c:pt>
                <c:pt idx="12">
                  <c:v>10.199999999999999</c:v>
                </c:pt>
                <c:pt idx="13">
                  <c:v>6.7</c:v>
                </c:pt>
                <c:pt idx="14">
                  <c:v>3.5</c:v>
                </c:pt>
              </c:numCache>
            </c:numRef>
          </c:yVal>
          <c:smooth val="1"/>
          <c:extLst>
            <c:ext xmlns:c16="http://schemas.microsoft.com/office/drawing/2014/chart" uri="{C3380CC4-5D6E-409C-BE32-E72D297353CC}">
              <c16:uniqueId val="{00000001-2B2C-4BD5-B39A-3E1BBBD56CFE}"/>
            </c:ext>
          </c:extLst>
        </c:ser>
        <c:ser>
          <c:idx val="7"/>
          <c:order val="7"/>
          <c:tx>
            <c:v>Proposed Wheel Based Torque</c:v>
          </c:tx>
          <c:spPr>
            <a:ln w="19050" cap="rnd">
              <a:solidFill>
                <a:srgbClr val="7030A0"/>
              </a:solidFill>
              <a:prstDash val="solid"/>
              <a:round/>
            </a:ln>
            <a:effectLst/>
          </c:spPr>
          <c:marker>
            <c:symbol val="none"/>
          </c:marker>
          <c:xVal>
            <c:numRef>
              <c:f>'Potential Torque Curve Shape'!$AC$12:$AC$26</c:f>
              <c:numCache>
                <c:formatCode>General</c:formatCode>
                <c:ptCount val="15"/>
                <c:pt idx="0">
                  <c:v>573.5</c:v>
                </c:pt>
                <c:pt idx="1">
                  <c:v>860.25</c:v>
                </c:pt>
                <c:pt idx="2">
                  <c:v>1147</c:v>
                </c:pt>
                <c:pt idx="3">
                  <c:v>1433.75</c:v>
                </c:pt>
                <c:pt idx="4">
                  <c:v>1720.5</c:v>
                </c:pt>
                <c:pt idx="5">
                  <c:v>2007.25</c:v>
                </c:pt>
                <c:pt idx="6">
                  <c:v>2294</c:v>
                </c:pt>
                <c:pt idx="7">
                  <c:v>2580.75</c:v>
                </c:pt>
                <c:pt idx="8">
                  <c:v>2867.5</c:v>
                </c:pt>
                <c:pt idx="9">
                  <c:v>3154.25</c:v>
                </c:pt>
                <c:pt idx="10">
                  <c:v>3441</c:v>
                </c:pt>
                <c:pt idx="11">
                  <c:v>3727.75</c:v>
                </c:pt>
                <c:pt idx="12">
                  <c:v>4014.5</c:v>
                </c:pt>
                <c:pt idx="13">
                  <c:v>4301.25</c:v>
                </c:pt>
                <c:pt idx="14">
                  <c:v>4588</c:v>
                </c:pt>
              </c:numCache>
            </c:numRef>
          </c:xVal>
          <c:yVal>
            <c:numRef>
              <c:f>'Potential Torque Curve Shape'!$AD$12:$AD$26</c:f>
              <c:numCache>
                <c:formatCode>0.000</c:formatCode>
                <c:ptCount val="15"/>
                <c:pt idx="0">
                  <c:v>3.6631211857018311</c:v>
                </c:pt>
                <c:pt idx="1">
                  <c:v>8.5472827666376041</c:v>
                </c:pt>
                <c:pt idx="2">
                  <c:v>15.110374891020049</c:v>
                </c:pt>
                <c:pt idx="3">
                  <c:v>21.246102877070616</c:v>
                </c:pt>
                <c:pt idx="4">
                  <c:v>27.168148793955247</c:v>
                </c:pt>
                <c:pt idx="5">
                  <c:v>30.351575538672307</c:v>
                </c:pt>
                <c:pt idx="6">
                  <c:v>30.449694856146472</c:v>
                </c:pt>
                <c:pt idx="7">
                  <c:v>29.915489683231613</c:v>
                </c:pt>
                <c:pt idx="8">
                  <c:v>29.304969485614645</c:v>
                </c:pt>
                <c:pt idx="9">
                  <c:v>28.305936434968693</c:v>
                </c:pt>
                <c:pt idx="10">
                  <c:v>25.33658820110433</c:v>
                </c:pt>
                <c:pt idx="11">
                  <c:v>19.02005231037489</c:v>
                </c:pt>
                <c:pt idx="12">
                  <c:v>13.344227176485237</c:v>
                </c:pt>
                <c:pt idx="13">
                  <c:v>8.1809706480674222</c:v>
                </c:pt>
                <c:pt idx="14">
                  <c:v>4.0065387968613768</c:v>
                </c:pt>
              </c:numCache>
            </c:numRef>
          </c:yVal>
          <c:smooth val="1"/>
          <c:extLst>
            <c:ext xmlns:c16="http://schemas.microsoft.com/office/drawing/2014/chart" uri="{C3380CC4-5D6E-409C-BE32-E72D297353CC}">
              <c16:uniqueId val="{00000002-2B2C-4BD5-B39A-3E1BBBD56CFE}"/>
            </c:ext>
          </c:extLst>
        </c:ser>
        <c:dLbls>
          <c:showLegendKey val="0"/>
          <c:showVal val="0"/>
          <c:showCatName val="0"/>
          <c:showSerName val="0"/>
          <c:showPercent val="0"/>
          <c:showBubbleSize val="0"/>
        </c:dLbls>
        <c:axId val="888612944"/>
        <c:axId val="888618848"/>
        <c:extLst/>
      </c:scatterChart>
      <c:valAx>
        <c:axId val="888612944"/>
        <c:scaling>
          <c:orientation val="minMax"/>
          <c:max val="10000"/>
          <c:min val="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18848"/>
        <c:crosses val="autoZero"/>
        <c:crossBetween val="midCat"/>
        <c:majorUnit val="500"/>
      </c:valAx>
      <c:valAx>
        <c:axId val="88861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lbf*ft</a:t>
                </a:r>
                <a:r>
                  <a:rPr lang="en-US" baseline="0"/>
                  <a:t> ; hp</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12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Torque &amp; Power</a:t>
            </a:r>
            <a:r>
              <a:rPr lang="en-US" baseline="0"/>
              <a:t> @ Wheel vs Wheel 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Eng1 Torque</c:v>
          </c:tx>
          <c:spPr>
            <a:ln w="19050" cap="rnd">
              <a:solidFill>
                <a:schemeClr val="accent1"/>
              </a:solidFill>
              <a:prstDash val="solid"/>
              <a:round/>
            </a:ln>
            <a:effectLst/>
          </c:spPr>
          <c:marker>
            <c:symbol val="none"/>
          </c:marker>
          <c:xVal>
            <c:numRef>
              <c:f>'Potential Torque Curve Shape'!$H$12:$H$57</c:f>
              <c:numCache>
                <c:formatCode>0</c:formatCode>
                <c:ptCount val="46"/>
                <c:pt idx="0">
                  <c:v>134.1291663872309</c:v>
                </c:pt>
                <c:pt idx="1">
                  <c:v>138.60013860013859</c:v>
                </c:pt>
                <c:pt idx="2">
                  <c:v>143.07111081304629</c:v>
                </c:pt>
                <c:pt idx="3">
                  <c:v>147.54208302595399</c:v>
                </c:pt>
                <c:pt idx="4">
                  <c:v>152.01305523886168</c:v>
                </c:pt>
                <c:pt idx="5">
                  <c:v>156.48402745176938</c:v>
                </c:pt>
                <c:pt idx="6">
                  <c:v>160.95499966467708</c:v>
                </c:pt>
                <c:pt idx="7">
                  <c:v>165.42597187758477</c:v>
                </c:pt>
                <c:pt idx="8">
                  <c:v>169.89694409049247</c:v>
                </c:pt>
                <c:pt idx="9">
                  <c:v>174.36791630340016</c:v>
                </c:pt>
                <c:pt idx="10">
                  <c:v>178.83888851630786</c:v>
                </c:pt>
                <c:pt idx="11">
                  <c:v>183.30986072921556</c:v>
                </c:pt>
                <c:pt idx="12">
                  <c:v>187.78083294212325</c:v>
                </c:pt>
                <c:pt idx="13">
                  <c:v>192.25180515503095</c:v>
                </c:pt>
                <c:pt idx="14">
                  <c:v>196.72277736793865</c:v>
                </c:pt>
                <c:pt idx="15">
                  <c:v>201.19374958084634</c:v>
                </c:pt>
                <c:pt idx="16">
                  <c:v>205.66472179375404</c:v>
                </c:pt>
                <c:pt idx="17">
                  <c:v>210.13569400666174</c:v>
                </c:pt>
                <c:pt idx="18">
                  <c:v>214.60666621956943</c:v>
                </c:pt>
                <c:pt idx="19">
                  <c:v>219.07763843247713</c:v>
                </c:pt>
                <c:pt idx="20">
                  <c:v>223.54861064538483</c:v>
                </c:pt>
                <c:pt idx="21">
                  <c:v>228.01958285829252</c:v>
                </c:pt>
                <c:pt idx="22">
                  <c:v>232.49055507120022</c:v>
                </c:pt>
                <c:pt idx="23">
                  <c:v>236.96152728410792</c:v>
                </c:pt>
                <c:pt idx="24">
                  <c:v>241.43249949701561</c:v>
                </c:pt>
                <c:pt idx="25">
                  <c:v>245.90347170992331</c:v>
                </c:pt>
                <c:pt idx="26">
                  <c:v>250.37444392283101</c:v>
                </c:pt>
                <c:pt idx="27">
                  <c:v>254.8454161357387</c:v>
                </c:pt>
                <c:pt idx="28">
                  <c:v>259.3163883486464</c:v>
                </c:pt>
                <c:pt idx="29">
                  <c:v>263.78736056155407</c:v>
                </c:pt>
                <c:pt idx="30">
                  <c:v>268.25833277446179</c:v>
                </c:pt>
                <c:pt idx="31">
                  <c:v>272.72930498736946</c:v>
                </c:pt>
                <c:pt idx="32">
                  <c:v>277.20027720027718</c:v>
                </c:pt>
                <c:pt idx="33">
                  <c:v>281.67124941318485</c:v>
                </c:pt>
                <c:pt idx="34">
                  <c:v>286.14222162609258</c:v>
                </c:pt>
                <c:pt idx="35">
                  <c:v>290.61319383900025</c:v>
                </c:pt>
                <c:pt idx="36">
                  <c:v>295.08416605190797</c:v>
                </c:pt>
                <c:pt idx="37">
                  <c:v>299.55513826481564</c:v>
                </c:pt>
                <c:pt idx="38">
                  <c:v>304.02611047772336</c:v>
                </c:pt>
                <c:pt idx="39">
                  <c:v>308.49708269063103</c:v>
                </c:pt>
                <c:pt idx="40">
                  <c:v>312.96805490353876</c:v>
                </c:pt>
                <c:pt idx="41">
                  <c:v>317.43902711644643</c:v>
                </c:pt>
                <c:pt idx="42">
                  <c:v>321.90999932935415</c:v>
                </c:pt>
                <c:pt idx="43">
                  <c:v>326.38097154226182</c:v>
                </c:pt>
                <c:pt idx="44">
                  <c:v>330.85194375516954</c:v>
                </c:pt>
                <c:pt idx="45">
                  <c:v>335.32291596807721</c:v>
                </c:pt>
              </c:numCache>
            </c:numRef>
          </c:xVal>
          <c:yVal>
            <c:numRef>
              <c:f>'Potential Torque Curve Shape'!$I$12:$I$57</c:f>
              <c:numCache>
                <c:formatCode>0.00_);[Red]\(0.00\)</c:formatCode>
                <c:ptCount val="46"/>
                <c:pt idx="0">
                  <c:v>142.41257201059301</c:v>
                </c:pt>
                <c:pt idx="1">
                  <c:v>158.59581882997855</c:v>
                </c:pt>
                <c:pt idx="2">
                  <c:v>166.68744223967133</c:v>
                </c:pt>
                <c:pt idx="3">
                  <c:v>171.54241628548706</c:v>
                </c:pt>
                <c:pt idx="4">
                  <c:v>176.39739033130272</c:v>
                </c:pt>
                <c:pt idx="5">
                  <c:v>179.63403969517981</c:v>
                </c:pt>
                <c:pt idx="6">
                  <c:v>184.48901374099546</c:v>
                </c:pt>
                <c:pt idx="7">
                  <c:v>186.10733842293399</c:v>
                </c:pt>
                <c:pt idx="8">
                  <c:v>187.72566310487261</c:v>
                </c:pt>
                <c:pt idx="9">
                  <c:v>187.72566310487261</c:v>
                </c:pt>
                <c:pt idx="10">
                  <c:v>189.34398778681114</c:v>
                </c:pt>
                <c:pt idx="11">
                  <c:v>189.34398778681114</c:v>
                </c:pt>
                <c:pt idx="12">
                  <c:v>187.72566310487261</c:v>
                </c:pt>
                <c:pt idx="13">
                  <c:v>187.72566310487261</c:v>
                </c:pt>
                <c:pt idx="14">
                  <c:v>186.10733842293399</c:v>
                </c:pt>
                <c:pt idx="15">
                  <c:v>186.10733842293399</c:v>
                </c:pt>
                <c:pt idx="16">
                  <c:v>187.72566310487261</c:v>
                </c:pt>
                <c:pt idx="17">
                  <c:v>187.72566310487261</c:v>
                </c:pt>
                <c:pt idx="18">
                  <c:v>186.10733842293399</c:v>
                </c:pt>
                <c:pt idx="19">
                  <c:v>187.72566310487261</c:v>
                </c:pt>
                <c:pt idx="20">
                  <c:v>186.10733842293399</c:v>
                </c:pt>
                <c:pt idx="21">
                  <c:v>184.48901374099546</c:v>
                </c:pt>
                <c:pt idx="22">
                  <c:v>182.8706890590569</c:v>
                </c:pt>
                <c:pt idx="23">
                  <c:v>179.63403969517981</c:v>
                </c:pt>
                <c:pt idx="24">
                  <c:v>176.39739033130272</c:v>
                </c:pt>
                <c:pt idx="25">
                  <c:v>174.77906564936413</c:v>
                </c:pt>
                <c:pt idx="26">
                  <c:v>173.16074096742557</c:v>
                </c:pt>
                <c:pt idx="27">
                  <c:v>174.77906564936413</c:v>
                </c:pt>
                <c:pt idx="28">
                  <c:v>173.16074096742557</c:v>
                </c:pt>
                <c:pt idx="29">
                  <c:v>173.16074096742557</c:v>
                </c:pt>
                <c:pt idx="30">
                  <c:v>174.77906564936413</c:v>
                </c:pt>
                <c:pt idx="31">
                  <c:v>176.39739033130272</c:v>
                </c:pt>
                <c:pt idx="32">
                  <c:v>174.77906564936413</c:v>
                </c:pt>
                <c:pt idx="33">
                  <c:v>171.54241628548706</c:v>
                </c:pt>
                <c:pt idx="34">
                  <c:v>169.92409160354845</c:v>
                </c:pt>
                <c:pt idx="35">
                  <c:v>168.30576692160994</c:v>
                </c:pt>
                <c:pt idx="36">
                  <c:v>168.30576692160994</c:v>
                </c:pt>
                <c:pt idx="37">
                  <c:v>166.68744223967133</c:v>
                </c:pt>
                <c:pt idx="38">
                  <c:v>165.06911755773282</c:v>
                </c:pt>
                <c:pt idx="39">
                  <c:v>163.45079287579424</c:v>
                </c:pt>
                <c:pt idx="40">
                  <c:v>160.21414351191711</c:v>
                </c:pt>
                <c:pt idx="41">
                  <c:v>156.97749414804002</c:v>
                </c:pt>
                <c:pt idx="42">
                  <c:v>153.7408447841629</c:v>
                </c:pt>
                <c:pt idx="43">
                  <c:v>150.50419542028578</c:v>
                </c:pt>
                <c:pt idx="44">
                  <c:v>145.64922137447013</c:v>
                </c:pt>
                <c:pt idx="45">
                  <c:v>140.79424732865442</c:v>
                </c:pt>
              </c:numCache>
            </c:numRef>
          </c:yVal>
          <c:smooth val="1"/>
          <c:extLst>
            <c:ext xmlns:c16="http://schemas.microsoft.com/office/drawing/2014/chart" uri="{C3380CC4-5D6E-409C-BE32-E72D297353CC}">
              <c16:uniqueId val="{00000000-E014-4A66-BDED-9DC8D4709BB7}"/>
            </c:ext>
          </c:extLst>
        </c:ser>
        <c:ser>
          <c:idx val="2"/>
          <c:order val="2"/>
          <c:tx>
            <c:v>Eng0 Torque</c:v>
          </c:tx>
          <c:spPr>
            <a:ln w="19050" cap="rnd">
              <a:solidFill>
                <a:schemeClr val="accent2"/>
              </a:solidFill>
              <a:prstDash val="solid"/>
              <a:round/>
            </a:ln>
            <a:effectLst/>
          </c:spPr>
          <c:marker>
            <c:symbol val="none"/>
          </c:marker>
          <c:xVal>
            <c:numRef>
              <c:f>'Potential Torque Curve Shape'!$R$12:$R$19</c:f>
              <c:numCache>
                <c:formatCode>0</c:formatCode>
                <c:ptCount val="8"/>
                <c:pt idx="0">
                  <c:v>156.66957279860506</c:v>
                </c:pt>
                <c:pt idx="1">
                  <c:v>182.73757628596337</c:v>
                </c:pt>
                <c:pt idx="2">
                  <c:v>208.89276373147339</c:v>
                </c:pt>
                <c:pt idx="3">
                  <c:v>234.96076721883173</c:v>
                </c:pt>
                <c:pt idx="4">
                  <c:v>261.02877070619007</c:v>
                </c:pt>
                <c:pt idx="5">
                  <c:v>278.98866608544029</c:v>
                </c:pt>
                <c:pt idx="6">
                  <c:v>287.1839581517001</c:v>
                </c:pt>
                <c:pt idx="7">
                  <c:v>313.86224934612028</c:v>
                </c:pt>
              </c:numCache>
            </c:numRef>
          </c:xVal>
          <c:yVal>
            <c:numRef>
              <c:f>'Potential Torque Curve Shape'!$S$12:$S$19</c:f>
              <c:numCache>
                <c:formatCode>0.00</c:formatCode>
                <c:ptCount val="8"/>
                <c:pt idx="0">
                  <c:v>213.34200000000004</c:v>
                </c:pt>
                <c:pt idx="1">
                  <c:v>229.4</c:v>
                </c:pt>
                <c:pt idx="2">
                  <c:v>216.78299999999999</c:v>
                </c:pt>
                <c:pt idx="3">
                  <c:v>225.959</c:v>
                </c:pt>
                <c:pt idx="4">
                  <c:v>219.07700000000003</c:v>
                </c:pt>
                <c:pt idx="5">
                  <c:v>208.75399999999999</c:v>
                </c:pt>
                <c:pt idx="6">
                  <c:v>209.90100000000001</c:v>
                </c:pt>
                <c:pt idx="7">
                  <c:v>186.96100000000001</c:v>
                </c:pt>
              </c:numCache>
            </c:numRef>
          </c:yVal>
          <c:smooth val="1"/>
          <c:extLst>
            <c:ext xmlns:c16="http://schemas.microsoft.com/office/drawing/2014/chart" uri="{C3380CC4-5D6E-409C-BE32-E72D297353CC}">
              <c16:uniqueId val="{00000002-E014-4A66-BDED-9DC8D4709BB7}"/>
            </c:ext>
          </c:extLst>
        </c:ser>
        <c:ser>
          <c:idx val="4"/>
          <c:order val="4"/>
          <c:tx>
            <c:v>Initial Proposed Torque</c:v>
          </c:tx>
          <c:spPr>
            <a:ln w="19050" cap="rnd">
              <a:solidFill>
                <a:schemeClr val="accent5"/>
              </a:solidFill>
              <a:round/>
            </a:ln>
            <a:effectLst/>
          </c:spPr>
          <c:marker>
            <c:symbol val="none"/>
          </c:marker>
          <c:xVal>
            <c:numRef>
              <c:f>'Potential Torque Curve Shape'!$AS$12:$AS$28</c:f>
            </c:numRef>
          </c:xVal>
          <c:yVal>
            <c:numRef>
              <c:f>'Potential Torque Curve Shape'!$AU$12:$AU$28</c:f>
              <c:extLst xmlns:c15="http://schemas.microsoft.com/office/drawing/2012/chart"/>
            </c:numRef>
          </c:yVal>
          <c:smooth val="1"/>
          <c:extLst xmlns:c15="http://schemas.microsoft.com/office/drawing/2012/chart">
            <c:ext xmlns:c16="http://schemas.microsoft.com/office/drawing/2014/chart" uri="{C3380CC4-5D6E-409C-BE32-E72D297353CC}">
              <c16:uniqueId val="{00000004-E014-4A66-BDED-9DC8D4709BB7}"/>
            </c:ext>
          </c:extLst>
        </c:ser>
        <c:ser>
          <c:idx val="7"/>
          <c:order val="6"/>
          <c:tx>
            <c:v>Proposed Wheel Based Torque</c:v>
          </c:tx>
          <c:spPr>
            <a:ln w="19050" cap="rnd">
              <a:solidFill>
                <a:srgbClr val="7030A0"/>
              </a:solidFill>
              <a:round/>
            </a:ln>
            <a:effectLst/>
          </c:spPr>
          <c:marker>
            <c:symbol val="none"/>
          </c:marker>
          <c:xVal>
            <c:numRef>
              <c:f>'Potential Torque Curve Shape'!$V$12:$V$26</c:f>
              <c:numCache>
                <c:formatCode>0_);[Red]\(0\)</c:formatCode>
                <c:ptCount val="15"/>
                <c:pt idx="0">
                  <c:v>50</c:v>
                </c:pt>
                <c:pt idx="1">
                  <c:v>75</c:v>
                </c:pt>
                <c:pt idx="2">
                  <c:v>100</c:v>
                </c:pt>
                <c:pt idx="3">
                  <c:v>125</c:v>
                </c:pt>
                <c:pt idx="4">
                  <c:v>150</c:v>
                </c:pt>
                <c:pt idx="5">
                  <c:v>175</c:v>
                </c:pt>
                <c:pt idx="6">
                  <c:v>200</c:v>
                </c:pt>
                <c:pt idx="7">
                  <c:v>225</c:v>
                </c:pt>
                <c:pt idx="8">
                  <c:v>250</c:v>
                </c:pt>
                <c:pt idx="9">
                  <c:v>275</c:v>
                </c:pt>
                <c:pt idx="10">
                  <c:v>300</c:v>
                </c:pt>
                <c:pt idx="11">
                  <c:v>325</c:v>
                </c:pt>
                <c:pt idx="12">
                  <c:v>350</c:v>
                </c:pt>
                <c:pt idx="13">
                  <c:v>375</c:v>
                </c:pt>
                <c:pt idx="14">
                  <c:v>400</c:v>
                </c:pt>
              </c:numCache>
            </c:numRef>
          </c:xVal>
          <c:yVal>
            <c:numRef>
              <c:f>'Potential Torque Curve Shape'!$X$12:$X$26</c:f>
              <c:numCache>
                <c:formatCode>0.00_);[Red]\(0.00\)</c:formatCode>
                <c:ptCount val="15"/>
                <c:pt idx="0">
                  <c:v>42.016000000000005</c:v>
                </c:pt>
                <c:pt idx="1">
                  <c:v>98.037333333333322</c:v>
                </c:pt>
                <c:pt idx="2">
                  <c:v>173.31599999999997</c:v>
                </c:pt>
                <c:pt idx="3">
                  <c:v>243.69279999999998</c:v>
                </c:pt>
                <c:pt idx="4">
                  <c:v>311.61866666666668</c:v>
                </c:pt>
                <c:pt idx="5">
                  <c:v>348.1325714285714</c:v>
                </c:pt>
                <c:pt idx="6">
                  <c:v>349.25800000000004</c:v>
                </c:pt>
                <c:pt idx="7">
                  <c:v>343.13066666666663</c:v>
                </c:pt>
                <c:pt idx="8">
                  <c:v>336.12799999999999</c:v>
                </c:pt>
                <c:pt idx="9">
                  <c:v>324.66909090909093</c:v>
                </c:pt>
                <c:pt idx="10">
                  <c:v>290.6106666666667</c:v>
                </c:pt>
                <c:pt idx="11">
                  <c:v>218.16</c:v>
                </c:pt>
                <c:pt idx="12">
                  <c:v>153.05828571428569</c:v>
                </c:pt>
                <c:pt idx="13">
                  <c:v>93.835733333333337</c:v>
                </c:pt>
                <c:pt idx="14">
                  <c:v>45.954999999999998</c:v>
                </c:pt>
              </c:numCache>
            </c:numRef>
          </c:yVal>
          <c:smooth val="1"/>
          <c:extLst>
            <c:ext xmlns:c16="http://schemas.microsoft.com/office/drawing/2014/chart" uri="{C3380CC4-5D6E-409C-BE32-E72D297353CC}">
              <c16:uniqueId val="{00000001-1D04-4228-BC2F-98CCA920F24D}"/>
            </c:ext>
          </c:extLst>
        </c:ser>
        <c:dLbls>
          <c:showLegendKey val="0"/>
          <c:showVal val="0"/>
          <c:showCatName val="0"/>
          <c:showSerName val="0"/>
          <c:showPercent val="0"/>
          <c:showBubbleSize val="0"/>
        </c:dLbls>
        <c:axId val="888612944"/>
        <c:axId val="888618848"/>
        <c:extLst/>
      </c:scatterChart>
      <c:scatterChart>
        <c:scatterStyle val="smoothMarker"/>
        <c:varyColors val="0"/>
        <c:ser>
          <c:idx val="1"/>
          <c:order val="1"/>
          <c:tx>
            <c:v>Eng1 Power</c:v>
          </c:tx>
          <c:spPr>
            <a:ln w="19050" cap="rnd">
              <a:solidFill>
                <a:schemeClr val="accent5"/>
              </a:solidFill>
              <a:prstDash val="sysDash"/>
              <a:round/>
            </a:ln>
            <a:effectLst/>
          </c:spPr>
          <c:marker>
            <c:symbol val="none"/>
          </c:marker>
          <c:xVal>
            <c:numRef>
              <c:f>'Potential Torque Curve Shape'!$H$12:$H$57</c:f>
              <c:numCache>
                <c:formatCode>0</c:formatCode>
                <c:ptCount val="46"/>
                <c:pt idx="0">
                  <c:v>134.1291663872309</c:v>
                </c:pt>
                <c:pt idx="1">
                  <c:v>138.60013860013859</c:v>
                </c:pt>
                <c:pt idx="2">
                  <c:v>143.07111081304629</c:v>
                </c:pt>
                <c:pt idx="3">
                  <c:v>147.54208302595399</c:v>
                </c:pt>
                <c:pt idx="4">
                  <c:v>152.01305523886168</c:v>
                </c:pt>
                <c:pt idx="5">
                  <c:v>156.48402745176938</c:v>
                </c:pt>
                <c:pt idx="6">
                  <c:v>160.95499966467708</c:v>
                </c:pt>
                <c:pt idx="7">
                  <c:v>165.42597187758477</c:v>
                </c:pt>
                <c:pt idx="8">
                  <c:v>169.89694409049247</c:v>
                </c:pt>
                <c:pt idx="9">
                  <c:v>174.36791630340016</c:v>
                </c:pt>
                <c:pt idx="10">
                  <c:v>178.83888851630786</c:v>
                </c:pt>
                <c:pt idx="11">
                  <c:v>183.30986072921556</c:v>
                </c:pt>
                <c:pt idx="12">
                  <c:v>187.78083294212325</c:v>
                </c:pt>
                <c:pt idx="13">
                  <c:v>192.25180515503095</c:v>
                </c:pt>
                <c:pt idx="14">
                  <c:v>196.72277736793865</c:v>
                </c:pt>
                <c:pt idx="15">
                  <c:v>201.19374958084634</c:v>
                </c:pt>
                <c:pt idx="16">
                  <c:v>205.66472179375404</c:v>
                </c:pt>
                <c:pt idx="17">
                  <c:v>210.13569400666174</c:v>
                </c:pt>
                <c:pt idx="18">
                  <c:v>214.60666621956943</c:v>
                </c:pt>
                <c:pt idx="19">
                  <c:v>219.07763843247713</c:v>
                </c:pt>
                <c:pt idx="20">
                  <c:v>223.54861064538483</c:v>
                </c:pt>
                <c:pt idx="21">
                  <c:v>228.01958285829252</c:v>
                </c:pt>
                <c:pt idx="22">
                  <c:v>232.49055507120022</c:v>
                </c:pt>
                <c:pt idx="23">
                  <c:v>236.96152728410792</c:v>
                </c:pt>
                <c:pt idx="24">
                  <c:v>241.43249949701561</c:v>
                </c:pt>
                <c:pt idx="25">
                  <c:v>245.90347170992331</c:v>
                </c:pt>
                <c:pt idx="26">
                  <c:v>250.37444392283101</c:v>
                </c:pt>
                <c:pt idx="27">
                  <c:v>254.8454161357387</c:v>
                </c:pt>
                <c:pt idx="28">
                  <c:v>259.3163883486464</c:v>
                </c:pt>
                <c:pt idx="29">
                  <c:v>263.78736056155407</c:v>
                </c:pt>
                <c:pt idx="30">
                  <c:v>268.25833277446179</c:v>
                </c:pt>
                <c:pt idx="31">
                  <c:v>272.72930498736946</c:v>
                </c:pt>
                <c:pt idx="32">
                  <c:v>277.20027720027718</c:v>
                </c:pt>
                <c:pt idx="33">
                  <c:v>281.67124941318485</c:v>
                </c:pt>
                <c:pt idx="34">
                  <c:v>286.14222162609258</c:v>
                </c:pt>
                <c:pt idx="35">
                  <c:v>290.61319383900025</c:v>
                </c:pt>
                <c:pt idx="36">
                  <c:v>295.08416605190797</c:v>
                </c:pt>
                <c:pt idx="37">
                  <c:v>299.55513826481564</c:v>
                </c:pt>
                <c:pt idx="38">
                  <c:v>304.02611047772336</c:v>
                </c:pt>
                <c:pt idx="39">
                  <c:v>308.49708269063103</c:v>
                </c:pt>
                <c:pt idx="40">
                  <c:v>312.96805490353876</c:v>
                </c:pt>
                <c:pt idx="41">
                  <c:v>317.43902711644643</c:v>
                </c:pt>
                <c:pt idx="42">
                  <c:v>321.90999932935415</c:v>
                </c:pt>
                <c:pt idx="43">
                  <c:v>326.38097154226182</c:v>
                </c:pt>
                <c:pt idx="44">
                  <c:v>330.85194375516954</c:v>
                </c:pt>
                <c:pt idx="45">
                  <c:v>335.32291596807721</c:v>
                </c:pt>
              </c:numCache>
            </c:numRef>
          </c:xVal>
          <c:yVal>
            <c:numRef>
              <c:f>'Potential Torque Curve Shape'!$J$12:$J$57</c:f>
              <c:numCache>
                <c:formatCode>0.00_);[Red]\(0.00\)</c:formatCode>
                <c:ptCount val="46"/>
                <c:pt idx="0">
                  <c:v>3.6183383545576859</c:v>
                </c:pt>
                <c:pt idx="1">
                  <c:v>4.1605961461126526</c:v>
                </c:pt>
                <c:pt idx="2">
                  <c:v>4.5352469839142655</c:v>
                </c:pt>
                <c:pt idx="3">
                  <c:v>4.8211647285523389</c:v>
                </c:pt>
                <c:pt idx="4">
                  <c:v>5.0873640080429592</c:v>
                </c:pt>
                <c:pt idx="5">
                  <c:v>5.3338448223861255</c:v>
                </c:pt>
                <c:pt idx="6">
                  <c:v>5.649340264745379</c:v>
                </c:pt>
                <c:pt idx="7">
                  <c:v>5.856384148793639</c:v>
                </c:pt>
                <c:pt idx="8">
                  <c:v>6.053568800268172</c:v>
                </c:pt>
                <c:pt idx="9">
                  <c:v>6.2014572888740718</c:v>
                </c:pt>
                <c:pt idx="10">
                  <c:v>6.4282196380697849</c:v>
                </c:pt>
                <c:pt idx="11">
                  <c:v>6.5958265918231387</c:v>
                </c:pt>
                <c:pt idx="12">
                  <c:v>6.6944189175604052</c:v>
                </c:pt>
                <c:pt idx="13">
                  <c:v>6.852166638740032</c:v>
                </c:pt>
                <c:pt idx="14">
                  <c:v>6.9704774296247525</c:v>
                </c:pt>
                <c:pt idx="15">
                  <c:v>7.1282251508043792</c:v>
                </c:pt>
                <c:pt idx="16">
                  <c:v>7.3155505697051852</c:v>
                </c:pt>
                <c:pt idx="17">
                  <c:v>7.473298290884812</c:v>
                </c:pt>
                <c:pt idx="18">
                  <c:v>7.6014683143432586</c:v>
                </c:pt>
                <c:pt idx="19">
                  <c:v>7.7986529658177917</c:v>
                </c:pt>
                <c:pt idx="20">
                  <c:v>7.9169637567025113</c:v>
                </c:pt>
                <c:pt idx="21">
                  <c:v>8.0352745475872318</c:v>
                </c:pt>
                <c:pt idx="22">
                  <c:v>8.0648522453084119</c:v>
                </c:pt>
                <c:pt idx="23">
                  <c:v>8.0747114778821381</c:v>
                </c:pt>
                <c:pt idx="24">
                  <c:v>8.0845707104558642</c:v>
                </c:pt>
                <c:pt idx="25">
                  <c:v>8.1831630361931325</c:v>
                </c:pt>
                <c:pt idx="26">
                  <c:v>8.2718961293566728</c:v>
                </c:pt>
                <c:pt idx="27">
                  <c:v>8.4690807808312041</c:v>
                </c:pt>
                <c:pt idx="28">
                  <c:v>8.5578138739947445</c:v>
                </c:pt>
                <c:pt idx="29">
                  <c:v>8.676124664879465</c:v>
                </c:pt>
                <c:pt idx="30">
                  <c:v>8.9028870140751781</c:v>
                </c:pt>
                <c:pt idx="31">
                  <c:v>9.1197901306971652</c:v>
                </c:pt>
                <c:pt idx="32">
                  <c:v>9.2085232238607038</c:v>
                </c:pt>
                <c:pt idx="33">
                  <c:v>9.2183824564344317</c:v>
                </c:pt>
                <c:pt idx="34">
                  <c:v>9.2578193867293379</c:v>
                </c:pt>
                <c:pt idx="35">
                  <c:v>9.3366932473191522</c:v>
                </c:pt>
                <c:pt idx="36">
                  <c:v>9.4550040382038709</c:v>
                </c:pt>
                <c:pt idx="37">
                  <c:v>9.5141594336462312</c:v>
                </c:pt>
                <c:pt idx="38">
                  <c:v>9.5634555965148635</c:v>
                </c:pt>
                <c:pt idx="39">
                  <c:v>9.6028925268097716</c:v>
                </c:pt>
                <c:pt idx="40">
                  <c:v>9.5535963639411374</c:v>
                </c:pt>
                <c:pt idx="41">
                  <c:v>9.484581735925051</c:v>
                </c:pt>
                <c:pt idx="42">
                  <c:v>9.4155671079089647</c:v>
                </c:pt>
                <c:pt idx="43">
                  <c:v>9.3169747821716982</c:v>
                </c:pt>
                <c:pt idx="44">
                  <c:v>9.1690862935657993</c:v>
                </c:pt>
                <c:pt idx="45">
                  <c:v>9.0113385723861725</c:v>
                </c:pt>
              </c:numCache>
            </c:numRef>
          </c:yVal>
          <c:smooth val="1"/>
          <c:extLst>
            <c:ext xmlns:c16="http://schemas.microsoft.com/office/drawing/2014/chart" uri="{C3380CC4-5D6E-409C-BE32-E72D297353CC}">
              <c16:uniqueId val="{00000001-E014-4A66-BDED-9DC8D4709BB7}"/>
            </c:ext>
          </c:extLst>
        </c:ser>
        <c:ser>
          <c:idx val="3"/>
          <c:order val="3"/>
          <c:tx>
            <c:v>Eng0 Power</c:v>
          </c:tx>
          <c:spPr>
            <a:ln w="19050" cap="rnd">
              <a:solidFill>
                <a:schemeClr val="accent2"/>
              </a:solidFill>
              <a:prstDash val="sysDash"/>
              <a:round/>
            </a:ln>
            <a:effectLst/>
          </c:spPr>
          <c:marker>
            <c:symbol val="none"/>
          </c:marker>
          <c:xVal>
            <c:numRef>
              <c:f>'Potential Torque Curve Shape'!$R$12:$R$19</c:f>
              <c:numCache>
                <c:formatCode>0</c:formatCode>
                <c:ptCount val="8"/>
                <c:pt idx="0">
                  <c:v>156.66957279860506</c:v>
                </c:pt>
                <c:pt idx="1">
                  <c:v>182.73757628596337</c:v>
                </c:pt>
                <c:pt idx="2">
                  <c:v>208.89276373147339</c:v>
                </c:pt>
                <c:pt idx="3">
                  <c:v>234.96076721883173</c:v>
                </c:pt>
                <c:pt idx="4">
                  <c:v>261.02877070619007</c:v>
                </c:pt>
                <c:pt idx="5">
                  <c:v>278.98866608544029</c:v>
                </c:pt>
                <c:pt idx="6">
                  <c:v>287.1839581517001</c:v>
                </c:pt>
                <c:pt idx="7">
                  <c:v>313.86224934612028</c:v>
                </c:pt>
              </c:numCache>
            </c:numRef>
          </c:xVal>
          <c:yVal>
            <c:numRef>
              <c:f>'Potential Torque Curve Shape'!$T$12:$T$19</c:f>
              <c:numCache>
                <c:formatCode>0.00</c:formatCode>
                <c:ptCount val="8"/>
                <c:pt idx="0">
                  <c:v>6.3640898705255147</c:v>
                </c:pt>
                <c:pt idx="1">
                  <c:v>7.9817212490479816</c:v>
                </c:pt>
                <c:pt idx="2">
                  <c:v>8.6223153084539206</c:v>
                </c:pt>
                <c:pt idx="3">
                  <c:v>10.108815689261235</c:v>
                </c:pt>
                <c:pt idx="4">
                  <c:v>10.888309215536939</c:v>
                </c:pt>
                <c:pt idx="5">
                  <c:v>11.089108910891088</c:v>
                </c:pt>
                <c:pt idx="6">
                  <c:v>11.477570449352628</c:v>
                </c:pt>
                <c:pt idx="7">
                  <c:v>11.172886519421173</c:v>
                </c:pt>
              </c:numCache>
            </c:numRef>
          </c:yVal>
          <c:smooth val="1"/>
          <c:extLst>
            <c:ext xmlns:c16="http://schemas.microsoft.com/office/drawing/2014/chart" uri="{C3380CC4-5D6E-409C-BE32-E72D297353CC}">
              <c16:uniqueId val="{00000003-E014-4A66-BDED-9DC8D4709BB7}"/>
            </c:ext>
          </c:extLst>
        </c:ser>
        <c:ser>
          <c:idx val="5"/>
          <c:order val="5"/>
          <c:tx>
            <c:v>Initial Proposed Power</c:v>
          </c:tx>
          <c:spPr>
            <a:ln w="19050" cap="rnd">
              <a:solidFill>
                <a:schemeClr val="accent6"/>
              </a:solidFill>
              <a:round/>
            </a:ln>
            <a:effectLst/>
          </c:spPr>
          <c:marker>
            <c:symbol val="none"/>
          </c:marker>
          <c:xVal>
            <c:numRef>
              <c:f>'Potential Torque Curve Shape'!$AS$12:$AS$28</c:f>
            </c:numRef>
          </c:xVal>
          <c:yVal>
            <c:numRef>
              <c:f>'Potential Torque Curve Shape'!$AV$12:$AV$28</c:f>
              <c:extLst xmlns:c15="http://schemas.microsoft.com/office/drawing/2012/chart"/>
            </c:numRef>
          </c:yVal>
          <c:smooth val="1"/>
          <c:extLst xmlns:c15="http://schemas.microsoft.com/office/drawing/2012/chart">
            <c:ext xmlns:c16="http://schemas.microsoft.com/office/drawing/2014/chart" uri="{C3380CC4-5D6E-409C-BE32-E72D297353CC}">
              <c16:uniqueId val="{00000005-E014-4A66-BDED-9DC8D4709BB7}"/>
            </c:ext>
          </c:extLst>
        </c:ser>
        <c:ser>
          <c:idx val="8"/>
          <c:order val="7"/>
          <c:tx>
            <c:v>Proposed Wheel Based Power</c:v>
          </c:tx>
          <c:spPr>
            <a:ln w="19050" cap="rnd">
              <a:solidFill>
                <a:srgbClr val="7030A0"/>
              </a:solidFill>
              <a:prstDash val="sysDash"/>
              <a:round/>
            </a:ln>
            <a:effectLst/>
          </c:spPr>
          <c:marker>
            <c:symbol val="none"/>
          </c:marker>
          <c:xVal>
            <c:numRef>
              <c:f>'Potential Torque Curve Shape'!$V$12:$V$26</c:f>
              <c:numCache>
                <c:formatCode>0_);[Red]\(0\)</c:formatCode>
                <c:ptCount val="15"/>
                <c:pt idx="0">
                  <c:v>50</c:v>
                </c:pt>
                <c:pt idx="1">
                  <c:v>75</c:v>
                </c:pt>
                <c:pt idx="2">
                  <c:v>100</c:v>
                </c:pt>
                <c:pt idx="3">
                  <c:v>125</c:v>
                </c:pt>
                <c:pt idx="4">
                  <c:v>150</c:v>
                </c:pt>
                <c:pt idx="5">
                  <c:v>175</c:v>
                </c:pt>
                <c:pt idx="6">
                  <c:v>200</c:v>
                </c:pt>
                <c:pt idx="7">
                  <c:v>225</c:v>
                </c:pt>
                <c:pt idx="8">
                  <c:v>250</c:v>
                </c:pt>
                <c:pt idx="9">
                  <c:v>275</c:v>
                </c:pt>
                <c:pt idx="10">
                  <c:v>300</c:v>
                </c:pt>
                <c:pt idx="11">
                  <c:v>325</c:v>
                </c:pt>
                <c:pt idx="12">
                  <c:v>350</c:v>
                </c:pt>
                <c:pt idx="13">
                  <c:v>375</c:v>
                </c:pt>
                <c:pt idx="14">
                  <c:v>400</c:v>
                </c:pt>
              </c:numCache>
            </c:numRef>
          </c:xVal>
          <c:yVal>
            <c:numRef>
              <c:f>'Potential Torque Curve Shape'!$Y$12:$Y$26</c:f>
              <c:numCache>
                <c:formatCode>0.00_);[Red]\(0.00\)</c:formatCode>
                <c:ptCount val="15"/>
                <c:pt idx="0">
                  <c:v>0.4</c:v>
                </c:pt>
                <c:pt idx="1">
                  <c:v>1.4</c:v>
                </c:pt>
                <c:pt idx="2">
                  <c:v>3.3</c:v>
                </c:pt>
                <c:pt idx="3">
                  <c:v>5.8</c:v>
                </c:pt>
                <c:pt idx="4">
                  <c:v>8.9</c:v>
                </c:pt>
                <c:pt idx="5">
                  <c:v>11.6</c:v>
                </c:pt>
                <c:pt idx="6">
                  <c:v>13.3</c:v>
                </c:pt>
                <c:pt idx="7">
                  <c:v>14.7</c:v>
                </c:pt>
                <c:pt idx="8">
                  <c:v>16</c:v>
                </c:pt>
                <c:pt idx="9">
                  <c:v>17</c:v>
                </c:pt>
                <c:pt idx="10">
                  <c:v>16.600000000000001</c:v>
                </c:pt>
                <c:pt idx="11">
                  <c:v>13.5</c:v>
                </c:pt>
                <c:pt idx="12">
                  <c:v>10.199999999999999</c:v>
                </c:pt>
                <c:pt idx="13">
                  <c:v>6.7</c:v>
                </c:pt>
                <c:pt idx="14">
                  <c:v>3.5</c:v>
                </c:pt>
              </c:numCache>
            </c:numRef>
          </c:yVal>
          <c:smooth val="1"/>
          <c:extLst>
            <c:ext xmlns:c16="http://schemas.microsoft.com/office/drawing/2014/chart" uri="{C3380CC4-5D6E-409C-BE32-E72D297353CC}">
              <c16:uniqueId val="{00000002-1D04-4228-BC2F-98CCA920F24D}"/>
            </c:ext>
          </c:extLst>
        </c:ser>
        <c:dLbls>
          <c:showLegendKey val="0"/>
          <c:showVal val="0"/>
          <c:showCatName val="0"/>
          <c:showSerName val="0"/>
          <c:showPercent val="0"/>
          <c:showBubbleSize val="0"/>
        </c:dLbls>
        <c:axId val="765966344"/>
        <c:axId val="887780728"/>
        <c:extLst/>
      </c:scatterChart>
      <c:valAx>
        <c:axId val="888612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18848"/>
        <c:crosses val="autoZero"/>
        <c:crossBetween val="midCat"/>
      </c:valAx>
      <c:valAx>
        <c:axId val="888618848"/>
        <c:scaling>
          <c:orientation val="minMax"/>
          <c:max val="4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lbf*ft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12944"/>
        <c:crosses val="autoZero"/>
        <c:crossBetween val="midCat"/>
      </c:valAx>
      <c:valAx>
        <c:axId val="887780728"/>
        <c:scaling>
          <c:orientation val="minMax"/>
          <c:max val="3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_);[Red]\(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66344"/>
        <c:crosses val="max"/>
        <c:crossBetween val="midCat"/>
      </c:valAx>
      <c:valAx>
        <c:axId val="765966344"/>
        <c:scaling>
          <c:orientation val="minMax"/>
        </c:scaling>
        <c:delete val="1"/>
        <c:axPos val="t"/>
        <c:numFmt formatCode="0" sourceLinked="1"/>
        <c:majorTickMark val="out"/>
        <c:minorTickMark val="none"/>
        <c:tickLblPos val="nextTo"/>
        <c:crossAx val="887780728"/>
        <c:crosses val="max"/>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161925</xdr:colOff>
      <xdr:row>10</xdr:row>
      <xdr:rowOff>119062</xdr:rowOff>
    </xdr:from>
    <xdr:to>
      <xdr:col>10</xdr:col>
      <xdr:colOff>466725</xdr:colOff>
      <xdr:row>25</xdr:row>
      <xdr:rowOff>14287</xdr:rowOff>
    </xdr:to>
    <xdr:graphicFrame macro="">
      <xdr:nvGraphicFramePr>
        <xdr:cNvPr id="2" name="Chart 1">
          <a:extLst>
            <a:ext uri="{FF2B5EF4-FFF2-40B4-BE49-F238E27FC236}">
              <a16:creationId xmlns:a16="http://schemas.microsoft.com/office/drawing/2014/main" id="{DB770AEA-8C9F-48BC-AB6F-6FEDE67FF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66675</xdr:colOff>
      <xdr:row>23</xdr:row>
      <xdr:rowOff>4762</xdr:rowOff>
    </xdr:from>
    <xdr:ext cx="65" cy="172227"/>
    <xdr:sp macro="" textlink="">
      <xdr:nvSpPr>
        <xdr:cNvPr id="2" name="TextBox 1">
          <a:extLst>
            <a:ext uri="{FF2B5EF4-FFF2-40B4-BE49-F238E27FC236}">
              <a16:creationId xmlns:a16="http://schemas.microsoft.com/office/drawing/2014/main" id="{40FDE358-B2F9-4339-BEF6-3BEE449C6B5E}"/>
            </a:ext>
          </a:extLst>
        </xdr:cNvPr>
        <xdr:cNvSpPr txBox="1"/>
      </xdr:nvSpPr>
      <xdr:spPr>
        <a:xfrm>
          <a:off x="5400675" y="4691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0</xdr:colOff>
      <xdr:row>25</xdr:row>
      <xdr:rowOff>4762</xdr:rowOff>
    </xdr:from>
    <xdr:ext cx="65" cy="172227"/>
    <xdr:sp macro="" textlink="">
      <xdr:nvSpPr>
        <xdr:cNvPr id="2" name="TextBox 1">
          <a:extLst>
            <a:ext uri="{FF2B5EF4-FFF2-40B4-BE49-F238E27FC236}">
              <a16:creationId xmlns:a16="http://schemas.microsoft.com/office/drawing/2014/main" id="{D2CA294B-7C35-4B9E-991F-72A13661C11A}"/>
            </a:ext>
          </a:extLst>
        </xdr:cNvPr>
        <xdr:cNvSpPr txBox="1"/>
      </xdr:nvSpPr>
      <xdr:spPr>
        <a:xfrm>
          <a:off x="5953125" y="6691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editAs="oneCell">
    <xdr:from>
      <xdr:col>24</xdr:col>
      <xdr:colOff>122291</xdr:colOff>
      <xdr:row>2</xdr:row>
      <xdr:rowOff>61008</xdr:rowOff>
    </xdr:from>
    <xdr:to>
      <xdr:col>28</xdr:col>
      <xdr:colOff>93719</xdr:colOff>
      <xdr:row>3</xdr:row>
      <xdr:rowOff>0</xdr:rowOff>
    </xdr:to>
    <xdr:pic>
      <xdr:nvPicPr>
        <xdr:cNvPr id="3" name="Picture 2">
          <a:extLst>
            <a:ext uri="{FF2B5EF4-FFF2-40B4-BE49-F238E27FC236}">
              <a16:creationId xmlns:a16="http://schemas.microsoft.com/office/drawing/2014/main" id="{224D00A8-64D5-4229-8387-B05AF9E7387F}"/>
            </a:ext>
          </a:extLst>
        </xdr:cNvPr>
        <xdr:cNvPicPr>
          <a:picLocks noChangeAspect="1"/>
        </xdr:cNvPicPr>
      </xdr:nvPicPr>
      <xdr:blipFill>
        <a:blip xmlns:r="http://schemas.openxmlformats.org/officeDocument/2006/relationships" r:embed="rId1"/>
        <a:stretch>
          <a:fillRect/>
        </a:stretch>
      </xdr:blipFill>
      <xdr:spPr>
        <a:xfrm>
          <a:off x="20562941" y="1223058"/>
          <a:ext cx="2409828" cy="6914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74517</xdr:rowOff>
    </xdr:from>
    <xdr:to>
      <xdr:col>17</xdr:col>
      <xdr:colOff>763485</xdr:colOff>
      <xdr:row>44</xdr:row>
      <xdr:rowOff>180412</xdr:rowOff>
    </xdr:to>
    <xdr:graphicFrame macro="">
      <xdr:nvGraphicFramePr>
        <xdr:cNvPr id="7" name="Chart 1">
          <a:extLst>
            <a:ext uri="{FF2B5EF4-FFF2-40B4-BE49-F238E27FC236}">
              <a16:creationId xmlns:a16="http://schemas.microsoft.com/office/drawing/2014/main" id="{52B549B1-840B-4484-9FCE-7BB6B54FF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162487</xdr:colOff>
      <xdr:row>13</xdr:row>
      <xdr:rowOff>59390</xdr:rowOff>
    </xdr:from>
    <xdr:to>
      <xdr:col>33</xdr:col>
      <xdr:colOff>1355914</xdr:colOff>
      <xdr:row>44</xdr:row>
      <xdr:rowOff>1680</xdr:rowOff>
    </xdr:to>
    <xdr:graphicFrame macro="">
      <xdr:nvGraphicFramePr>
        <xdr:cNvPr id="3" name="Chart 2">
          <a:extLst>
            <a:ext uri="{FF2B5EF4-FFF2-40B4-BE49-F238E27FC236}">
              <a16:creationId xmlns:a16="http://schemas.microsoft.com/office/drawing/2014/main" id="{A9CDEE30-7B3F-4533-931F-1CDFB78FD516}"/>
            </a:ext>
            <a:ext uri="{147F2762-F138-4A5C-976F-8EAC2B608ADB}">
              <a16:predDERef xmlns:a16="http://schemas.microsoft.com/office/drawing/2014/main" pred="{52B549B1-840B-4484-9FCE-7BB6B54FF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770BB-219A-455D-A8FD-F5B6A6425084}">
  <sheetPr codeName="Sheet1"/>
  <dimension ref="A1:C43"/>
  <sheetViews>
    <sheetView topLeftCell="A28" workbookViewId="0">
      <selection activeCell="E3" sqref="E3"/>
    </sheetView>
  </sheetViews>
  <sheetFormatPr defaultColWidth="9.140625" defaultRowHeight="15" x14ac:dyDescent="0.25"/>
  <cols>
    <col min="3" max="3" width="13.42578125" bestFit="1" customWidth="1"/>
  </cols>
  <sheetData>
    <row r="1" spans="1:3" x14ac:dyDescent="0.25">
      <c r="A1" s="39" t="s">
        <v>222</v>
      </c>
      <c r="B1" s="39">
        <v>1379</v>
      </c>
      <c r="C1" s="39" t="s">
        <v>0</v>
      </c>
    </row>
    <row r="2" spans="1:3" x14ac:dyDescent="0.25">
      <c r="A2" s="382" t="s">
        <v>1</v>
      </c>
      <c r="B2" s="382"/>
      <c r="C2" s="382"/>
    </row>
    <row r="3" spans="1:3" x14ac:dyDescent="0.25">
      <c r="A3" s="39" t="s">
        <v>2</v>
      </c>
      <c r="B3" s="39" t="s">
        <v>3</v>
      </c>
      <c r="C3" s="39" t="s">
        <v>4</v>
      </c>
    </row>
    <row r="4" spans="1:3" x14ac:dyDescent="0.25">
      <c r="A4" s="39">
        <v>19.14</v>
      </c>
      <c r="B4" s="39">
        <v>3.39E-2</v>
      </c>
      <c r="C4" s="39">
        <v>3.6729999999999999E-2</v>
      </c>
    </row>
    <row r="5" spans="1:3" ht="15.75" thickBot="1" x14ac:dyDescent="0.3"/>
    <row r="6" spans="1:3" x14ac:dyDescent="0.25">
      <c r="A6" s="38" t="s">
        <v>5</v>
      </c>
      <c r="B6" s="37" t="s">
        <v>6</v>
      </c>
      <c r="C6" s="36" t="s">
        <v>7</v>
      </c>
    </row>
    <row r="7" spans="1:3" x14ac:dyDescent="0.25">
      <c r="A7" s="35" t="s">
        <v>8</v>
      </c>
      <c r="B7" s="34" t="s">
        <v>0</v>
      </c>
      <c r="C7" s="32" t="s">
        <v>0</v>
      </c>
    </row>
    <row r="8" spans="1:3" x14ac:dyDescent="0.25">
      <c r="A8" s="2">
        <v>0</v>
      </c>
      <c r="B8" s="33">
        <f t="shared" ref="B8:B33" si="0">$C$4*A8^2+$B$4*A8+$A$4</f>
        <v>19.14</v>
      </c>
      <c r="C8" s="32">
        <f t="shared" ref="C8:C33" si="1">B8-$B$8</f>
        <v>0</v>
      </c>
    </row>
    <row r="9" spans="1:3" x14ac:dyDescent="0.25">
      <c r="A9" s="2">
        <v>1</v>
      </c>
      <c r="B9" s="33">
        <f t="shared" si="0"/>
        <v>19.210630000000002</v>
      </c>
      <c r="C9" s="32">
        <f t="shared" si="1"/>
        <v>7.0630000000001303E-2</v>
      </c>
    </row>
    <row r="10" spans="1:3" x14ac:dyDescent="0.25">
      <c r="A10" s="2">
        <v>2</v>
      </c>
      <c r="B10" s="33">
        <f t="shared" si="0"/>
        <v>19.35472</v>
      </c>
      <c r="C10" s="32">
        <f t="shared" si="1"/>
        <v>0.2147199999999998</v>
      </c>
    </row>
    <row r="11" spans="1:3" x14ac:dyDescent="0.25">
      <c r="A11" s="2">
        <v>3</v>
      </c>
      <c r="B11" s="33">
        <f t="shared" si="0"/>
        <v>19.57227</v>
      </c>
      <c r="C11" s="32">
        <f t="shared" si="1"/>
        <v>0.43226999999999904</v>
      </c>
    </row>
    <row r="12" spans="1:3" x14ac:dyDescent="0.25">
      <c r="A12" s="2">
        <v>4</v>
      </c>
      <c r="B12" s="33">
        <f t="shared" si="0"/>
        <v>19.86328</v>
      </c>
      <c r="C12" s="32">
        <f t="shared" si="1"/>
        <v>0.72327999999999903</v>
      </c>
    </row>
    <row r="13" spans="1:3" x14ac:dyDescent="0.25">
      <c r="A13" s="2">
        <v>5</v>
      </c>
      <c r="B13" s="33">
        <f t="shared" si="0"/>
        <v>20.22775</v>
      </c>
      <c r="C13" s="32">
        <f t="shared" si="1"/>
        <v>1.0877499999999998</v>
      </c>
    </row>
    <row r="14" spans="1:3" x14ac:dyDescent="0.25">
      <c r="A14" s="2">
        <v>6</v>
      </c>
      <c r="B14" s="33">
        <f t="shared" si="0"/>
        <v>20.665680000000002</v>
      </c>
      <c r="C14" s="32">
        <f t="shared" si="1"/>
        <v>1.5256800000000013</v>
      </c>
    </row>
    <row r="15" spans="1:3" x14ac:dyDescent="0.25">
      <c r="A15" s="2">
        <v>7</v>
      </c>
      <c r="B15" s="33">
        <f t="shared" si="0"/>
        <v>21.177070000000001</v>
      </c>
      <c r="C15" s="32">
        <f t="shared" si="1"/>
        <v>2.0370699999999999</v>
      </c>
    </row>
    <row r="16" spans="1:3" x14ac:dyDescent="0.25">
      <c r="A16" s="2">
        <v>8</v>
      </c>
      <c r="B16" s="33">
        <f t="shared" si="0"/>
        <v>21.76192</v>
      </c>
      <c r="C16" s="32">
        <f t="shared" si="1"/>
        <v>2.6219199999999994</v>
      </c>
    </row>
    <row r="17" spans="1:3" x14ac:dyDescent="0.25">
      <c r="A17" s="2">
        <v>9</v>
      </c>
      <c r="B17" s="33">
        <f t="shared" si="0"/>
        <v>22.42023</v>
      </c>
      <c r="C17" s="32">
        <f t="shared" si="1"/>
        <v>3.2802299999999995</v>
      </c>
    </row>
    <row r="18" spans="1:3" x14ac:dyDescent="0.25">
      <c r="A18" s="2">
        <v>10</v>
      </c>
      <c r="B18" s="33">
        <f t="shared" si="0"/>
        <v>23.152000000000001</v>
      </c>
      <c r="C18" s="32">
        <f t="shared" si="1"/>
        <v>4.0120000000000005</v>
      </c>
    </row>
    <row r="19" spans="1:3" x14ac:dyDescent="0.25">
      <c r="A19" s="2">
        <v>11</v>
      </c>
      <c r="B19" s="33">
        <f t="shared" si="0"/>
        <v>23.957230000000003</v>
      </c>
      <c r="C19" s="32">
        <f t="shared" si="1"/>
        <v>4.8172300000000021</v>
      </c>
    </row>
    <row r="20" spans="1:3" x14ac:dyDescent="0.25">
      <c r="A20" s="2">
        <v>12</v>
      </c>
      <c r="B20" s="33">
        <f t="shared" si="0"/>
        <v>24.835920000000002</v>
      </c>
      <c r="C20" s="32">
        <f t="shared" si="1"/>
        <v>5.695920000000001</v>
      </c>
    </row>
    <row r="21" spans="1:3" x14ac:dyDescent="0.25">
      <c r="A21" s="2">
        <v>13</v>
      </c>
      <c r="B21" s="33">
        <f t="shared" si="0"/>
        <v>25.788070000000001</v>
      </c>
      <c r="C21" s="32">
        <f t="shared" si="1"/>
        <v>6.6480700000000006</v>
      </c>
    </row>
    <row r="22" spans="1:3" x14ac:dyDescent="0.25">
      <c r="A22" s="2">
        <v>14</v>
      </c>
      <c r="B22" s="33">
        <f t="shared" si="0"/>
        <v>26.813679999999998</v>
      </c>
      <c r="C22" s="32">
        <f t="shared" si="1"/>
        <v>7.6736799999999974</v>
      </c>
    </row>
    <row r="23" spans="1:3" x14ac:dyDescent="0.25">
      <c r="A23" s="2">
        <v>15</v>
      </c>
      <c r="B23" s="33">
        <f t="shared" si="0"/>
        <v>27.912750000000003</v>
      </c>
      <c r="C23" s="32">
        <f t="shared" si="1"/>
        <v>8.772750000000002</v>
      </c>
    </row>
    <row r="24" spans="1:3" x14ac:dyDescent="0.25">
      <c r="A24" s="2">
        <v>16</v>
      </c>
      <c r="B24" s="33">
        <f t="shared" si="0"/>
        <v>29.085280000000001</v>
      </c>
      <c r="C24" s="32">
        <f t="shared" si="1"/>
        <v>9.9452800000000003</v>
      </c>
    </row>
    <row r="25" spans="1:3" x14ac:dyDescent="0.25">
      <c r="A25" s="2">
        <v>17</v>
      </c>
      <c r="B25" s="33">
        <f t="shared" si="0"/>
        <v>30.33127</v>
      </c>
      <c r="C25" s="32">
        <f t="shared" si="1"/>
        <v>11.191269999999999</v>
      </c>
    </row>
    <row r="26" spans="1:3" x14ac:dyDescent="0.25">
      <c r="A26" s="2">
        <v>18</v>
      </c>
      <c r="B26" s="33">
        <f t="shared" si="0"/>
        <v>31.65072</v>
      </c>
      <c r="C26" s="32">
        <f t="shared" si="1"/>
        <v>12.510719999999999</v>
      </c>
    </row>
    <row r="27" spans="1:3" x14ac:dyDescent="0.25">
      <c r="A27" s="2">
        <v>19</v>
      </c>
      <c r="B27" s="33">
        <f t="shared" si="0"/>
        <v>33.04363</v>
      </c>
      <c r="C27" s="32">
        <f t="shared" si="1"/>
        <v>13.90363</v>
      </c>
    </row>
    <row r="28" spans="1:3" x14ac:dyDescent="0.25">
      <c r="A28" s="2">
        <v>20</v>
      </c>
      <c r="B28" s="33">
        <f t="shared" si="0"/>
        <v>34.510000000000005</v>
      </c>
      <c r="C28" s="32">
        <f t="shared" si="1"/>
        <v>15.370000000000005</v>
      </c>
    </row>
    <row r="29" spans="1:3" x14ac:dyDescent="0.25">
      <c r="A29" s="2">
        <v>21</v>
      </c>
      <c r="B29" s="33">
        <f t="shared" si="0"/>
        <v>36.04983</v>
      </c>
      <c r="C29" s="32">
        <f t="shared" si="1"/>
        <v>16.909829999999999</v>
      </c>
    </row>
    <row r="30" spans="1:3" x14ac:dyDescent="0.25">
      <c r="A30" s="2">
        <v>22</v>
      </c>
      <c r="B30" s="33">
        <f t="shared" si="0"/>
        <v>37.663119999999999</v>
      </c>
      <c r="C30" s="32">
        <f t="shared" si="1"/>
        <v>18.523119999999999</v>
      </c>
    </row>
    <row r="31" spans="1:3" x14ac:dyDescent="0.25">
      <c r="A31" s="2">
        <v>23</v>
      </c>
      <c r="B31" s="33">
        <f t="shared" si="0"/>
        <v>39.349869999999996</v>
      </c>
      <c r="C31" s="32">
        <f t="shared" si="1"/>
        <v>20.209869999999995</v>
      </c>
    </row>
    <row r="32" spans="1:3" x14ac:dyDescent="0.25">
      <c r="A32" s="2">
        <v>24</v>
      </c>
      <c r="B32" s="33">
        <f t="shared" si="0"/>
        <v>41.110079999999996</v>
      </c>
      <c r="C32" s="32">
        <f t="shared" si="1"/>
        <v>21.970079999999996</v>
      </c>
    </row>
    <row r="33" spans="1:3" ht="15.75" thickBot="1" x14ac:dyDescent="0.3">
      <c r="A33" s="3">
        <v>25</v>
      </c>
      <c r="B33" s="31">
        <f t="shared" si="0"/>
        <v>42.943750000000001</v>
      </c>
      <c r="C33" s="30">
        <f t="shared" si="1"/>
        <v>23.803750000000001</v>
      </c>
    </row>
    <row r="35" spans="1:3" x14ac:dyDescent="0.25">
      <c r="A35" t="s">
        <v>9</v>
      </c>
    </row>
    <row r="37" spans="1:3" x14ac:dyDescent="0.25">
      <c r="A37" t="s">
        <v>220</v>
      </c>
    </row>
    <row r="38" spans="1:3" x14ac:dyDescent="0.25">
      <c r="A38" s="29" t="s">
        <v>10</v>
      </c>
      <c r="B38" s="29">
        <f>B8/B1</f>
        <v>1.3879622915155911E-2</v>
      </c>
    </row>
    <row r="39" spans="1:3" x14ac:dyDescent="0.25">
      <c r="A39" t="s">
        <v>11</v>
      </c>
    </row>
    <row r="40" spans="1:3" x14ac:dyDescent="0.25">
      <c r="A40" t="s">
        <v>219</v>
      </c>
      <c r="B40">
        <v>1.8</v>
      </c>
      <c r="C40" t="s">
        <v>61</v>
      </c>
    </row>
    <row r="41" spans="1:3" ht="18" x14ac:dyDescent="0.25">
      <c r="A41" t="s">
        <v>218</v>
      </c>
      <c r="B41">
        <f>CONVERT(CONVERT(101.3/(CONVERT(R_air,"g","kg")*CONVERT(15,"C","K")),"kg","lbm"),"ft^3","m^3")</f>
        <v>7.6454810903831397E-2</v>
      </c>
      <c r="C41" s="443" t="s">
        <v>217</v>
      </c>
    </row>
    <row r="42" spans="1:3" x14ac:dyDescent="0.25">
      <c r="A42" t="s">
        <v>221</v>
      </c>
    </row>
    <row r="43" spans="1:3" x14ac:dyDescent="0.25">
      <c r="A43" s="29" t="s">
        <v>216</v>
      </c>
      <c r="B43" s="29">
        <f>C33*2/(CONVERT(B40,"m^2","ft^2")*CONVERT(CONVERT(A33,"mi","ft"),"s","hr")^2*B41)*CONVERT(g_e,"m","ft")</f>
        <v>0.76911420022012267</v>
      </c>
    </row>
  </sheetData>
  <mergeCells count="1">
    <mergeCell ref="A2:C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E3342-7156-4995-B63C-D9E9952ACAFA}">
  <sheetPr codeName="Sheet2"/>
  <dimension ref="B1:N25"/>
  <sheetViews>
    <sheetView topLeftCell="A10" workbookViewId="0">
      <selection activeCell="D14" sqref="D14"/>
    </sheetView>
  </sheetViews>
  <sheetFormatPr defaultColWidth="9.140625" defaultRowHeight="15" x14ac:dyDescent="0.25"/>
  <cols>
    <col min="1" max="1" width="1.42578125" customWidth="1"/>
    <col min="2" max="2" width="30.28515625" bestFit="1" customWidth="1"/>
    <col min="4" max="4" width="10" bestFit="1" customWidth="1"/>
    <col min="6" max="6" width="24.28515625" bestFit="1" customWidth="1"/>
  </cols>
  <sheetData>
    <row r="1" spans="2:14" ht="7.5" customHeight="1" thickBot="1" x14ac:dyDescent="0.3"/>
    <row r="2" spans="2:14" x14ac:dyDescent="0.25">
      <c r="B2" s="5" t="s">
        <v>12</v>
      </c>
      <c r="C2" s="6" t="s">
        <v>13</v>
      </c>
      <c r="D2" s="6" t="s">
        <v>14</v>
      </c>
      <c r="E2" s="7" t="s">
        <v>15</v>
      </c>
      <c r="F2" s="23" t="s">
        <v>16</v>
      </c>
      <c r="K2" s="383" t="s">
        <v>17</v>
      </c>
      <c r="L2" s="383"/>
      <c r="M2" s="383"/>
      <c r="N2" s="383"/>
    </row>
    <row r="3" spans="2:14" ht="18" x14ac:dyDescent="0.35">
      <c r="B3" s="4" t="s">
        <v>18</v>
      </c>
      <c r="C3" s="12" t="s">
        <v>19</v>
      </c>
      <c r="D3" s="16">
        <v>9.8066499999999994</v>
      </c>
      <c r="E3" s="8" t="s">
        <v>20</v>
      </c>
      <c r="F3" s="22" t="s">
        <v>21</v>
      </c>
      <c r="K3" s="383"/>
      <c r="L3" s="383"/>
      <c r="M3" s="383"/>
      <c r="N3" s="383"/>
    </row>
    <row r="4" spans="2:14" ht="18" x14ac:dyDescent="0.35">
      <c r="B4" s="2" t="s">
        <v>22</v>
      </c>
      <c r="C4" s="13" t="s">
        <v>23</v>
      </c>
      <c r="D4" s="17">
        <v>2.8964699999999999E-2</v>
      </c>
      <c r="E4" s="9" t="s">
        <v>24</v>
      </c>
      <c r="F4" s="19" t="s">
        <v>25</v>
      </c>
      <c r="K4" s="383"/>
      <c r="L4" s="383"/>
      <c r="M4" s="383"/>
      <c r="N4" s="383"/>
    </row>
    <row r="5" spans="2:14" x14ac:dyDescent="0.25">
      <c r="B5" s="2" t="s">
        <v>26</v>
      </c>
      <c r="C5" s="13" t="s">
        <v>27</v>
      </c>
      <c r="D5" s="28">
        <v>8.3144626181532395</v>
      </c>
      <c r="E5" s="9" t="s">
        <v>28</v>
      </c>
      <c r="F5" s="20" t="s">
        <v>29</v>
      </c>
      <c r="K5" s="383"/>
      <c r="L5" s="383"/>
      <c r="M5" s="383"/>
      <c r="N5" s="383"/>
    </row>
    <row r="6" spans="2:14" ht="18" x14ac:dyDescent="0.35">
      <c r="B6" s="2" t="s">
        <v>30</v>
      </c>
      <c r="C6" s="13" t="s">
        <v>31</v>
      </c>
      <c r="D6" s="27">
        <f>R_bar/MW_air</f>
        <v>287.05502277438535</v>
      </c>
      <c r="E6" s="9" t="s">
        <v>32</v>
      </c>
      <c r="F6" s="21" t="s">
        <v>33</v>
      </c>
      <c r="K6" s="383"/>
      <c r="L6" s="383"/>
      <c r="M6" s="383"/>
      <c r="N6" s="383"/>
    </row>
    <row r="7" spans="2:14" ht="18" x14ac:dyDescent="0.35">
      <c r="B7" s="2" t="s">
        <v>34</v>
      </c>
      <c r="C7" s="13" t="s">
        <v>35</v>
      </c>
      <c r="D7" s="1">
        <v>25</v>
      </c>
      <c r="E7" s="10" t="s">
        <v>36</v>
      </c>
      <c r="F7" s="40">
        <f>CONVERT(T_amb,"C","F")</f>
        <v>77</v>
      </c>
      <c r="G7" s="42" t="s">
        <v>37</v>
      </c>
      <c r="K7" s="383"/>
      <c r="L7" s="383"/>
      <c r="M7" s="383"/>
      <c r="N7" s="383"/>
    </row>
    <row r="8" spans="2:14" ht="18" x14ac:dyDescent="0.35">
      <c r="B8" s="2" t="s">
        <v>38</v>
      </c>
      <c r="C8" s="13" t="s">
        <v>39</v>
      </c>
      <c r="D8" s="1">
        <f>70*0.8+101.3*0.2</f>
        <v>76.260000000000005</v>
      </c>
      <c r="E8" s="9" t="s">
        <v>40</v>
      </c>
      <c r="F8" s="41">
        <f>CONVERT(P_amb,"kPa","atm")</f>
        <v>0.75262768319763151</v>
      </c>
      <c r="G8" s="42" t="s">
        <v>41</v>
      </c>
      <c r="K8" s="383"/>
      <c r="L8" s="383"/>
      <c r="M8" s="383"/>
      <c r="N8" s="383"/>
    </row>
    <row r="9" spans="2:14" ht="18" x14ac:dyDescent="0.35">
      <c r="B9" s="2" t="s">
        <v>42</v>
      </c>
      <c r="C9" s="14" t="s">
        <v>43</v>
      </c>
      <c r="D9" s="26">
        <f>P_amb/(CONVERT(R_air,"g","kg")*CONVERT(T_amb,"C","K"))</f>
        <v>0.8910392538568076</v>
      </c>
      <c r="E9" s="9" t="s">
        <v>44</v>
      </c>
      <c r="F9" s="40">
        <f>CONVERT(CONVERT(rho_air,"kg","lbm"),"ft^3","m^3")</f>
        <v>5.5625763411570092E-2</v>
      </c>
      <c r="G9" s="42" t="s">
        <v>45</v>
      </c>
      <c r="K9" s="383"/>
      <c r="L9" s="383"/>
      <c r="M9" s="383"/>
      <c r="N9" s="383"/>
    </row>
    <row r="10" spans="2:14" ht="18" x14ac:dyDescent="0.35">
      <c r="B10" s="2" t="s">
        <v>46</v>
      </c>
      <c r="C10" s="13" t="s">
        <v>47</v>
      </c>
      <c r="D10" s="1">
        <v>362.875</v>
      </c>
      <c r="E10" s="9" t="s">
        <v>48</v>
      </c>
      <c r="F10" s="41">
        <f>CONVERT(m_v,"kg","lbm")</f>
        <v>800.00243390337448</v>
      </c>
      <c r="G10" s="42" t="s">
        <v>49</v>
      </c>
      <c r="K10" s="383"/>
      <c r="L10" s="383"/>
      <c r="M10" s="383"/>
      <c r="N10" s="383"/>
    </row>
    <row r="11" spans="2:14" x14ac:dyDescent="0.25">
      <c r="B11" s="2" t="s">
        <v>50</v>
      </c>
      <c r="C11" s="14" t="s">
        <v>51</v>
      </c>
      <c r="D11" s="1">
        <v>22</v>
      </c>
      <c r="E11" s="9" t="s">
        <v>52</v>
      </c>
      <c r="F11" s="44">
        <f>TAN(RADIANS(alpha))</f>
        <v>0.40402622583515679</v>
      </c>
      <c r="G11" s="42" t="s">
        <v>53</v>
      </c>
      <c r="K11" s="383"/>
      <c r="L11" s="383"/>
      <c r="M11" s="383"/>
      <c r="N11" s="383"/>
    </row>
    <row r="12" spans="2:14" ht="18" x14ac:dyDescent="0.35">
      <c r="B12" s="2" t="s">
        <v>54</v>
      </c>
      <c r="C12" s="14" t="s">
        <v>55</v>
      </c>
      <c r="D12" s="1">
        <f>'TR-XXXX Data (AirRoll Resist)'!B38</f>
        <v>1.3879622915155911E-2</v>
      </c>
      <c r="E12" s="9" t="s">
        <v>56</v>
      </c>
      <c r="F12" s="40">
        <f>C_r</f>
        <v>1.3879622915155911E-2</v>
      </c>
      <c r="G12" s="42" t="str">
        <f t="shared" ref="G12:G13" si="0">E12</f>
        <v>-</v>
      </c>
      <c r="K12" s="383"/>
      <c r="L12" s="383"/>
      <c r="M12" s="383"/>
      <c r="N12" s="383"/>
    </row>
    <row r="13" spans="2:14" ht="18" x14ac:dyDescent="0.35">
      <c r="B13" s="2" t="s">
        <v>57</v>
      </c>
      <c r="C13" s="14" t="s">
        <v>58</v>
      </c>
      <c r="D13" s="1">
        <f>'TR-XXXX Data (AirRoll Resist)'!B43</f>
        <v>0.76911420022012267</v>
      </c>
      <c r="E13" s="9" t="s">
        <v>56</v>
      </c>
      <c r="F13" s="40">
        <f>C_d</f>
        <v>0.76911420022012267</v>
      </c>
      <c r="G13" s="42" t="str">
        <f t="shared" si="0"/>
        <v>-</v>
      </c>
      <c r="K13" s="383"/>
      <c r="L13" s="383"/>
      <c r="M13" s="383"/>
      <c r="N13" s="383"/>
    </row>
    <row r="14" spans="2:14" ht="18" x14ac:dyDescent="0.35">
      <c r="B14" s="2" t="s">
        <v>59</v>
      </c>
      <c r="C14" s="14" t="s">
        <v>60</v>
      </c>
      <c r="D14" s="1">
        <v>1.8</v>
      </c>
      <c r="E14" s="9" t="s">
        <v>61</v>
      </c>
      <c r="F14" s="43">
        <f>CONVERT(A_v,"m^2","ft^2")</f>
        <v>19.375038750077501</v>
      </c>
      <c r="G14" s="42" t="s">
        <v>62</v>
      </c>
      <c r="K14" s="383"/>
      <c r="L14" s="383"/>
      <c r="M14" s="383"/>
      <c r="N14" s="383"/>
    </row>
    <row r="15" spans="2:14" ht="18" x14ac:dyDescent="0.35">
      <c r="B15" s="2" t="s">
        <v>63</v>
      </c>
      <c r="C15" s="13" t="s">
        <v>64</v>
      </c>
      <c r="D15" s="1">
        <v>20</v>
      </c>
      <c r="E15" s="9" t="s">
        <v>65</v>
      </c>
      <c r="F15" s="41">
        <f>CONVERT(S_v,"km","mi")</f>
        <v>12.427423844746679</v>
      </c>
      <c r="G15" s="42" t="s">
        <v>8</v>
      </c>
      <c r="K15" s="383"/>
      <c r="L15" s="383"/>
      <c r="M15" s="383"/>
      <c r="N15" s="383"/>
    </row>
    <row r="16" spans="2:14" ht="18" x14ac:dyDescent="0.35">
      <c r="B16" s="2" t="s">
        <v>66</v>
      </c>
      <c r="C16" s="14" t="s">
        <v>67</v>
      </c>
      <c r="D16" s="1">
        <v>0.1</v>
      </c>
      <c r="E16" s="9" t="s">
        <v>20</v>
      </c>
      <c r="F16" s="40">
        <f>CONVERT(accel_v,"m","ft")</f>
        <v>0.32808398950131235</v>
      </c>
      <c r="G16" s="42" t="s">
        <v>68</v>
      </c>
      <c r="H16" s="40">
        <f>CONVERT(accel_v,"m","mi")/CONVERT(1,"s","hr")</f>
        <v>0.22369362920544025</v>
      </c>
      <c r="I16" s="40" t="s">
        <v>69</v>
      </c>
      <c r="K16" s="383"/>
      <c r="L16" s="383"/>
      <c r="M16" s="383"/>
      <c r="N16" s="383"/>
    </row>
    <row r="17" spans="2:14" ht="18" x14ac:dyDescent="0.35">
      <c r="B17" s="2" t="s">
        <v>70</v>
      </c>
      <c r="C17" s="13" t="s">
        <v>71</v>
      </c>
      <c r="D17" s="1">
        <v>2</v>
      </c>
      <c r="E17" s="9" t="s">
        <v>72</v>
      </c>
      <c r="F17" s="40">
        <f>CONVERT(F_b,"N","lbf")</f>
        <v>0.44961788619942095</v>
      </c>
      <c r="G17" s="42" t="s">
        <v>49</v>
      </c>
      <c r="K17" s="383"/>
      <c r="L17" s="383"/>
      <c r="M17" s="383"/>
      <c r="N17" s="383"/>
    </row>
    <row r="18" spans="2:14" ht="18" x14ac:dyDescent="0.35">
      <c r="B18" s="2" t="s">
        <v>73</v>
      </c>
      <c r="C18" s="13" t="s">
        <v>74</v>
      </c>
      <c r="D18" s="27">
        <f>C_r*m_v*g_e*COS(RADIANS(alpha))</f>
        <v>45.79533625034945</v>
      </c>
      <c r="E18" s="9" t="s">
        <v>72</v>
      </c>
      <c r="F18" s="41">
        <f>CONVERT(F_R,"N","lbf")</f>
        <v>10.295201141336918</v>
      </c>
      <c r="G18" s="42" t="s">
        <v>49</v>
      </c>
      <c r="K18" s="383"/>
      <c r="L18" s="383"/>
      <c r="M18" s="383"/>
      <c r="N18" s="383"/>
    </row>
    <row r="19" spans="2:14" ht="18" x14ac:dyDescent="0.35">
      <c r="B19" s="2" t="s">
        <v>75</v>
      </c>
      <c r="C19" s="13" t="s">
        <v>76</v>
      </c>
      <c r="D19" s="27">
        <f>0.5*rho_air*C_d*A_v*CONVERT(CONVERT(S_v,"km","m"),"s","hr")^2</f>
        <v>19.03641508596704</v>
      </c>
      <c r="E19" s="9" t="s">
        <v>72</v>
      </c>
      <c r="F19" s="41">
        <f>CONVERT(F_D,"N","lbf")</f>
        <v>4.279556355883634</v>
      </c>
      <c r="G19" s="42" t="s">
        <v>49</v>
      </c>
      <c r="K19" s="383"/>
      <c r="L19" s="383"/>
      <c r="M19" s="383"/>
      <c r="N19" s="383"/>
    </row>
    <row r="20" spans="2:14" ht="18" x14ac:dyDescent="0.35">
      <c r="B20" s="2" t="s">
        <v>77</v>
      </c>
      <c r="C20" s="13" t="s">
        <v>78</v>
      </c>
      <c r="D20" s="18">
        <f>m_v*accel_v</f>
        <v>36.287500000000001</v>
      </c>
      <c r="E20" s="9" t="s">
        <v>72</v>
      </c>
      <c r="F20" s="40">
        <f>CONVERT(F_a,"N","lbf")</f>
        <v>8.1577545227307446</v>
      </c>
      <c r="G20" s="42" t="s">
        <v>49</v>
      </c>
      <c r="K20" s="383"/>
      <c r="L20" s="383"/>
      <c r="M20" s="383"/>
      <c r="N20" s="383"/>
    </row>
    <row r="21" spans="2:14" ht="18" x14ac:dyDescent="0.35">
      <c r="B21" s="2" t="s">
        <v>79</v>
      </c>
      <c r="C21" s="13" t="s">
        <v>80</v>
      </c>
      <c r="D21" s="18">
        <f>m_v*g_e*SIN(RADIANS(alpha))</f>
        <v>1333.0705725352764</v>
      </c>
      <c r="E21" s="9" t="s">
        <v>72</v>
      </c>
      <c r="F21" s="41">
        <f>CONVERT(F_g,"N","lbf")</f>
        <v>299.68618648898143</v>
      </c>
      <c r="G21" s="42" t="s">
        <v>49</v>
      </c>
      <c r="K21" s="383"/>
      <c r="L21" s="383"/>
      <c r="M21" s="383"/>
      <c r="N21" s="383"/>
    </row>
    <row r="22" spans="2:14" ht="18" x14ac:dyDescent="0.35">
      <c r="B22" s="2" t="s">
        <v>81</v>
      </c>
      <c r="C22" s="14" t="s">
        <v>82</v>
      </c>
      <c r="D22" s="24">
        <f>(C_r*m_v*g_e+0.5*rho_air*C_d*A_v*CONVERT(CONVERT(S_v,"km","m"),"s","hr")^2)*CONVERT(CONVERT(S_v,"km","m"),"s","hr")</f>
        <v>380.15709046983943</v>
      </c>
      <c r="E22" s="9" t="s">
        <v>83</v>
      </c>
      <c r="F22" s="41">
        <f>CONVERT(P_r,"W","HP")</f>
        <v>0.50979905583623009</v>
      </c>
      <c r="G22" s="42" t="s">
        <v>84</v>
      </c>
      <c r="K22" s="383"/>
      <c r="L22" s="383"/>
      <c r="M22" s="383"/>
      <c r="N22" s="383"/>
    </row>
    <row r="23" spans="2:14" ht="18" x14ac:dyDescent="0.35">
      <c r="B23" s="3" t="s">
        <v>85</v>
      </c>
      <c r="C23" s="15" t="s">
        <v>86</v>
      </c>
      <c r="D23" s="25">
        <f>SUM(D17:D21)*CONVERT(CONVERT(S_v,"km","m"),"s","hr")</f>
        <v>7978.8323548421822</v>
      </c>
      <c r="E23" s="11" t="s">
        <v>83</v>
      </c>
      <c r="F23" s="41">
        <f>CONVERT(P_v,"W","HP")</f>
        <v>10.69979043701888</v>
      </c>
      <c r="G23" s="42" t="s">
        <v>84</v>
      </c>
      <c r="H23" s="122" t="str">
        <f>_xlfn.CONCAT("Engine Power @ Seal Level Required: ",ROUND(F23/(P_amb/101.3),2)," hp")</f>
        <v>Engine Power @ Seal Level Required: 14.21 hp</v>
      </c>
      <c r="K23" s="383"/>
      <c r="L23" s="383"/>
      <c r="M23" s="383"/>
      <c r="N23" s="383"/>
    </row>
    <row r="24" spans="2:14" x14ac:dyDescent="0.25">
      <c r="K24" s="383"/>
      <c r="L24" s="383"/>
      <c r="M24" s="383"/>
      <c r="N24" s="383"/>
    </row>
    <row r="25" spans="2:14" x14ac:dyDescent="0.25">
      <c r="K25" s="383"/>
      <c r="L25" s="383"/>
      <c r="M25" s="383"/>
      <c r="N25" s="383"/>
    </row>
  </sheetData>
  <mergeCells count="1">
    <mergeCell ref="K2:N25"/>
  </mergeCells>
  <pageMargins left="0.7" right="0.7" top="0.75" bottom="0.75" header="0.3" footer="0.3"/>
  <pageSetup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07B19-4442-4E66-9C22-98880623FC8C}">
  <sheetPr codeName="Sheet5"/>
  <dimension ref="A1:J24"/>
  <sheetViews>
    <sheetView topLeftCell="A4" workbookViewId="0">
      <selection activeCell="B27" sqref="B27"/>
    </sheetView>
  </sheetViews>
  <sheetFormatPr defaultColWidth="9.140625" defaultRowHeight="15" x14ac:dyDescent="0.25"/>
  <cols>
    <col min="1" max="1" width="30.5703125" bestFit="1" customWidth="1"/>
    <col min="3" max="3" width="11.5703125" bestFit="1" customWidth="1"/>
  </cols>
  <sheetData>
    <row r="1" spans="1:10" ht="15.75" customHeight="1" x14ac:dyDescent="0.25">
      <c r="A1" s="144" t="s">
        <v>12</v>
      </c>
      <c r="B1" s="55" t="s">
        <v>14</v>
      </c>
      <c r="C1" s="145" t="s">
        <v>87</v>
      </c>
      <c r="D1" s="146" t="s">
        <v>88</v>
      </c>
      <c r="E1" s="147" t="s">
        <v>89</v>
      </c>
      <c r="G1" s="383" t="s">
        <v>17</v>
      </c>
      <c r="H1" s="383"/>
      <c r="I1" s="383"/>
      <c r="J1" s="383"/>
    </row>
    <row r="2" spans="1:10" x14ac:dyDescent="0.25">
      <c r="A2" s="139" t="s">
        <v>90</v>
      </c>
      <c r="B2" s="140">
        <v>25</v>
      </c>
      <c r="C2" s="141" t="s">
        <v>91</v>
      </c>
      <c r="D2" s="142">
        <f>CONVERT(B2,"C","F")</f>
        <v>77</v>
      </c>
      <c r="E2" s="143" t="s">
        <v>92</v>
      </c>
      <c r="G2" s="383"/>
      <c r="H2" s="383"/>
      <c r="I2" s="383"/>
      <c r="J2" s="383"/>
    </row>
    <row r="3" spans="1:10" x14ac:dyDescent="0.25">
      <c r="A3" s="127" t="s">
        <v>93</v>
      </c>
      <c r="B3" s="130">
        <v>101.3</v>
      </c>
      <c r="C3" s="33" t="s">
        <v>40</v>
      </c>
      <c r="D3" s="148">
        <f>CONVERT(B3,"kPa","psi")</f>
        <v>14.692322832070193</v>
      </c>
      <c r="E3" s="131" t="s">
        <v>94</v>
      </c>
      <c r="G3" s="383"/>
      <c r="H3" s="383"/>
      <c r="I3" s="383"/>
      <c r="J3" s="383"/>
    </row>
    <row r="4" spans="1:10" x14ac:dyDescent="0.25">
      <c r="A4" s="128" t="s">
        <v>95</v>
      </c>
      <c r="B4" s="132">
        <v>13.5</v>
      </c>
      <c r="C4" s="33" t="s">
        <v>96</v>
      </c>
      <c r="D4" s="148">
        <f>CONVERT(B4,"kW","HP")</f>
        <v>18.103798209532879</v>
      </c>
      <c r="E4" s="131" t="s">
        <v>97</v>
      </c>
      <c r="G4" s="383"/>
      <c r="H4" s="383"/>
      <c r="I4" s="383"/>
      <c r="J4" s="383"/>
    </row>
    <row r="5" spans="1:10" x14ac:dyDescent="0.25">
      <c r="A5" s="128" t="s">
        <v>98</v>
      </c>
      <c r="B5" s="130">
        <f>'Potential Torque Curve Shape'!AM31</f>
        <v>6500</v>
      </c>
      <c r="C5" s="33" t="s">
        <v>99</v>
      </c>
      <c r="D5" s="125"/>
      <c r="E5" s="131"/>
      <c r="G5" s="383"/>
      <c r="H5" s="383"/>
      <c r="I5" s="383"/>
      <c r="J5" s="383"/>
    </row>
    <row r="6" spans="1:10" x14ac:dyDescent="0.25">
      <c r="A6" s="128" t="s">
        <v>100</v>
      </c>
      <c r="B6" s="133">
        <v>0.9</v>
      </c>
      <c r="C6" s="33" t="s">
        <v>56</v>
      </c>
      <c r="D6" s="125"/>
      <c r="E6" s="131"/>
      <c r="G6" s="383"/>
      <c r="H6" s="383"/>
      <c r="I6" s="383"/>
      <c r="J6" s="383"/>
    </row>
    <row r="7" spans="1:10" x14ac:dyDescent="0.25">
      <c r="A7" s="128" t="s">
        <v>101</v>
      </c>
      <c r="B7" s="134">
        <v>340</v>
      </c>
      <c r="C7" s="33" t="s">
        <v>102</v>
      </c>
      <c r="D7" s="125"/>
      <c r="E7" s="131"/>
      <c r="G7" s="383"/>
      <c r="H7" s="383"/>
      <c r="I7" s="383"/>
      <c r="J7" s="383"/>
    </row>
    <row r="8" spans="1:10" x14ac:dyDescent="0.25">
      <c r="A8" s="128" t="s">
        <v>103</v>
      </c>
      <c r="B8" s="134">
        <v>2</v>
      </c>
      <c r="C8" s="33" t="s">
        <v>104</v>
      </c>
      <c r="D8" s="125"/>
      <c r="E8" s="131"/>
      <c r="G8" s="383"/>
      <c r="H8" s="383"/>
      <c r="I8" s="383"/>
      <c r="J8" s="383"/>
    </row>
    <row r="9" spans="1:10" x14ac:dyDescent="0.25">
      <c r="A9" s="128" t="s">
        <v>105</v>
      </c>
      <c r="B9" s="130">
        <v>1.05</v>
      </c>
      <c r="C9" s="33"/>
      <c r="D9" s="125"/>
      <c r="E9" s="131"/>
      <c r="G9" s="383"/>
      <c r="H9" s="383"/>
      <c r="I9" s="383"/>
      <c r="J9" s="383"/>
    </row>
    <row r="10" spans="1:10" x14ac:dyDescent="0.25">
      <c r="A10" s="128" t="s">
        <v>106</v>
      </c>
      <c r="B10" s="130">
        <v>14.7</v>
      </c>
      <c r="C10" s="33" t="s">
        <v>56</v>
      </c>
      <c r="D10" s="125"/>
      <c r="E10" s="131"/>
      <c r="G10" s="383"/>
      <c r="H10" s="383"/>
      <c r="I10" s="383"/>
      <c r="J10" s="383"/>
    </row>
    <row r="11" spans="1:10" x14ac:dyDescent="0.25">
      <c r="A11" s="128" t="s">
        <v>107</v>
      </c>
      <c r="B11" s="130">
        <v>13.2</v>
      </c>
      <c r="C11" s="33" t="s">
        <v>56</v>
      </c>
      <c r="D11" s="125"/>
      <c r="E11" s="131"/>
      <c r="G11" s="383"/>
      <c r="H11" s="383"/>
      <c r="I11" s="383"/>
      <c r="J11" s="383"/>
    </row>
    <row r="12" spans="1:10" x14ac:dyDescent="0.25">
      <c r="A12" s="128" t="s">
        <v>108</v>
      </c>
      <c r="B12" s="130">
        <v>12.06</v>
      </c>
      <c r="C12" s="33" t="s">
        <v>109</v>
      </c>
      <c r="D12" s="125"/>
      <c r="E12" s="131"/>
      <c r="G12" s="383"/>
      <c r="H12" s="383"/>
      <c r="I12" s="383"/>
      <c r="J12" s="383"/>
    </row>
    <row r="13" spans="1:10" x14ac:dyDescent="0.25">
      <c r="A13" s="127" t="s">
        <v>26</v>
      </c>
      <c r="B13" s="2">
        <v>8.3144720000000003</v>
      </c>
      <c r="C13" s="33" t="s">
        <v>110</v>
      </c>
      <c r="D13" s="125"/>
      <c r="E13" s="131"/>
      <c r="G13" s="383"/>
      <c r="H13" s="383"/>
      <c r="I13" s="383"/>
      <c r="J13" s="383"/>
    </row>
    <row r="14" spans="1:10" x14ac:dyDescent="0.25">
      <c r="A14" s="127" t="s">
        <v>111</v>
      </c>
      <c r="B14" s="2">
        <v>28.964700000000001</v>
      </c>
      <c r="C14" s="33" t="s">
        <v>112</v>
      </c>
      <c r="D14" s="125"/>
      <c r="E14" s="131"/>
      <c r="G14" s="383"/>
      <c r="H14" s="383"/>
      <c r="I14" s="383"/>
      <c r="J14" s="383"/>
    </row>
    <row r="15" spans="1:10" x14ac:dyDescent="0.25">
      <c r="A15" s="127" t="s">
        <v>113</v>
      </c>
      <c r="B15" s="2">
        <f>R_universal/MW_air</f>
        <v>287.05534668061472</v>
      </c>
      <c r="C15" s="33" t="s">
        <v>114</v>
      </c>
      <c r="D15" s="125"/>
      <c r="E15" s="131"/>
      <c r="G15" s="383"/>
      <c r="H15" s="383"/>
      <c r="I15" s="383"/>
      <c r="J15" s="383"/>
    </row>
    <row r="16" spans="1:10" x14ac:dyDescent="0.25">
      <c r="A16" s="128" t="s">
        <v>115</v>
      </c>
      <c r="B16" s="2">
        <f>CONVERT(Pressure_Ambient,"kPa","Pa")/(CONVERT(Temp_Ambient,"C","K")*R_air)</f>
        <v>1.1836123317033125</v>
      </c>
      <c r="C16" s="33" t="s">
        <v>44</v>
      </c>
      <c r="D16" s="125"/>
      <c r="E16" s="131"/>
      <c r="G16" s="383"/>
      <c r="H16" s="383"/>
      <c r="I16" s="383"/>
      <c r="J16" s="383"/>
    </row>
    <row r="17" spans="1:10" x14ac:dyDescent="0.25">
      <c r="A17" s="128" t="s">
        <v>116</v>
      </c>
      <c r="B17" s="2">
        <f>B11/B10</f>
        <v>0.89795918367346939</v>
      </c>
      <c r="C17" s="33"/>
      <c r="D17" s="125"/>
      <c r="E17" s="131"/>
      <c r="G17" s="383"/>
      <c r="H17" s="383"/>
      <c r="I17" s="383"/>
      <c r="J17" s="383"/>
    </row>
    <row r="18" spans="1:10" x14ac:dyDescent="0.25">
      <c r="A18" s="128" t="s">
        <v>117</v>
      </c>
      <c r="B18" s="2">
        <f>CONVERT(CONVERT(B7,"min","hr"),"g","kg")*B4</f>
        <v>7.6500000000000012E-2</v>
      </c>
      <c r="C18" s="33" t="s">
        <v>118</v>
      </c>
      <c r="D18" s="125"/>
      <c r="E18" s="131"/>
      <c r="G18" s="383"/>
      <c r="H18" s="383"/>
      <c r="I18" s="383"/>
      <c r="J18" s="383"/>
    </row>
    <row r="19" spans="1:10" x14ac:dyDescent="0.25">
      <c r="A19" s="128" t="s">
        <v>119</v>
      </c>
      <c r="B19" s="2">
        <f>B18*B11</f>
        <v>1.0098</v>
      </c>
      <c r="C19" s="33" t="s">
        <v>118</v>
      </c>
      <c r="D19" s="125"/>
      <c r="E19" s="131"/>
      <c r="G19" s="383"/>
      <c r="H19" s="383"/>
      <c r="I19" s="383"/>
      <c r="J19" s="383"/>
    </row>
    <row r="20" spans="1:10" x14ac:dyDescent="0.25">
      <c r="A20" s="128" t="s">
        <v>120</v>
      </c>
      <c r="B20" s="2">
        <f>CONVERT(((B19*B8)/(B16*B5)),"m^3","L")</f>
        <v>0.26250798845645618</v>
      </c>
      <c r="C20" s="33" t="s">
        <v>121</v>
      </c>
      <c r="D20" s="149">
        <f>CONVERT(B20,"L","cm^3")</f>
        <v>262.50798845645613</v>
      </c>
      <c r="E20" s="131" t="s">
        <v>122</v>
      </c>
      <c r="G20" s="383"/>
      <c r="H20" s="383"/>
      <c r="I20" s="383"/>
      <c r="J20" s="383"/>
    </row>
    <row r="21" spans="1:10" x14ac:dyDescent="0.25">
      <c r="A21" s="128" t="s">
        <v>123</v>
      </c>
      <c r="B21" s="135">
        <f>B20/B6</f>
        <v>0.29167554272939572</v>
      </c>
      <c r="C21" s="33" t="s">
        <v>121</v>
      </c>
      <c r="D21" s="149">
        <f>CONVERT(B21,"L","cm^3")</f>
        <v>291.67554272939572</v>
      </c>
      <c r="E21" s="131" t="s">
        <v>122</v>
      </c>
      <c r="G21" s="383"/>
      <c r="H21" s="383"/>
      <c r="I21" s="383"/>
      <c r="J21" s="383"/>
    </row>
    <row r="22" spans="1:10" x14ac:dyDescent="0.25">
      <c r="A22" s="128" t="s">
        <v>124</v>
      </c>
      <c r="B22" s="135">
        <f>B4*B8/(CONVERT(B21,"L","m^3")*CONVERT(B5,"s","min"))</f>
        <v>854.47949080185674</v>
      </c>
      <c r="C22" s="33" t="s">
        <v>40</v>
      </c>
      <c r="D22" s="125"/>
      <c r="E22" s="131"/>
      <c r="G22" s="383"/>
      <c r="H22" s="383"/>
      <c r="I22" s="383"/>
      <c r="J22" s="383"/>
    </row>
    <row r="23" spans="1:10" x14ac:dyDescent="0.25">
      <c r="A23" s="128" t="s">
        <v>125</v>
      </c>
      <c r="B23" s="2">
        <f>CONVERT(2^(2/3)*CONVERT(B21,"L","m^3")^(1/3)/(PI()^(1/3)*B9^(2/3)),"m","mm")</f>
        <v>69.578839094843261</v>
      </c>
      <c r="C23" s="33" t="s">
        <v>126</v>
      </c>
      <c r="D23" s="125"/>
      <c r="E23" s="131"/>
      <c r="G23" s="383"/>
      <c r="H23" s="383"/>
      <c r="I23" s="383"/>
      <c r="J23" s="383"/>
    </row>
    <row r="24" spans="1:10" ht="15.75" customHeight="1" x14ac:dyDescent="0.25">
      <c r="A24" s="129" t="s">
        <v>127</v>
      </c>
      <c r="B24" s="136">
        <f>2*CONVERT(B23,"mm","m")*CONVERT(B5,"s","min")</f>
        <v>15.075415137216039</v>
      </c>
      <c r="C24" s="31" t="s">
        <v>128</v>
      </c>
      <c r="D24" s="137"/>
      <c r="E24" s="138"/>
      <c r="G24" s="383"/>
      <c r="H24" s="383"/>
      <c r="I24" s="383"/>
      <c r="J24" s="383"/>
    </row>
  </sheetData>
  <mergeCells count="1">
    <mergeCell ref="G1:J2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96FE-57CF-48A8-A38C-2135E3D4CB8C}">
  <sheetPr codeName="Sheet6"/>
  <dimension ref="B1:AA41"/>
  <sheetViews>
    <sheetView tabSelected="1" workbookViewId="0">
      <selection activeCell="I4" sqref="I4"/>
    </sheetView>
  </sheetViews>
  <sheetFormatPr defaultColWidth="9.140625" defaultRowHeight="15" x14ac:dyDescent="0.25"/>
  <cols>
    <col min="1" max="1" width="1.42578125" customWidth="1"/>
    <col min="2" max="2" width="30.28515625" bestFit="1" customWidth="1"/>
    <col min="4" max="4" width="10" bestFit="1" customWidth="1"/>
    <col min="6" max="6" width="12.5703125" bestFit="1" customWidth="1"/>
    <col min="7" max="7" width="8.140625" bestFit="1" customWidth="1"/>
    <col min="9" max="9" width="21.5703125" customWidth="1"/>
    <col min="10" max="10" width="63.140625" customWidth="1"/>
    <col min="17" max="17" width="12.42578125" customWidth="1"/>
    <col min="22" max="22" width="9.85546875" bestFit="1" customWidth="1"/>
    <col min="23" max="23" width="9.85546875" customWidth="1"/>
  </cols>
  <sheetData>
    <row r="1" spans="2:27" ht="7.5" customHeight="1" x14ac:dyDescent="0.25"/>
    <row r="2" spans="2:27" ht="84" customHeight="1" x14ac:dyDescent="0.25">
      <c r="B2" s="385" t="s">
        <v>129</v>
      </c>
      <c r="C2" s="386"/>
      <c r="D2" s="386"/>
      <c r="E2" s="386"/>
      <c r="F2" s="386"/>
      <c r="G2" s="387"/>
      <c r="J2" s="163"/>
      <c r="L2" s="384" t="s">
        <v>130</v>
      </c>
      <c r="M2" s="384"/>
      <c r="N2" s="384"/>
      <c r="O2" s="384"/>
      <c r="P2" s="384"/>
      <c r="Q2" s="384"/>
      <c r="R2" s="384"/>
      <c r="T2" s="155" t="s">
        <v>131</v>
      </c>
      <c r="U2" s="155" t="s">
        <v>132</v>
      </c>
      <c r="V2" s="155" t="s">
        <v>131</v>
      </c>
      <c r="W2" s="155"/>
    </row>
    <row r="3" spans="2:27" ht="59.25" customHeight="1" x14ac:dyDescent="0.25">
      <c r="B3" s="164" t="s">
        <v>12</v>
      </c>
      <c r="C3" s="6" t="s">
        <v>13</v>
      </c>
      <c r="D3" s="6" t="s">
        <v>14</v>
      </c>
      <c r="E3" s="7" t="s">
        <v>15</v>
      </c>
      <c r="F3" s="165" t="s">
        <v>133</v>
      </c>
      <c r="G3" s="166" t="s">
        <v>134</v>
      </c>
      <c r="J3" s="190" t="s">
        <v>12</v>
      </c>
      <c r="K3" s="182" t="s">
        <v>135</v>
      </c>
      <c r="L3" s="183" t="s">
        <v>46</v>
      </c>
      <c r="M3" s="183" t="s">
        <v>136</v>
      </c>
      <c r="N3" s="183" t="s">
        <v>137</v>
      </c>
      <c r="O3" s="183" t="s">
        <v>138</v>
      </c>
      <c r="P3" s="183" t="s">
        <v>5</v>
      </c>
      <c r="Q3" s="183" t="s">
        <v>213</v>
      </c>
      <c r="R3" s="183" t="s">
        <v>139</v>
      </c>
      <c r="S3" s="184" t="s">
        <v>140</v>
      </c>
      <c r="T3" s="84" t="s">
        <v>141</v>
      </c>
      <c r="U3" s="126" t="s">
        <v>142</v>
      </c>
      <c r="V3" s="126" t="s">
        <v>143</v>
      </c>
      <c r="W3" s="153" t="s">
        <v>144</v>
      </c>
      <c r="X3" s="154" t="s">
        <v>145</v>
      </c>
    </row>
    <row r="4" spans="2:27" ht="15" customHeight="1" x14ac:dyDescent="0.35">
      <c r="B4" s="167" t="s">
        <v>18</v>
      </c>
      <c r="C4" s="246" t="s">
        <v>146</v>
      </c>
      <c r="D4" s="16">
        <v>9.8066499999999994</v>
      </c>
      <c r="E4" s="8" t="s">
        <v>20</v>
      </c>
      <c r="G4" s="168"/>
      <c r="J4" s="191" t="s">
        <v>56</v>
      </c>
      <c r="K4" s="230" t="s">
        <v>56</v>
      </c>
      <c r="L4" s="220" t="s">
        <v>147</v>
      </c>
      <c r="M4" s="220" t="s">
        <v>148</v>
      </c>
      <c r="N4" s="220" t="s">
        <v>37</v>
      </c>
      <c r="O4" s="220" t="s">
        <v>149</v>
      </c>
      <c r="P4" s="220" t="s">
        <v>8</v>
      </c>
      <c r="Q4" s="220" t="s">
        <v>69</v>
      </c>
      <c r="R4" s="220" t="s">
        <v>0</v>
      </c>
      <c r="S4" s="221" t="s">
        <v>97</v>
      </c>
      <c r="T4" s="231" t="s">
        <v>99</v>
      </c>
      <c r="U4" s="220" t="s">
        <v>150</v>
      </c>
      <c r="V4" s="220" t="s">
        <v>149</v>
      </c>
      <c r="W4" s="232" t="s">
        <v>97</v>
      </c>
      <c r="X4" s="233" t="s">
        <v>122</v>
      </c>
      <c r="Y4" s="438"/>
      <c r="Z4" s="438"/>
      <c r="AA4" s="438"/>
    </row>
    <row r="5" spans="2:27" ht="18" x14ac:dyDescent="0.35">
      <c r="B5" s="169" t="s">
        <v>22</v>
      </c>
      <c r="C5" s="13" t="s">
        <v>23</v>
      </c>
      <c r="D5" s="17">
        <v>2.8964699999999999E-2</v>
      </c>
      <c r="E5" s="9" t="s">
        <v>24</v>
      </c>
      <c r="G5" s="168"/>
      <c r="J5" s="192" t="s">
        <v>206</v>
      </c>
      <c r="K5" s="223">
        <v>1</v>
      </c>
      <c r="L5" s="234">
        <f>775+500</f>
        <v>1275</v>
      </c>
      <c r="M5" s="211">
        <v>0</v>
      </c>
      <c r="N5" s="212">
        <v>105</v>
      </c>
      <c r="O5" s="225">
        <v>0</v>
      </c>
      <c r="P5" s="213">
        <v>12</v>
      </c>
      <c r="Q5" s="213">
        <v>0.5</v>
      </c>
      <c r="R5" s="212">
        <v>2</v>
      </c>
      <c r="S5" s="214">
        <f t="shared" ref="S5:S11" si="0">CONVERT(SUM(CONVERT(R5,"lbf","N"),C_r*CONVERT(L5,"lbm","kg")*g_e*COS(ATAN(O5)),0.5*(CONVERT(101325*(1-2.25577*10^-5*CONVERT(M5,"ft","m"))^5.25588,"Pa","kPa")/(CONVERT(R_air,"g","kg")*CONVERT(N5,"F","K")))*C_d*A_v*CONVERT(CONVERT(P5,"mi","m"),"s","hr")^2,CONVERT(L5,"lbm","kg")*CONVERT(CONVERT(Q5,"mi","m"),"s","hr"),CONVERT(L5,"lbm","kg")*g_e*SIN(ATAN(O5)))*CONVERT(CONVERT(P5,"mi","m"),"s","hr"),"W","HP")</f>
        <v>1.721473846331721</v>
      </c>
      <c r="T5" s="224">
        <v>4200</v>
      </c>
      <c r="U5" s="211">
        <v>14.5</v>
      </c>
      <c r="V5" s="225">
        <v>0.7</v>
      </c>
      <c r="W5" s="226">
        <f>S5/V5</f>
        <v>2.4592483519024588</v>
      </c>
      <c r="X5" s="239">
        <f t="shared" ref="X5:X11" si="1">CONVERT(CONVERT(((((CONVERT(CONVERT($D$28,"min","hr"),"g","kg")*CONVERT(S5,"HP","kW"))*U5)*$D$27)/((CONVERT(101325*(1-2.25577*10^(-5)*CONVERT(M5,"ft","m"))^5.25588,"Pa","kPa")/(CONVERT(R_air,"g","kg")*CONVERT(N5,"F","K")))*T5)),"m^3","L")/$D$26,"L","cm^3")/V5</f>
        <v>70.85509259014718</v>
      </c>
      <c r="Y5" s="438"/>
      <c r="Z5" s="438"/>
      <c r="AA5" s="438"/>
    </row>
    <row r="6" spans="2:27" x14ac:dyDescent="0.25">
      <c r="B6" s="169" t="s">
        <v>26</v>
      </c>
      <c r="C6" s="13" t="s">
        <v>27</v>
      </c>
      <c r="D6" s="28">
        <v>8.3144626181532395</v>
      </c>
      <c r="E6" s="9" t="s">
        <v>28</v>
      </c>
      <c r="G6" s="168"/>
      <c r="J6" s="193" t="s">
        <v>207</v>
      </c>
      <c r="K6" s="216">
        <v>2</v>
      </c>
      <c r="L6" s="235">
        <f>775+500</f>
        <v>1275</v>
      </c>
      <c r="M6" s="151">
        <v>10000</v>
      </c>
      <c r="N6" s="439">
        <f>$N$5-3.5*M6/1000</f>
        <v>70</v>
      </c>
      <c r="O6" s="244">
        <v>0</v>
      </c>
      <c r="P6" s="152">
        <v>12</v>
      </c>
      <c r="Q6" s="152">
        <v>0.5</v>
      </c>
      <c r="R6" s="150">
        <v>2</v>
      </c>
      <c r="S6" s="185">
        <f t="shared" si="0"/>
        <v>1.6784456142033899</v>
      </c>
      <c r="T6" s="196">
        <v>4200</v>
      </c>
      <c r="U6" s="1">
        <v>14.5</v>
      </c>
      <c r="V6" s="123">
        <v>0.7</v>
      </c>
      <c r="W6" s="162">
        <f t="shared" ref="W6:W11" si="2">S6/V6</f>
        <v>2.3977794488619857</v>
      </c>
      <c r="X6" s="240">
        <f t="shared" si="1"/>
        <v>94.229492519679482</v>
      </c>
      <c r="Y6" s="438"/>
      <c r="Z6" s="438"/>
      <c r="AA6" s="438"/>
    </row>
    <row r="7" spans="2:27" ht="18" x14ac:dyDescent="0.35">
      <c r="B7" s="169" t="s">
        <v>30</v>
      </c>
      <c r="C7" s="247" t="s">
        <v>151</v>
      </c>
      <c r="D7" s="27">
        <f>R_bar/MW_air</f>
        <v>287.05502277438535</v>
      </c>
      <c r="E7" s="9" t="s">
        <v>32</v>
      </c>
      <c r="G7" s="168"/>
      <c r="J7" s="193" t="s">
        <v>208</v>
      </c>
      <c r="K7" s="217">
        <v>3</v>
      </c>
      <c r="L7" s="235">
        <f>775+500</f>
        <v>1275</v>
      </c>
      <c r="M7" s="151">
        <v>10000</v>
      </c>
      <c r="N7" s="439">
        <f t="shared" ref="N7:N11" si="3">$N$5-3.5*M7/1000</f>
        <v>70</v>
      </c>
      <c r="O7" s="244">
        <v>0.45</v>
      </c>
      <c r="P7" s="152">
        <v>6</v>
      </c>
      <c r="Q7" s="152">
        <v>0</v>
      </c>
      <c r="R7" s="150">
        <v>2</v>
      </c>
      <c r="S7" s="185">
        <f t="shared" si="0"/>
        <v>8.6764216718230021</v>
      </c>
      <c r="T7" s="196">
        <v>6500</v>
      </c>
      <c r="U7" s="1">
        <v>13.2</v>
      </c>
      <c r="V7" s="123">
        <v>0.7</v>
      </c>
      <c r="W7" s="162">
        <f t="shared" si="2"/>
        <v>12.394888102604289</v>
      </c>
      <c r="X7" s="240">
        <f t="shared" si="1"/>
        <v>286.52471669118592</v>
      </c>
      <c r="Y7" s="438"/>
      <c r="Z7" s="438"/>
      <c r="AA7" s="438"/>
    </row>
    <row r="8" spans="2:27" ht="18" x14ac:dyDescent="0.35">
      <c r="B8" s="169" t="s">
        <v>34</v>
      </c>
      <c r="C8" s="13" t="s">
        <v>35</v>
      </c>
      <c r="D8" s="1">
        <v>40</v>
      </c>
      <c r="E8" s="10" t="s">
        <v>36</v>
      </c>
      <c r="F8" s="40">
        <f>CONVERT(T_amb,"C","F")</f>
        <v>104</v>
      </c>
      <c r="G8" s="170" t="s">
        <v>37</v>
      </c>
      <c r="J8" s="194" t="s">
        <v>209</v>
      </c>
      <c r="K8" s="216">
        <v>4</v>
      </c>
      <c r="L8" s="236">
        <f>1175+1200</f>
        <v>2375</v>
      </c>
      <c r="M8" s="151">
        <v>1250</v>
      </c>
      <c r="N8" s="439">
        <f t="shared" si="3"/>
        <v>100.625</v>
      </c>
      <c r="O8" s="244">
        <v>0.3</v>
      </c>
      <c r="P8" s="152">
        <v>6.25</v>
      </c>
      <c r="Q8" s="152">
        <v>0</v>
      </c>
      <c r="R8" s="150">
        <v>2</v>
      </c>
      <c r="S8" s="185">
        <f t="shared" si="0"/>
        <v>11.955692732968359</v>
      </c>
      <c r="T8" s="196">
        <v>6500</v>
      </c>
      <c r="U8" s="1">
        <v>13.2</v>
      </c>
      <c r="V8" s="123">
        <v>0.7</v>
      </c>
      <c r="W8" s="162">
        <f t="shared" si="2"/>
        <v>17.079561047097656</v>
      </c>
      <c r="X8" s="240">
        <f t="shared" si="1"/>
        <v>300.54661062114167</v>
      </c>
      <c r="Y8" s="438"/>
      <c r="Z8" s="438"/>
      <c r="AA8" s="438"/>
    </row>
    <row r="9" spans="2:27" ht="18" x14ac:dyDescent="0.35">
      <c r="B9" s="169" t="s">
        <v>38</v>
      </c>
      <c r="C9" s="13" t="s">
        <v>39</v>
      </c>
      <c r="D9" s="1">
        <f>0.4*70+0.6*101.3</f>
        <v>88.78</v>
      </c>
      <c r="E9" s="9" t="s">
        <v>40</v>
      </c>
      <c r="F9" s="41">
        <f>CONVERT(P_amb,"kPa","atm")</f>
        <v>0.87619047619047619</v>
      </c>
      <c r="G9" s="170" t="s">
        <v>41</v>
      </c>
      <c r="J9" s="194" t="s">
        <v>210</v>
      </c>
      <c r="K9" s="217">
        <v>5</v>
      </c>
      <c r="L9" s="237">
        <f>1175+1200</f>
        <v>2375</v>
      </c>
      <c r="M9" s="222">
        <v>2500</v>
      </c>
      <c r="N9" s="440">
        <f t="shared" si="3"/>
        <v>96.25</v>
      </c>
      <c r="O9" s="245">
        <v>0.35</v>
      </c>
      <c r="P9" s="199">
        <v>5.5</v>
      </c>
      <c r="Q9" s="199">
        <v>0</v>
      </c>
      <c r="R9" s="198">
        <v>2</v>
      </c>
      <c r="S9" s="200">
        <f t="shared" si="0"/>
        <v>12.007265985041531</v>
      </c>
      <c r="T9" s="201">
        <v>6500</v>
      </c>
      <c r="U9" s="202">
        <v>13.2</v>
      </c>
      <c r="V9" s="203">
        <v>0.7</v>
      </c>
      <c r="W9" s="204">
        <f t="shared" si="2"/>
        <v>17.153237121487901</v>
      </c>
      <c r="X9" s="241">
        <f t="shared" si="1"/>
        <v>313.50962159541723</v>
      </c>
      <c r="Y9" s="438"/>
      <c r="Z9" s="438"/>
      <c r="AA9" s="438"/>
    </row>
    <row r="10" spans="2:27" ht="18" x14ac:dyDescent="0.35">
      <c r="B10" s="169" t="s">
        <v>42</v>
      </c>
      <c r="C10" s="14" t="s">
        <v>43</v>
      </c>
      <c r="D10" s="26">
        <f>P_amb/(CONVERT(R_air,"g","kg")*CONVERT(T_amb,"C","K"))</f>
        <v>0.9876375063623658</v>
      </c>
      <c r="E10" s="9" t="s">
        <v>44</v>
      </c>
      <c r="F10" s="180">
        <f>CONVERT(CONVERT(rho_air,"kg","lbm"),"ft^3","m^3")</f>
        <v>6.1656195310711544E-2</v>
      </c>
      <c r="G10" s="170" t="s">
        <v>45</v>
      </c>
      <c r="J10" s="197" t="s">
        <v>211</v>
      </c>
      <c r="K10" s="210">
        <v>6</v>
      </c>
      <c r="L10" s="237">
        <f>1175+1200</f>
        <v>2375</v>
      </c>
      <c r="M10" s="219">
        <v>6000</v>
      </c>
      <c r="N10" s="441">
        <f t="shared" si="3"/>
        <v>84</v>
      </c>
      <c r="O10" s="208">
        <v>0.3</v>
      </c>
      <c r="P10" s="207">
        <v>5</v>
      </c>
      <c r="Q10" s="207">
        <v>0</v>
      </c>
      <c r="R10" s="205">
        <v>2</v>
      </c>
      <c r="S10" s="215">
        <f t="shared" si="0"/>
        <v>9.5567098437607765</v>
      </c>
      <c r="T10" s="219">
        <v>6500</v>
      </c>
      <c r="U10" s="206">
        <v>13.2</v>
      </c>
      <c r="V10" s="208">
        <v>0.7</v>
      </c>
      <c r="W10" s="209">
        <f t="shared" ref="W10" si="4">S10/V10</f>
        <v>13.652442633943966</v>
      </c>
      <c r="X10" s="242">
        <f t="shared" si="1"/>
        <v>277.98687155217647</v>
      </c>
      <c r="Y10" s="438"/>
      <c r="Z10" s="438"/>
      <c r="AA10" s="438"/>
    </row>
    <row r="11" spans="2:27" ht="18.75" thickBot="1" x14ac:dyDescent="0.4">
      <c r="B11" s="169" t="s">
        <v>46</v>
      </c>
      <c r="C11" s="13" t="s">
        <v>47</v>
      </c>
      <c r="D11" s="1">
        <v>725.75</v>
      </c>
      <c r="E11" s="9" t="s">
        <v>48</v>
      </c>
      <c r="F11" s="41">
        <f>CONVERT(m_v,"kg","lbm")</f>
        <v>1600.004867806749</v>
      </c>
      <c r="G11" s="170" t="s">
        <v>49</v>
      </c>
      <c r="J11" s="195" t="s">
        <v>212</v>
      </c>
      <c r="K11" s="218">
        <v>7</v>
      </c>
      <c r="L11" s="238">
        <f>1275+1600</f>
        <v>2875</v>
      </c>
      <c r="M11" s="187">
        <v>1000</v>
      </c>
      <c r="N11" s="442">
        <f t="shared" si="3"/>
        <v>101.5</v>
      </c>
      <c r="O11" s="228">
        <v>0.25</v>
      </c>
      <c r="P11" s="188">
        <v>6.5</v>
      </c>
      <c r="Q11" s="188">
        <v>0</v>
      </c>
      <c r="R11" s="186">
        <v>2</v>
      </c>
      <c r="S11" s="189">
        <f t="shared" si="0"/>
        <v>12.816909071481133</v>
      </c>
      <c r="T11" s="227">
        <v>6500</v>
      </c>
      <c r="U11" s="187">
        <v>13.2</v>
      </c>
      <c r="V11" s="228">
        <v>0.7</v>
      </c>
      <c r="W11" s="229">
        <f t="shared" si="2"/>
        <v>18.309870102115905</v>
      </c>
      <c r="X11" s="243">
        <f t="shared" si="1"/>
        <v>319.77459106549117</v>
      </c>
      <c r="Y11" s="438"/>
      <c r="Z11" s="438"/>
      <c r="AA11" s="438"/>
    </row>
    <row r="12" spans="2:27" x14ac:dyDescent="0.25">
      <c r="B12" s="169" t="s">
        <v>50</v>
      </c>
      <c r="C12" s="14" t="s">
        <v>51</v>
      </c>
      <c r="D12" s="1">
        <v>21.4</v>
      </c>
      <c r="E12" s="9" t="s">
        <v>52</v>
      </c>
      <c r="F12" s="171">
        <f>TAN(RADIANS(alpha))</f>
        <v>0.39189571465121936</v>
      </c>
      <c r="G12" s="170" t="s">
        <v>53</v>
      </c>
    </row>
    <row r="13" spans="2:27" ht="18" x14ac:dyDescent="0.35">
      <c r="B13" s="169" t="s">
        <v>54</v>
      </c>
      <c r="C13" s="248" t="s">
        <v>152</v>
      </c>
      <c r="D13" s="1">
        <f>'TR-XXXX Data (AirRoll Resist)'!B38</f>
        <v>1.3879622915155911E-2</v>
      </c>
      <c r="E13" s="9" t="s">
        <v>56</v>
      </c>
      <c r="F13" s="40">
        <f>C_r</f>
        <v>1.3879622915155911E-2</v>
      </c>
      <c r="G13" s="170" t="str">
        <f t="shared" ref="G13:G14" si="5">E13</f>
        <v>-</v>
      </c>
    </row>
    <row r="14" spans="2:27" ht="18" x14ac:dyDescent="0.35">
      <c r="B14" s="169" t="s">
        <v>57</v>
      </c>
      <c r="C14" s="248" t="s">
        <v>153</v>
      </c>
      <c r="D14" s="1">
        <f>'TR-XXXX Data (AirRoll Resist)'!B43</f>
        <v>0.76911420022012267</v>
      </c>
      <c r="E14" s="9" t="s">
        <v>56</v>
      </c>
      <c r="F14" s="40">
        <f>C_d</f>
        <v>0.76911420022012267</v>
      </c>
      <c r="G14" s="170" t="str">
        <f t="shared" si="5"/>
        <v>-</v>
      </c>
    </row>
    <row r="15" spans="2:27" ht="18" x14ac:dyDescent="0.35">
      <c r="B15" s="169" t="s">
        <v>59</v>
      </c>
      <c r="C15" s="248" t="s">
        <v>154</v>
      </c>
      <c r="D15" s="1">
        <v>1.8</v>
      </c>
      <c r="E15" s="9" t="s">
        <v>61</v>
      </c>
      <c r="F15" s="43">
        <f>CONVERT(A_v,"m^2","ft^2")</f>
        <v>19.375038750077501</v>
      </c>
      <c r="G15" s="170" t="s">
        <v>62</v>
      </c>
    </row>
    <row r="16" spans="2:27" ht="18" x14ac:dyDescent="0.35">
      <c r="B16" s="169" t="s">
        <v>63</v>
      </c>
      <c r="C16" s="13" t="s">
        <v>64</v>
      </c>
      <c r="D16" s="1">
        <v>15</v>
      </c>
      <c r="E16" s="9" t="s">
        <v>65</v>
      </c>
      <c r="F16" s="41">
        <f>CONVERT(S_v,"km","mi")</f>
        <v>9.3205678835600096</v>
      </c>
      <c r="G16" s="170" t="s">
        <v>8</v>
      </c>
    </row>
    <row r="17" spans="2:9" ht="18" x14ac:dyDescent="0.35">
      <c r="B17" s="169" t="s">
        <v>66</v>
      </c>
      <c r="C17" s="14" t="s">
        <v>67</v>
      </c>
      <c r="D17" s="1">
        <v>0.05</v>
      </c>
      <c r="E17" s="9" t="s">
        <v>20</v>
      </c>
      <c r="F17" s="181">
        <f>CONVERT(accel_v,"m","ft")</f>
        <v>0.16404199475065617</v>
      </c>
      <c r="G17" s="170" t="s">
        <v>68</v>
      </c>
      <c r="H17" s="122">
        <f>CONVERT(accel_v,"m","mi")/CONVERT(1,"s","hr")</f>
        <v>0.11184681460272013</v>
      </c>
      <c r="I17" s="122" t="s">
        <v>69</v>
      </c>
    </row>
    <row r="18" spans="2:9" ht="18" x14ac:dyDescent="0.35">
      <c r="B18" s="169" t="s">
        <v>70</v>
      </c>
      <c r="C18" s="13" t="s">
        <v>71</v>
      </c>
      <c r="D18" s="1">
        <v>5</v>
      </c>
      <c r="E18" s="9" t="s">
        <v>72</v>
      </c>
      <c r="F18" s="181">
        <f>CONVERT(F_b,"N","lbf")</f>
        <v>1.1240447154985524</v>
      </c>
      <c r="G18" s="170" t="s">
        <v>49</v>
      </c>
      <c r="H18" s="40"/>
    </row>
    <row r="19" spans="2:9" ht="18" x14ac:dyDescent="0.35">
      <c r="B19" s="169" t="s">
        <v>73</v>
      </c>
      <c r="C19" s="13" t="s">
        <v>74</v>
      </c>
      <c r="D19" s="27">
        <f>C_r*m_v*g_e*COS(RADIANS(alpha))</f>
        <v>91.973159250470104</v>
      </c>
      <c r="E19" s="9" t="s">
        <v>72</v>
      </c>
      <c r="F19" s="41">
        <f>CONVERT(F_R,"N","lbf")</f>
        <v>20.676388724639544</v>
      </c>
      <c r="G19" s="170" t="s">
        <v>49</v>
      </c>
    </row>
    <row r="20" spans="2:9" ht="18" x14ac:dyDescent="0.35">
      <c r="B20" s="169" t="s">
        <v>75</v>
      </c>
      <c r="C20" s="13" t="s">
        <v>76</v>
      </c>
      <c r="D20" s="27">
        <f>0.5*rho_air*C_d*A_v*CONVERT(CONVERT(S_v,"km","m"),"s","hr")^2</f>
        <v>11.868844231457617</v>
      </c>
      <c r="E20" s="9" t="s">
        <v>72</v>
      </c>
      <c r="F20" s="41">
        <f>CONVERT(F_D,"N","lbf")</f>
        <v>2.6682223274890822</v>
      </c>
      <c r="G20" s="170" t="s">
        <v>49</v>
      </c>
    </row>
    <row r="21" spans="2:9" ht="18" x14ac:dyDescent="0.35">
      <c r="B21" s="169" t="s">
        <v>77</v>
      </c>
      <c r="C21" s="13" t="s">
        <v>78</v>
      </c>
      <c r="D21" s="18">
        <f>m_v*accel_v</f>
        <v>36.287500000000001</v>
      </c>
      <c r="E21" s="9" t="s">
        <v>72</v>
      </c>
      <c r="F21" s="43">
        <f>CONVERT(F_a,"N","lbf")</f>
        <v>8.1577545227307446</v>
      </c>
      <c r="G21" s="170" t="s">
        <v>49</v>
      </c>
    </row>
    <row r="22" spans="2:9" ht="18" x14ac:dyDescent="0.35">
      <c r="B22" s="169" t="s">
        <v>155</v>
      </c>
      <c r="C22" s="13" t="s">
        <v>80</v>
      </c>
      <c r="D22" s="18">
        <f>m_v*g_e*SIN(RADIANS(alpha))</f>
        <v>2596.8923791031184</v>
      </c>
      <c r="E22" s="9" t="s">
        <v>72</v>
      </c>
      <c r="F22" s="41">
        <f>CONVERT(F_g,"N","lbf")</f>
        <v>583.80463108986476</v>
      </c>
      <c r="G22" s="170" t="s">
        <v>49</v>
      </c>
    </row>
    <row r="23" spans="2:9" ht="18" x14ac:dyDescent="0.35">
      <c r="B23" s="169" t="s">
        <v>81</v>
      </c>
      <c r="C23" s="14" t="s">
        <v>82</v>
      </c>
      <c r="D23" s="24">
        <f>(C_r*m_v*g_e+0.5*rho_air*C_d*A_v*CONVERT(CONVERT(S_v,"km","m"),"s","hr")^2)*CONVERT(CONVERT(S_v,"km","m"),"s","hr")</f>
        <v>461.05236095277388</v>
      </c>
      <c r="E23" s="9" t="s">
        <v>83</v>
      </c>
      <c r="F23" s="41">
        <f>CONVERT(P_r,"W","HP")</f>
        <v>0.61828140049760982</v>
      </c>
      <c r="G23" s="170" t="s">
        <v>84</v>
      </c>
    </row>
    <row r="24" spans="2:9" ht="18" x14ac:dyDescent="0.35">
      <c r="B24" s="172" t="s">
        <v>85</v>
      </c>
      <c r="C24" s="156" t="s">
        <v>86</v>
      </c>
      <c r="D24" s="157">
        <f>CONVERT(SUM(D18:D22)*CONVERT(CONVERT(S_v,"km","m"),"s","hr"),"W","kW")</f>
        <v>11.425091177437693</v>
      </c>
      <c r="E24" s="158" t="s">
        <v>96</v>
      </c>
      <c r="F24" s="41">
        <f>CONVERT(P_v,"kW","HP")</f>
        <v>15.321299644581213</v>
      </c>
      <c r="G24" s="170" t="s">
        <v>84</v>
      </c>
      <c r="H24" s="122" t="str">
        <f>_xlfn.CONCAT("Engine Power @ Seal Level Required: ",ROUND(F24/(P_amb/101.3),2)," hp")</f>
        <v>Engine Power @ Seal Level Required: 17.48 hp</v>
      </c>
    </row>
    <row r="25" spans="2:9" x14ac:dyDescent="0.25">
      <c r="B25" s="173" t="s">
        <v>156</v>
      </c>
      <c r="C25" s="159" t="s">
        <v>72</v>
      </c>
      <c r="D25" s="160">
        <v>6500</v>
      </c>
      <c r="E25" s="161" t="s">
        <v>99</v>
      </c>
      <c r="G25" s="168"/>
      <c r="H25" s="122"/>
    </row>
    <row r="26" spans="2:9" x14ac:dyDescent="0.25">
      <c r="B26" s="169" t="s">
        <v>100</v>
      </c>
      <c r="C26" s="14" t="s">
        <v>157</v>
      </c>
      <c r="D26" s="249">
        <v>0.9</v>
      </c>
      <c r="E26" s="9" t="s">
        <v>56</v>
      </c>
      <c r="G26" s="168"/>
    </row>
    <row r="27" spans="2:9" x14ac:dyDescent="0.25">
      <c r="B27" s="169" t="s">
        <v>158</v>
      </c>
      <c r="C27" s="14" t="s">
        <v>103</v>
      </c>
      <c r="D27" s="249">
        <v>2</v>
      </c>
      <c r="E27" s="9" t="s">
        <v>104</v>
      </c>
      <c r="G27" s="168"/>
    </row>
    <row r="28" spans="2:9" x14ac:dyDescent="0.25">
      <c r="B28" s="169" t="s">
        <v>101</v>
      </c>
      <c r="C28" s="14" t="s">
        <v>159</v>
      </c>
      <c r="D28" s="249">
        <v>340</v>
      </c>
      <c r="E28" s="9" t="s">
        <v>102</v>
      </c>
      <c r="G28" s="168"/>
    </row>
    <row r="29" spans="2:9" x14ac:dyDescent="0.25">
      <c r="B29" s="169" t="s">
        <v>105</v>
      </c>
      <c r="C29" s="14" t="s">
        <v>160</v>
      </c>
      <c r="D29" s="1">
        <v>0.95</v>
      </c>
      <c r="E29" s="9" t="s">
        <v>56</v>
      </c>
      <c r="G29" s="168"/>
    </row>
    <row r="30" spans="2:9" x14ac:dyDescent="0.25">
      <c r="B30" s="169" t="s">
        <v>106</v>
      </c>
      <c r="C30" s="14" t="s">
        <v>161</v>
      </c>
      <c r="D30" s="1">
        <v>14.7</v>
      </c>
      <c r="E30" s="9" t="s">
        <v>56</v>
      </c>
      <c r="G30" s="168"/>
    </row>
    <row r="31" spans="2:9" x14ac:dyDescent="0.25">
      <c r="B31" s="169" t="s">
        <v>107</v>
      </c>
      <c r="C31" s="14" t="s">
        <v>162</v>
      </c>
      <c r="D31" s="1">
        <v>13.2</v>
      </c>
      <c r="E31" s="9" t="s">
        <v>56</v>
      </c>
      <c r="G31" s="168"/>
    </row>
    <row r="32" spans="2:9" x14ac:dyDescent="0.25">
      <c r="B32" s="169" t="s">
        <v>108</v>
      </c>
      <c r="C32" s="14" t="s">
        <v>163</v>
      </c>
      <c r="D32" s="1">
        <v>12.06</v>
      </c>
      <c r="E32" s="9" t="s">
        <v>164</v>
      </c>
      <c r="G32" s="168"/>
    </row>
    <row r="33" spans="2:7" x14ac:dyDescent="0.25">
      <c r="B33" s="169" t="s">
        <v>116</v>
      </c>
      <c r="C33" s="14" t="s">
        <v>165</v>
      </c>
      <c r="D33" s="39">
        <f>D31/D30</f>
        <v>0.89795918367346939</v>
      </c>
      <c r="E33" s="9" t="s">
        <v>56</v>
      </c>
      <c r="G33" s="168"/>
    </row>
    <row r="34" spans="2:7" x14ac:dyDescent="0.25">
      <c r="B34" s="169" t="s">
        <v>117</v>
      </c>
      <c r="C34" s="14" t="s">
        <v>166</v>
      </c>
      <c r="D34" s="39">
        <f>CONVERT(CONVERT(D28,"min","hr"),"g","kg")*D24</f>
        <v>6.4742183338813597E-2</v>
      </c>
      <c r="E34" s="9" t="s">
        <v>118</v>
      </c>
      <c r="G34" s="168"/>
    </row>
    <row r="35" spans="2:7" x14ac:dyDescent="0.25">
      <c r="B35" s="169" t="s">
        <v>119</v>
      </c>
      <c r="C35" s="14" t="s">
        <v>167</v>
      </c>
      <c r="D35" s="39">
        <f>D34*D31</f>
        <v>0.85459682007233939</v>
      </c>
      <c r="E35" s="9" t="s">
        <v>118</v>
      </c>
      <c r="G35" s="168"/>
    </row>
    <row r="36" spans="2:7" x14ac:dyDescent="0.25">
      <c r="B36" s="169" t="s">
        <v>120</v>
      </c>
      <c r="C36" s="14" t="s">
        <v>168</v>
      </c>
      <c r="D36" s="39">
        <f>CONVERT(((D35*D27)/(rho_air*D25)),"m^3","L")</f>
        <v>0.2662443113193072</v>
      </c>
      <c r="E36" s="9" t="s">
        <v>121</v>
      </c>
      <c r="G36" s="168"/>
    </row>
    <row r="37" spans="2:7" x14ac:dyDescent="0.25">
      <c r="B37" s="169" t="s">
        <v>123</v>
      </c>
      <c r="C37" s="14" t="s">
        <v>169</v>
      </c>
      <c r="D37" s="124">
        <f>D36/D26</f>
        <v>0.295827012577008</v>
      </c>
      <c r="E37" s="9" t="s">
        <v>121</v>
      </c>
      <c r="F37" s="41">
        <f>CONVERT(D37,"L","cm^3")</f>
        <v>295.82701257700796</v>
      </c>
      <c r="G37" s="170" t="s">
        <v>122</v>
      </c>
    </row>
    <row r="38" spans="2:7" x14ac:dyDescent="0.25">
      <c r="B38" s="169" t="s">
        <v>124</v>
      </c>
      <c r="C38" s="14" t="s">
        <v>170</v>
      </c>
      <c r="D38" s="124">
        <f>P_v*D27/(CONVERT(D37,"L","m^3")*CONVERT(D25,"s","min"))</f>
        <v>713.00033881775084</v>
      </c>
      <c r="E38" s="9" t="s">
        <v>40</v>
      </c>
      <c r="G38" s="168"/>
    </row>
    <row r="39" spans="2:7" x14ac:dyDescent="0.25">
      <c r="B39" s="169" t="s">
        <v>125</v>
      </c>
      <c r="C39" s="14" t="s">
        <v>171</v>
      </c>
      <c r="D39" s="39">
        <f>CONVERT(2^(2/3)*CONVERT(D37,"L","m^3")^(1/3)/(PI()^(1/3)*D29^(2/3)),"m","mm")</f>
        <v>74.730905626409481</v>
      </c>
      <c r="E39" s="9" t="s">
        <v>126</v>
      </c>
      <c r="G39" s="168"/>
    </row>
    <row r="40" spans="2:7" x14ac:dyDescent="0.25">
      <c r="B40" s="169" t="s">
        <v>172</v>
      </c>
      <c r="C40" s="14" t="s">
        <v>3</v>
      </c>
      <c r="D40" s="39">
        <f>D29*D39</f>
        <v>70.994360345089007</v>
      </c>
      <c r="E40" s="9" t="s">
        <v>126</v>
      </c>
      <c r="G40" s="168"/>
    </row>
    <row r="41" spans="2:7" x14ac:dyDescent="0.25">
      <c r="B41" s="174" t="s">
        <v>127</v>
      </c>
      <c r="C41" s="175" t="s">
        <v>173</v>
      </c>
      <c r="D41" s="176">
        <f>2*CONVERT(D39,"mm","m")*CONVERT(D25,"s","min")</f>
        <v>16.191696219055387</v>
      </c>
      <c r="E41" s="177" t="s">
        <v>128</v>
      </c>
      <c r="F41" s="178"/>
      <c r="G41" s="179"/>
    </row>
  </sheetData>
  <mergeCells count="2">
    <mergeCell ref="L2:R2"/>
    <mergeCell ref="B2:G2"/>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0F805-AC90-4764-9BE4-147906E20B29}">
  <sheetPr codeName="Sheet4"/>
  <dimension ref="B1:AX57"/>
  <sheetViews>
    <sheetView zoomScale="85" zoomScaleNormal="85" workbookViewId="0">
      <selection activeCell="U8" sqref="U8"/>
    </sheetView>
  </sheetViews>
  <sheetFormatPr defaultColWidth="9.140625" defaultRowHeight="15" x14ac:dyDescent="0.25"/>
  <cols>
    <col min="1" max="1" width="1.5703125" customWidth="1"/>
    <col min="3" max="3" width="7.7109375" bestFit="1" customWidth="1"/>
    <col min="4" max="4" width="6.42578125" bestFit="1" customWidth="1"/>
    <col min="5" max="5" width="7.7109375" bestFit="1" customWidth="1"/>
    <col min="6" max="6" width="6.42578125" bestFit="1" customWidth="1"/>
    <col min="7" max="7" width="1.7109375" customWidth="1"/>
    <col min="9" max="9" width="7.140625" bestFit="1" customWidth="1"/>
    <col min="10" max="10" width="6.42578125" customWidth="1"/>
    <col min="11" max="11" width="7.140625" bestFit="1" customWidth="1"/>
    <col min="12" max="12" width="6.42578125" customWidth="1"/>
    <col min="13" max="13" width="5.7109375" customWidth="1"/>
    <col min="14" max="14" width="13.140625" bestFit="1" customWidth="1"/>
    <col min="17" max="17" width="1.7109375" customWidth="1"/>
    <col min="18" max="18" width="13.140625" customWidth="1"/>
    <col min="21" max="21" width="5.7109375" customWidth="1"/>
    <col min="22" max="22" width="7" bestFit="1" customWidth="1"/>
    <col min="23" max="23" width="7.7109375" bestFit="1" customWidth="1"/>
    <col min="24" max="24" width="7.5703125" bestFit="1" customWidth="1"/>
    <col min="25" max="25" width="6.42578125" bestFit="1" customWidth="1"/>
    <col min="26" max="26" width="12.28515625" bestFit="1" customWidth="1"/>
    <col min="27" max="28" width="6.42578125" bestFit="1" customWidth="1"/>
    <col min="29" max="29" width="7.140625" bestFit="1" customWidth="1"/>
    <col min="30" max="31" width="12.28515625" bestFit="1" customWidth="1"/>
    <col min="32" max="32" width="7.5703125" bestFit="1" customWidth="1"/>
    <col min="33" max="33" width="12.28515625" bestFit="1" customWidth="1"/>
    <col min="34" max="34" width="23.7109375" bestFit="1" customWidth="1"/>
    <col min="35" max="36" width="5.7109375" customWidth="1"/>
    <col min="37" max="43" width="9.140625" hidden="1" customWidth="1"/>
    <col min="44" max="44" width="1.7109375" hidden="1" customWidth="1"/>
    <col min="45" max="45" width="9.140625" hidden="1" customWidth="1"/>
    <col min="46" max="46" width="9.42578125" hidden="1" customWidth="1"/>
    <col min="47" max="50" width="9.140625" hidden="1" customWidth="1"/>
  </cols>
  <sheetData>
    <row r="1" spans="2:50" x14ac:dyDescent="0.25">
      <c r="B1" s="388" t="s">
        <v>174</v>
      </c>
      <c r="C1" s="388"/>
      <c r="D1" s="388"/>
      <c r="E1" s="388"/>
      <c r="F1" s="388"/>
      <c r="G1" s="388"/>
      <c r="H1" s="388"/>
      <c r="I1" s="388"/>
      <c r="J1" s="388"/>
      <c r="K1" s="388"/>
      <c r="L1" s="388"/>
      <c r="M1" s="388"/>
      <c r="N1" s="388"/>
      <c r="O1" s="388"/>
      <c r="P1" s="388"/>
      <c r="Q1" s="388"/>
      <c r="R1" s="388"/>
      <c r="S1" s="388"/>
      <c r="T1" s="388"/>
      <c r="Z1" s="39" t="s">
        <v>175</v>
      </c>
      <c r="AA1" s="252">
        <v>1</v>
      </c>
      <c r="AB1" s="39" t="s">
        <v>176</v>
      </c>
    </row>
    <row r="2" spans="2:50" x14ac:dyDescent="0.25">
      <c r="B2" s="388"/>
      <c r="C2" s="388"/>
      <c r="D2" s="388"/>
      <c r="E2" s="388"/>
      <c r="F2" s="388"/>
      <c r="G2" s="388"/>
      <c r="H2" s="388"/>
      <c r="I2" s="388"/>
      <c r="J2" s="388"/>
      <c r="K2" s="388"/>
      <c r="L2" s="388"/>
      <c r="M2" s="388"/>
      <c r="N2" s="388"/>
      <c r="O2" s="388"/>
      <c r="P2" s="388"/>
      <c r="Q2" s="388"/>
      <c r="R2" s="388"/>
      <c r="S2" s="388"/>
      <c r="T2" s="388"/>
      <c r="Z2" s="39" t="s">
        <v>177</v>
      </c>
      <c r="AA2" s="252">
        <v>18</v>
      </c>
      <c r="AB2" s="39" t="s">
        <v>178</v>
      </c>
    </row>
    <row r="3" spans="2:50" x14ac:dyDescent="0.25">
      <c r="B3" s="388"/>
      <c r="C3" s="388"/>
      <c r="D3" s="388"/>
      <c r="E3" s="388"/>
      <c r="F3" s="388"/>
      <c r="G3" s="388"/>
      <c r="H3" s="388"/>
      <c r="I3" s="388"/>
      <c r="J3" s="388"/>
      <c r="K3" s="388"/>
      <c r="L3" s="388"/>
      <c r="M3" s="388"/>
      <c r="N3" s="388"/>
      <c r="O3" s="388"/>
      <c r="P3" s="388"/>
      <c r="Q3" s="388"/>
      <c r="R3" s="388"/>
      <c r="S3" s="388"/>
      <c r="T3" s="388"/>
      <c r="Z3" s="39" t="s">
        <v>179</v>
      </c>
      <c r="AA3" s="252">
        <v>11.47</v>
      </c>
      <c r="AB3" s="39" t="s">
        <v>176</v>
      </c>
    </row>
    <row r="4" spans="2:50" x14ac:dyDescent="0.25">
      <c r="B4" s="388"/>
      <c r="C4" s="388"/>
      <c r="D4" s="388"/>
      <c r="E4" s="388"/>
      <c r="F4" s="388"/>
      <c r="G4" s="388"/>
      <c r="H4" s="388"/>
      <c r="I4" s="388"/>
      <c r="J4" s="388"/>
      <c r="K4" s="388"/>
      <c r="L4" s="388"/>
      <c r="M4" s="388"/>
      <c r="N4" s="388"/>
      <c r="O4" s="388"/>
      <c r="P4" s="388"/>
      <c r="Q4" s="388"/>
      <c r="R4" s="388"/>
      <c r="S4" s="388"/>
      <c r="T4" s="388"/>
      <c r="Z4" s="39" t="s">
        <v>180</v>
      </c>
      <c r="AA4" s="252">
        <v>300</v>
      </c>
      <c r="AB4" s="39" t="s">
        <v>122</v>
      </c>
    </row>
    <row r="5" spans="2:50" x14ac:dyDescent="0.25">
      <c r="B5" s="388"/>
      <c r="C5" s="388"/>
      <c r="D5" s="388"/>
      <c r="E5" s="388"/>
      <c r="F5" s="388"/>
      <c r="G5" s="388"/>
      <c r="H5" s="388"/>
      <c r="I5" s="388"/>
      <c r="J5" s="388"/>
      <c r="K5" s="388"/>
      <c r="L5" s="388"/>
      <c r="M5" s="388"/>
      <c r="N5" s="388"/>
      <c r="O5" s="388"/>
      <c r="P5" s="388"/>
      <c r="Q5" s="388"/>
      <c r="R5" s="388"/>
      <c r="S5" s="388"/>
      <c r="T5" s="388"/>
      <c r="V5" s="426" t="s">
        <v>181</v>
      </c>
      <c r="W5" s="427"/>
      <c r="X5" s="427"/>
      <c r="Y5" s="369">
        <f>MAX(AG12:AG26)</f>
        <v>12.676897816898594</v>
      </c>
      <c r="Z5" s="374" t="s">
        <v>96</v>
      </c>
      <c r="AA5" s="426" t="s">
        <v>182</v>
      </c>
      <c r="AB5" s="427"/>
      <c r="AC5" s="427"/>
      <c r="AD5" s="369">
        <f>CONVERT(_xlfn.XLOOKUP(AD6,AC12:AC26,AF12:AF26),"HP","kW")</f>
        <v>9.9178082920441959</v>
      </c>
      <c r="AE5" s="370" t="s">
        <v>96</v>
      </c>
    </row>
    <row r="6" spans="2:50" x14ac:dyDescent="0.25">
      <c r="B6" s="388"/>
      <c r="C6" s="388"/>
      <c r="D6" s="388"/>
      <c r="E6" s="388"/>
      <c r="F6" s="388"/>
      <c r="G6" s="388"/>
      <c r="H6" s="388"/>
      <c r="I6" s="388"/>
      <c r="J6" s="388"/>
      <c r="K6" s="388"/>
      <c r="L6" s="388"/>
      <c r="M6" s="388"/>
      <c r="N6" s="388"/>
      <c r="O6" s="388"/>
      <c r="P6" s="388"/>
      <c r="Q6" s="388"/>
      <c r="R6" s="388"/>
      <c r="S6" s="388"/>
      <c r="T6" s="388"/>
      <c r="V6" s="428" t="s">
        <v>98</v>
      </c>
      <c r="W6" s="429"/>
      <c r="X6" s="429"/>
      <c r="Y6" s="368">
        <f>ROUND(_xlfn.XLOOKUP(MAX(AF12:AF26),AF12:AF26,AC12:AC26),1)</f>
        <v>3154.3</v>
      </c>
      <c r="Z6" s="375" t="s">
        <v>99</v>
      </c>
      <c r="AA6" s="428" t="s">
        <v>183</v>
      </c>
      <c r="AB6" s="429"/>
      <c r="AC6" s="429"/>
      <c r="AD6" s="377">
        <f>_xlfn.XLOOKUP(AD7,AE12:AE26,AC12:AC26)</f>
        <v>2294</v>
      </c>
      <c r="AE6" s="371" t="s">
        <v>99</v>
      </c>
    </row>
    <row r="7" spans="2:50" ht="15.75" customHeight="1" x14ac:dyDescent="0.25">
      <c r="B7" s="388"/>
      <c r="C7" s="388"/>
      <c r="D7" s="388"/>
      <c r="E7" s="388"/>
      <c r="F7" s="388"/>
      <c r="G7" s="388"/>
      <c r="H7" s="388"/>
      <c r="I7" s="388"/>
      <c r="J7" s="388"/>
      <c r="K7" s="388"/>
      <c r="L7" s="388"/>
      <c r="M7" s="388"/>
      <c r="N7" s="388"/>
      <c r="O7" s="388"/>
      <c r="P7" s="388"/>
      <c r="Q7" s="388"/>
      <c r="R7" s="388"/>
      <c r="S7" s="388"/>
      <c r="T7" s="388"/>
      <c r="V7" s="430" t="s">
        <v>184</v>
      </c>
      <c r="W7" s="431"/>
      <c r="X7" s="431"/>
      <c r="Y7" s="372">
        <f>VLOOKUP(Y6,AC12:AE26,3)</f>
        <v>38.377696662858291</v>
      </c>
      <c r="Z7" s="376" t="s">
        <v>185</v>
      </c>
      <c r="AA7" s="430" t="s">
        <v>186</v>
      </c>
      <c r="AB7" s="431"/>
      <c r="AC7" s="431"/>
      <c r="AD7" s="378">
        <f>MAX(AE12:AE26)</f>
        <v>41.284242807177712</v>
      </c>
      <c r="AE7" s="373" t="s">
        <v>185</v>
      </c>
    </row>
    <row r="8" spans="2:50" x14ac:dyDescent="0.25">
      <c r="AK8" s="251"/>
      <c r="AL8" s="251"/>
      <c r="AM8" s="251"/>
      <c r="AN8" s="251"/>
      <c r="AO8" s="251"/>
      <c r="AP8" s="251"/>
      <c r="AQ8" s="251"/>
    </row>
    <row r="9" spans="2:50" ht="30" customHeight="1" thickBot="1" x14ac:dyDescent="0.35">
      <c r="B9" s="389" t="s">
        <v>214</v>
      </c>
      <c r="C9" s="390"/>
      <c r="D9" s="390"/>
      <c r="E9" s="390"/>
      <c r="F9" s="390"/>
      <c r="G9" s="390"/>
      <c r="H9" s="390"/>
      <c r="I9" s="390"/>
      <c r="J9" s="390"/>
      <c r="K9" s="390"/>
      <c r="L9" s="391"/>
      <c r="N9" s="392" t="s">
        <v>215</v>
      </c>
      <c r="O9" s="393"/>
      <c r="P9" s="393"/>
      <c r="Q9" s="393"/>
      <c r="R9" s="393"/>
      <c r="S9" s="393"/>
      <c r="T9" s="394"/>
      <c r="U9" s="45"/>
      <c r="V9" s="414" t="s">
        <v>187</v>
      </c>
      <c r="W9" s="415"/>
      <c r="X9" s="415"/>
      <c r="Y9" s="415"/>
      <c r="Z9" s="415"/>
      <c r="AA9" s="415"/>
      <c r="AB9" s="415"/>
      <c r="AC9" s="415"/>
      <c r="AD9" s="415"/>
      <c r="AE9" s="415"/>
      <c r="AF9" s="415"/>
      <c r="AG9" s="416"/>
      <c r="AH9" s="45"/>
      <c r="AI9" s="45"/>
      <c r="AJ9" s="45"/>
      <c r="AK9" s="399" t="s">
        <v>188</v>
      </c>
      <c r="AL9" s="400"/>
      <c r="AM9" s="400"/>
      <c r="AN9" s="400"/>
      <c r="AO9" s="400"/>
      <c r="AP9" s="400"/>
      <c r="AQ9" s="400"/>
      <c r="AR9" s="400"/>
      <c r="AS9" s="400"/>
      <c r="AT9" s="400"/>
      <c r="AU9" s="400"/>
      <c r="AV9" s="400"/>
      <c r="AW9" s="400"/>
      <c r="AX9" s="401"/>
    </row>
    <row r="10" spans="2:50" ht="30.75" customHeight="1" thickBot="1" x14ac:dyDescent="0.3">
      <c r="B10" s="86" t="s">
        <v>141</v>
      </c>
      <c r="C10" s="402" t="s">
        <v>189</v>
      </c>
      <c r="D10" s="403"/>
      <c r="E10" s="404" t="s">
        <v>190</v>
      </c>
      <c r="F10" s="403"/>
      <c r="G10" s="45"/>
      <c r="H10" s="107" t="s">
        <v>191</v>
      </c>
      <c r="I10" s="409" t="s">
        <v>192</v>
      </c>
      <c r="J10" s="410"/>
      <c r="K10" s="411" t="s">
        <v>193</v>
      </c>
      <c r="L10" s="410"/>
      <c r="N10" s="57" t="s">
        <v>141</v>
      </c>
      <c r="O10" s="405" t="s">
        <v>194</v>
      </c>
      <c r="P10" s="406"/>
      <c r="Q10" s="52"/>
      <c r="R10" s="71" t="s">
        <v>191</v>
      </c>
      <c r="S10" s="412" t="s">
        <v>195</v>
      </c>
      <c r="T10" s="413"/>
      <c r="U10" s="45"/>
      <c r="V10" s="264" t="s">
        <v>196</v>
      </c>
      <c r="W10" s="265" t="s">
        <v>63</v>
      </c>
      <c r="X10" s="418" t="s">
        <v>197</v>
      </c>
      <c r="Y10" s="419"/>
      <c r="Z10" s="423" t="s">
        <v>198</v>
      </c>
      <c r="AA10" s="418"/>
      <c r="AB10" s="419"/>
      <c r="AC10" s="253" t="s">
        <v>141</v>
      </c>
      <c r="AD10" s="420" t="s">
        <v>199</v>
      </c>
      <c r="AE10" s="421"/>
      <c r="AF10" s="422" t="s">
        <v>200</v>
      </c>
      <c r="AG10" s="421"/>
      <c r="AH10" s="45"/>
      <c r="AI10" s="45"/>
      <c r="AJ10" s="45"/>
      <c r="AK10" s="303" t="s">
        <v>141</v>
      </c>
      <c r="AL10" s="395" t="s">
        <v>201</v>
      </c>
      <c r="AM10" s="396"/>
      <c r="AN10" s="395" t="s">
        <v>202</v>
      </c>
      <c r="AO10" s="407"/>
      <c r="AP10" s="408"/>
      <c r="AQ10" s="304" t="str">
        <f>_xlfn.CONCAT("BMEP ","(if using ",AA4," cc)")</f>
        <v>BMEP (if using 300 cc)</v>
      </c>
      <c r="AR10" s="305"/>
      <c r="AS10" s="306" t="s">
        <v>196</v>
      </c>
      <c r="AT10" s="307" t="s">
        <v>63</v>
      </c>
      <c r="AU10" s="397" t="s">
        <v>197</v>
      </c>
      <c r="AV10" s="398"/>
      <c r="AW10" s="417" t="s">
        <v>198</v>
      </c>
      <c r="AX10" s="398"/>
    </row>
    <row r="11" spans="2:50" ht="16.5" thickBot="1" x14ac:dyDescent="0.3">
      <c r="B11" s="87" t="s">
        <v>99</v>
      </c>
      <c r="C11" s="88" t="s">
        <v>203</v>
      </c>
      <c r="D11" s="89" t="s">
        <v>84</v>
      </c>
      <c r="E11" s="90" t="s">
        <v>185</v>
      </c>
      <c r="F11" s="91" t="s">
        <v>204</v>
      </c>
      <c r="G11" s="51"/>
      <c r="H11" s="108" t="s">
        <v>99</v>
      </c>
      <c r="I11" s="109" t="s">
        <v>203</v>
      </c>
      <c r="J11" s="110" t="s">
        <v>84</v>
      </c>
      <c r="K11" s="111" t="s">
        <v>185</v>
      </c>
      <c r="L11" s="112" t="s">
        <v>204</v>
      </c>
      <c r="N11" s="58" t="s">
        <v>99</v>
      </c>
      <c r="O11" s="59" t="s">
        <v>203</v>
      </c>
      <c r="P11" s="60" t="s">
        <v>84</v>
      </c>
      <c r="Q11" s="56"/>
      <c r="R11" s="72" t="s">
        <v>99</v>
      </c>
      <c r="S11" s="73" t="s">
        <v>203</v>
      </c>
      <c r="T11" s="74" t="s">
        <v>84</v>
      </c>
      <c r="U11" s="52"/>
      <c r="V11" s="266" t="s">
        <v>99</v>
      </c>
      <c r="W11" s="267" t="s">
        <v>8</v>
      </c>
      <c r="X11" s="268" t="s">
        <v>203</v>
      </c>
      <c r="Y11" s="286" t="s">
        <v>84</v>
      </c>
      <c r="Z11" s="269" t="s">
        <v>185</v>
      </c>
      <c r="AA11" s="270" t="s">
        <v>204</v>
      </c>
      <c r="AB11" s="267" t="s">
        <v>96</v>
      </c>
      <c r="AC11" s="254" t="s">
        <v>99</v>
      </c>
      <c r="AD11" s="255" t="s">
        <v>205</v>
      </c>
      <c r="AE11" s="256" t="s">
        <v>185</v>
      </c>
      <c r="AF11" s="257" t="s">
        <v>97</v>
      </c>
      <c r="AG11" s="256" t="s">
        <v>96</v>
      </c>
      <c r="AH11" s="52"/>
      <c r="AI11" s="52"/>
      <c r="AJ11" s="52"/>
      <c r="AK11" s="308" t="s">
        <v>99</v>
      </c>
      <c r="AL11" s="309" t="s">
        <v>203</v>
      </c>
      <c r="AM11" s="310" t="s">
        <v>84</v>
      </c>
      <c r="AN11" s="311" t="s">
        <v>185</v>
      </c>
      <c r="AO11" s="312" t="s">
        <v>96</v>
      </c>
      <c r="AP11" s="313" t="s">
        <v>204</v>
      </c>
      <c r="AQ11" s="314" t="s">
        <v>40</v>
      </c>
      <c r="AR11" s="315"/>
      <c r="AS11" s="316" t="s">
        <v>99</v>
      </c>
      <c r="AT11" s="317" t="s">
        <v>8</v>
      </c>
      <c r="AU11" s="318" t="s">
        <v>203</v>
      </c>
      <c r="AV11" s="319" t="s">
        <v>84</v>
      </c>
      <c r="AW11" s="320" t="s">
        <v>185</v>
      </c>
      <c r="AX11" s="321" t="s">
        <v>204</v>
      </c>
    </row>
    <row r="12" spans="2:50" x14ac:dyDescent="0.25">
      <c r="B12" s="92">
        <v>3000</v>
      </c>
      <c r="C12" s="93">
        <f t="shared" ref="C12:C57" si="0">CONVERT(CONVERT(E12,"N","lbf"),"m","ft")</f>
        <v>6.3672265222807773</v>
      </c>
      <c r="D12" s="94">
        <f t="shared" ref="D12:D57" si="1">F12/1.0142777265087</f>
        <v>3.6183383545576859</v>
      </c>
      <c r="E12" s="95">
        <v>8.6328000000000014</v>
      </c>
      <c r="F12" s="96">
        <v>3.67</v>
      </c>
      <c r="G12" s="49"/>
      <c r="H12" s="113">
        <f t="shared" ref="H12:H57" si="2">B12/(1.95*11.47)</f>
        <v>134.1291663872309</v>
      </c>
      <c r="I12" s="114">
        <f>C12*11.47*1.95</f>
        <v>142.41257201059301</v>
      </c>
      <c r="J12" s="114">
        <f>D12</f>
        <v>3.6183383545576859</v>
      </c>
      <c r="K12" s="114">
        <f>E12*1.95*11.47</f>
        <v>193.08552120000002</v>
      </c>
      <c r="L12" s="115">
        <f>F12</f>
        <v>3.67</v>
      </c>
      <c r="N12" s="61">
        <v>1797</v>
      </c>
      <c r="O12" s="62">
        <v>18.600000000000001</v>
      </c>
      <c r="P12" s="63">
        <f t="shared" ref="P12:P19" si="3">O12*N12/5252</f>
        <v>6.3640898705255147</v>
      </c>
      <c r="Q12" s="53"/>
      <c r="R12" s="75">
        <f t="shared" ref="R12:R19" si="4">N12/11.47</f>
        <v>156.66957279860506</v>
      </c>
      <c r="S12" s="76">
        <f>O12*11.47</f>
        <v>213.34200000000004</v>
      </c>
      <c r="T12" s="77">
        <f>P12</f>
        <v>6.3640898705255147</v>
      </c>
      <c r="U12" s="53"/>
      <c r="V12" s="271">
        <v>50</v>
      </c>
      <c r="W12" s="272">
        <f t="shared" ref="W12:W26" si="5">((PI()*CONVERT($AA$2,"in","mi"))*0.965)*CONVERT(V12,"hr","min")</f>
        <v>2.5837814579950145</v>
      </c>
      <c r="X12" s="273">
        <f>Y12*5252/V12</f>
        <v>42.016000000000005</v>
      </c>
      <c r="Y12" s="287">
        <v>0.4</v>
      </c>
      <c r="Z12" s="274">
        <f>CONVERT(CONVERT(X12,"lbf","N"),"ft","m")</f>
        <v>56.966046917092129</v>
      </c>
      <c r="AA12" s="275">
        <f>Y12*1.0138696654</f>
        <v>0.40554786615999999</v>
      </c>
      <c r="AB12" s="275">
        <f>CONVERT(Y12,"HP","kW")</f>
        <v>0.29827994863290808</v>
      </c>
      <c r="AC12" s="258">
        <f t="shared" ref="AC12:AC26" si="6">($AA$1*$AA$3)*V12</f>
        <v>573.5</v>
      </c>
      <c r="AD12" s="297">
        <f t="shared" ref="AD12:AD26" si="7">X12/($AA$1*$AA$3)</f>
        <v>3.6631211857018311</v>
      </c>
      <c r="AE12" s="298">
        <f>CONVERT(CONVERT(AD12,"lbf","N"),"ft","m")</f>
        <v>4.966525450487544</v>
      </c>
      <c r="AF12" s="259">
        <f>Y12</f>
        <v>0.4</v>
      </c>
      <c r="AG12" s="298">
        <f>CONVERT(AF12,"HP","kW")</f>
        <v>0.29827994863290808</v>
      </c>
      <c r="AH12" s="53"/>
      <c r="AI12" s="53"/>
      <c r="AJ12" s="53"/>
      <c r="AK12" s="322">
        <v>1000</v>
      </c>
      <c r="AL12" s="323">
        <v>2</v>
      </c>
      <c r="AM12" s="324">
        <f>AK12*AL12/5252</f>
        <v>0.38080731150038083</v>
      </c>
      <c r="AN12" s="325">
        <f>CONVERT(CONVERT(AL12,"lbf","N"),"ft","m")</f>
        <v>2.7116358966628011</v>
      </c>
      <c r="AO12" s="326">
        <f>CONVERT(AM12,"HP","kW")</f>
        <v>0.28396796328342355</v>
      </c>
      <c r="AP12" s="327">
        <f>AM12*1.0138696654</f>
        <v>0.38608898149276466</v>
      </c>
      <c r="AQ12" s="328">
        <f t="shared" ref="AQ12:AQ28" si="8">AO12*2/(CONVERT($AA$4,"cm^3","m^3")*CONVERT(AK12,"s","min"))</f>
        <v>113.58718531336942</v>
      </c>
      <c r="AR12" s="329"/>
      <c r="AS12" s="330">
        <f>AK12/($AA$1*$AA$3)</f>
        <v>87.183958151700082</v>
      </c>
      <c r="AT12" s="331">
        <f t="shared" ref="AT12:AT28" si="9">((PI()*CONVERT($AA$2,"in","mi"))*0.965)*CONVERT(AS12,"hr","min")</f>
        <v>4.5052858901395192</v>
      </c>
      <c r="AU12" s="332">
        <f t="shared" ref="AU12:AU28" si="10">AL12*$AA$1*11.47</f>
        <v>22.94</v>
      </c>
      <c r="AV12" s="333">
        <f>AM12</f>
        <v>0.38080731150038083</v>
      </c>
      <c r="AW12" s="334">
        <f t="shared" ref="AW12:AW28" si="11">AN12*$AA$1*11.47</f>
        <v>31.102463734722331</v>
      </c>
      <c r="AX12" s="335">
        <f>AP12</f>
        <v>0.38608898149276466</v>
      </c>
    </row>
    <row r="13" spans="2:50" x14ac:dyDescent="0.25">
      <c r="B13" s="97">
        <v>3100</v>
      </c>
      <c r="C13" s="98">
        <f t="shared" si="0"/>
        <v>7.0907749907217736</v>
      </c>
      <c r="D13" s="99">
        <f t="shared" si="1"/>
        <v>4.1605961461126526</v>
      </c>
      <c r="E13" s="100">
        <v>9.6137999999999995</v>
      </c>
      <c r="F13" s="101">
        <v>4.22</v>
      </c>
      <c r="G13" s="49"/>
      <c r="H13" s="116">
        <f t="shared" si="2"/>
        <v>138.60013860013859</v>
      </c>
      <c r="I13" s="117">
        <f t="shared" ref="I13:I57" si="12">C13*11.47*1.95</f>
        <v>158.59581882997855</v>
      </c>
      <c r="J13" s="117">
        <f t="shared" ref="J13:J57" si="13">D13</f>
        <v>4.1605961461126526</v>
      </c>
      <c r="K13" s="117">
        <f t="shared" ref="K13:K57" si="14">E13*1.95*11.47</f>
        <v>215.0270577</v>
      </c>
      <c r="L13" s="118">
        <f t="shared" ref="L13:L57" si="15">F13</f>
        <v>4.22</v>
      </c>
      <c r="N13" s="64">
        <v>2096</v>
      </c>
      <c r="O13" s="65">
        <v>20</v>
      </c>
      <c r="P13" s="66">
        <f t="shared" si="3"/>
        <v>7.9817212490479816</v>
      </c>
      <c r="Q13" s="53"/>
      <c r="R13" s="78">
        <f t="shared" si="4"/>
        <v>182.73757628596337</v>
      </c>
      <c r="S13" s="79">
        <f t="shared" ref="S13:S19" si="16">O13*11.47</f>
        <v>229.4</v>
      </c>
      <c r="T13" s="80">
        <f t="shared" ref="T13:T19" si="17">P13</f>
        <v>7.9817212490479816</v>
      </c>
      <c r="U13" s="53"/>
      <c r="V13" s="289">
        <v>75</v>
      </c>
      <c r="W13" s="290">
        <f t="shared" si="5"/>
        <v>3.8756721869925217</v>
      </c>
      <c r="X13" s="291">
        <f t="shared" ref="X13:X26" si="18">Y13*5252/V13</f>
        <v>98.037333333333322</v>
      </c>
      <c r="Y13" s="292">
        <v>1.4</v>
      </c>
      <c r="Z13" s="293">
        <f t="shared" ref="Z13:Z26" si="19">CONVERT(CONVERT(X13,"lbf","N"),"ft","m")</f>
        <v>132.92077613988161</v>
      </c>
      <c r="AA13" s="294">
        <f t="shared" ref="AA13:AA26" si="20">Y13*1.0138696654</f>
        <v>1.4194175315599997</v>
      </c>
      <c r="AB13" s="294">
        <f t="shared" ref="AB13:AB26" si="21">CONVERT(Y13,"HP","kW")</f>
        <v>1.0439798202151782</v>
      </c>
      <c r="AC13" s="295">
        <f t="shared" si="6"/>
        <v>860.25</v>
      </c>
      <c r="AD13" s="299">
        <f t="shared" si="7"/>
        <v>8.5472827666376041</v>
      </c>
      <c r="AE13" s="300">
        <f t="shared" ref="AE13:AE26" si="22">CONVERT(CONVERT(AD13,"lbf","N"),"ft","m")</f>
        <v>11.588559384470932</v>
      </c>
      <c r="AF13" s="296">
        <f t="shared" ref="AF13:AF26" si="23">Y13</f>
        <v>1.4</v>
      </c>
      <c r="AG13" s="300">
        <f t="shared" ref="AG13:AG26" si="24">CONVERT(AF13,"HP","kW")</f>
        <v>1.0439798202151782</v>
      </c>
      <c r="AH13" s="53"/>
      <c r="AI13" s="53"/>
      <c r="AJ13" s="53"/>
      <c r="AK13" s="336">
        <v>1500</v>
      </c>
      <c r="AL13" s="323">
        <v>4.0999999999999996</v>
      </c>
      <c r="AM13" s="324">
        <f t="shared" ref="AM13:AM28" si="25">AK13*AL13/5252</f>
        <v>1.1709824828636708</v>
      </c>
      <c r="AN13" s="337">
        <f t="shared" ref="AN13:AN28" si="26">CONVERT(CONVERT(AL13,"lbf","N"),"ft","m")</f>
        <v>5.5588535881587422</v>
      </c>
      <c r="AO13" s="338">
        <f t="shared" ref="AO13:AO28" si="27">CONVERT(AM13,"HP","kW")</f>
        <v>0.87320148709652734</v>
      </c>
      <c r="AP13" s="339">
        <f t="shared" ref="AP13:AP28" si="28">AM13*1.0138696654</f>
        <v>1.1872236180902511</v>
      </c>
      <c r="AQ13" s="340">
        <f t="shared" si="8"/>
        <v>232.8537298924073</v>
      </c>
      <c r="AR13" s="329"/>
      <c r="AS13" s="330">
        <f t="shared" ref="AS13:AS28" si="29">AK13/($AA$1*11.47)</f>
        <v>130.77593722755012</v>
      </c>
      <c r="AT13" s="331">
        <f t="shared" si="9"/>
        <v>6.7579288352092783</v>
      </c>
      <c r="AU13" s="341">
        <f t="shared" si="10"/>
        <v>47.027000000000001</v>
      </c>
      <c r="AV13" s="342">
        <f t="shared" ref="AV13:AV28" si="30">AM13</f>
        <v>1.1709824828636708</v>
      </c>
      <c r="AW13" s="343">
        <f t="shared" si="11"/>
        <v>63.760050656180773</v>
      </c>
      <c r="AX13" s="344">
        <f t="shared" ref="AX13:AX28" si="31">AP13</f>
        <v>1.1872236180902511</v>
      </c>
    </row>
    <row r="14" spans="2:50" x14ac:dyDescent="0.25">
      <c r="B14" s="97">
        <v>3200</v>
      </c>
      <c r="C14" s="98">
        <f t="shared" si="0"/>
        <v>7.4525492249422722</v>
      </c>
      <c r="D14" s="99">
        <f t="shared" si="1"/>
        <v>4.5352469839142655</v>
      </c>
      <c r="E14" s="100">
        <v>10.1043</v>
      </c>
      <c r="F14" s="101">
        <v>4.5999999999999996</v>
      </c>
      <c r="G14" s="49"/>
      <c r="H14" s="116">
        <f t="shared" si="2"/>
        <v>143.07111081304629</v>
      </c>
      <c r="I14" s="117">
        <f t="shared" si="12"/>
        <v>166.68744223967133</v>
      </c>
      <c r="J14" s="117">
        <f t="shared" si="13"/>
        <v>4.5352469839142655</v>
      </c>
      <c r="K14" s="117">
        <f t="shared" si="14"/>
        <v>225.99782595000002</v>
      </c>
      <c r="L14" s="118">
        <f t="shared" si="15"/>
        <v>4.5999999999999996</v>
      </c>
      <c r="N14" s="67">
        <v>2396</v>
      </c>
      <c r="O14" s="65">
        <v>18.899999999999999</v>
      </c>
      <c r="P14" s="66">
        <f t="shared" si="3"/>
        <v>8.6223153084539206</v>
      </c>
      <c r="Q14" s="53"/>
      <c r="R14" s="78">
        <f t="shared" si="4"/>
        <v>208.89276373147339</v>
      </c>
      <c r="S14" s="79">
        <f t="shared" si="16"/>
        <v>216.78299999999999</v>
      </c>
      <c r="T14" s="80">
        <f t="shared" si="17"/>
        <v>8.6223153084539206</v>
      </c>
      <c r="U14" s="53"/>
      <c r="V14" s="276">
        <v>100</v>
      </c>
      <c r="W14" s="277">
        <f t="shared" si="5"/>
        <v>5.1675629159900289</v>
      </c>
      <c r="X14" s="278">
        <f t="shared" si="18"/>
        <v>173.31599999999997</v>
      </c>
      <c r="Y14" s="288">
        <v>3.3</v>
      </c>
      <c r="Z14" s="279">
        <f t="shared" si="19"/>
        <v>234.98494353300492</v>
      </c>
      <c r="AA14" s="280">
        <f t="shared" si="20"/>
        <v>3.3457698958199993</v>
      </c>
      <c r="AB14" s="280">
        <f t="shared" si="21"/>
        <v>2.4608095762214917</v>
      </c>
      <c r="AC14" s="260">
        <f t="shared" si="6"/>
        <v>1147</v>
      </c>
      <c r="AD14" s="301">
        <f t="shared" si="7"/>
        <v>15.110374891020049</v>
      </c>
      <c r="AE14" s="302">
        <f t="shared" si="22"/>
        <v>20.486917483261113</v>
      </c>
      <c r="AF14" s="261">
        <f t="shared" si="23"/>
        <v>3.3</v>
      </c>
      <c r="AG14" s="302">
        <f t="shared" si="24"/>
        <v>2.4608095762214917</v>
      </c>
      <c r="AH14" s="53"/>
      <c r="AI14" s="53"/>
      <c r="AJ14" s="53"/>
      <c r="AK14" s="322">
        <v>2000</v>
      </c>
      <c r="AL14" s="323">
        <v>6.5</v>
      </c>
      <c r="AM14" s="324">
        <f t="shared" si="25"/>
        <v>2.4752475247524752</v>
      </c>
      <c r="AN14" s="337">
        <f t="shared" si="26"/>
        <v>8.8128166641541039</v>
      </c>
      <c r="AO14" s="338">
        <f t="shared" si="27"/>
        <v>1.845791761342253</v>
      </c>
      <c r="AP14" s="339">
        <f t="shared" si="28"/>
        <v>2.5095783797029698</v>
      </c>
      <c r="AQ14" s="340">
        <f t="shared" si="8"/>
        <v>369.15835226845059</v>
      </c>
      <c r="AR14" s="329"/>
      <c r="AS14" s="330">
        <f t="shared" si="29"/>
        <v>174.36791630340016</v>
      </c>
      <c r="AT14" s="331">
        <f t="shared" si="9"/>
        <v>9.0105717802790384</v>
      </c>
      <c r="AU14" s="341">
        <f t="shared" si="10"/>
        <v>74.555000000000007</v>
      </c>
      <c r="AV14" s="342">
        <f t="shared" si="30"/>
        <v>2.4752475247524752</v>
      </c>
      <c r="AW14" s="343">
        <f t="shared" si="11"/>
        <v>101.08300713784757</v>
      </c>
      <c r="AX14" s="344">
        <f t="shared" si="31"/>
        <v>2.5095783797029698</v>
      </c>
    </row>
    <row r="15" spans="2:50" x14ac:dyDescent="0.25">
      <c r="B15" s="97">
        <v>3300</v>
      </c>
      <c r="C15" s="98">
        <f t="shared" si="0"/>
        <v>7.6696137654745735</v>
      </c>
      <c r="D15" s="99">
        <f t="shared" si="1"/>
        <v>4.8211647285523389</v>
      </c>
      <c r="E15" s="100">
        <v>10.398600000000002</v>
      </c>
      <c r="F15" s="101">
        <v>4.8899999999999997</v>
      </c>
      <c r="G15" s="49"/>
      <c r="H15" s="116">
        <f t="shared" si="2"/>
        <v>147.54208302595399</v>
      </c>
      <c r="I15" s="117">
        <f t="shared" si="12"/>
        <v>171.54241628548706</v>
      </c>
      <c r="J15" s="117">
        <f t="shared" si="13"/>
        <v>4.8211647285523389</v>
      </c>
      <c r="K15" s="117">
        <f t="shared" si="14"/>
        <v>232.58028690000003</v>
      </c>
      <c r="L15" s="118">
        <f t="shared" si="15"/>
        <v>4.8899999999999997</v>
      </c>
      <c r="N15" s="64">
        <v>2695</v>
      </c>
      <c r="O15" s="65">
        <v>19.7</v>
      </c>
      <c r="P15" s="66">
        <f t="shared" si="3"/>
        <v>10.108815689261235</v>
      </c>
      <c r="Q15" s="53"/>
      <c r="R15" s="78">
        <f t="shared" si="4"/>
        <v>234.96076721883173</v>
      </c>
      <c r="S15" s="79">
        <f t="shared" si="16"/>
        <v>225.959</v>
      </c>
      <c r="T15" s="80">
        <f t="shared" si="17"/>
        <v>10.108815689261235</v>
      </c>
      <c r="U15" s="53"/>
      <c r="V15" s="276">
        <v>125</v>
      </c>
      <c r="W15" s="277">
        <f t="shared" si="5"/>
        <v>6.4594536449875362</v>
      </c>
      <c r="X15" s="278">
        <f t="shared" si="18"/>
        <v>243.69279999999998</v>
      </c>
      <c r="Y15" s="288">
        <v>5.8</v>
      </c>
      <c r="Z15" s="279">
        <f t="shared" si="19"/>
        <v>330.40307211913432</v>
      </c>
      <c r="AA15" s="280">
        <f t="shared" si="20"/>
        <v>5.8804440593199994</v>
      </c>
      <c r="AB15" s="280">
        <f t="shared" si="21"/>
        <v>4.3250592551771669</v>
      </c>
      <c r="AC15" s="260">
        <f t="shared" si="6"/>
        <v>1433.75</v>
      </c>
      <c r="AD15" s="301">
        <f t="shared" si="7"/>
        <v>21.246102877070616</v>
      </c>
      <c r="AE15" s="302">
        <f t="shared" si="22"/>
        <v>28.805847612827748</v>
      </c>
      <c r="AF15" s="261">
        <f t="shared" si="23"/>
        <v>5.8</v>
      </c>
      <c r="AG15" s="302">
        <f t="shared" si="24"/>
        <v>4.3250592551771669</v>
      </c>
      <c r="AH15" s="53"/>
      <c r="AI15" s="53"/>
      <c r="AJ15" s="53"/>
      <c r="AK15" s="336">
        <v>2500</v>
      </c>
      <c r="AL15" s="323">
        <v>10</v>
      </c>
      <c r="AM15" s="324">
        <f t="shared" si="25"/>
        <v>4.7600913937547604</v>
      </c>
      <c r="AN15" s="337">
        <f t="shared" si="26"/>
        <v>13.558179483314007</v>
      </c>
      <c r="AO15" s="338">
        <f t="shared" si="27"/>
        <v>3.5495995410427947</v>
      </c>
      <c r="AP15" s="339">
        <f t="shared" si="28"/>
        <v>4.8261122686595579</v>
      </c>
      <c r="AQ15" s="340">
        <f t="shared" si="8"/>
        <v>567.93592656684723</v>
      </c>
      <c r="AR15" s="329"/>
      <c r="AS15" s="330">
        <f t="shared" si="29"/>
        <v>217.95989537925021</v>
      </c>
      <c r="AT15" s="331">
        <f t="shared" si="9"/>
        <v>11.263214725348798</v>
      </c>
      <c r="AU15" s="341">
        <f t="shared" si="10"/>
        <v>114.7</v>
      </c>
      <c r="AV15" s="342">
        <f t="shared" si="30"/>
        <v>4.7600913937547604</v>
      </c>
      <c r="AW15" s="343">
        <f t="shared" si="11"/>
        <v>155.51231867361167</v>
      </c>
      <c r="AX15" s="344">
        <f t="shared" si="31"/>
        <v>4.8261122686595579</v>
      </c>
    </row>
    <row r="16" spans="2:50" x14ac:dyDescent="0.25">
      <c r="B16" s="97">
        <v>3400</v>
      </c>
      <c r="C16" s="98">
        <f t="shared" si="0"/>
        <v>7.8866783060068721</v>
      </c>
      <c r="D16" s="99">
        <f t="shared" si="1"/>
        <v>5.0873640080429592</v>
      </c>
      <c r="E16" s="100">
        <v>10.692900000000002</v>
      </c>
      <c r="F16" s="101">
        <v>5.16</v>
      </c>
      <c r="G16" s="49"/>
      <c r="H16" s="116">
        <f t="shared" si="2"/>
        <v>152.01305523886168</v>
      </c>
      <c r="I16" s="117">
        <f t="shared" si="12"/>
        <v>176.39739033130272</v>
      </c>
      <c r="J16" s="117">
        <f t="shared" si="13"/>
        <v>5.0873640080429592</v>
      </c>
      <c r="K16" s="117">
        <f t="shared" si="14"/>
        <v>239.16274785000004</v>
      </c>
      <c r="L16" s="118">
        <f t="shared" si="15"/>
        <v>5.16</v>
      </c>
      <c r="N16" s="67">
        <v>2994</v>
      </c>
      <c r="O16" s="65">
        <v>19.100000000000001</v>
      </c>
      <c r="P16" s="66">
        <f t="shared" si="3"/>
        <v>10.888309215536939</v>
      </c>
      <c r="Q16" s="53"/>
      <c r="R16" s="78">
        <f t="shared" si="4"/>
        <v>261.02877070619007</v>
      </c>
      <c r="S16" s="79">
        <f t="shared" si="16"/>
        <v>219.07700000000003</v>
      </c>
      <c r="T16" s="80">
        <f t="shared" si="17"/>
        <v>10.888309215536939</v>
      </c>
      <c r="U16" s="53"/>
      <c r="V16" s="276">
        <v>150</v>
      </c>
      <c r="W16" s="277">
        <f t="shared" si="5"/>
        <v>7.7513443739850434</v>
      </c>
      <c r="X16" s="278">
        <f t="shared" si="18"/>
        <v>311.61866666666668</v>
      </c>
      <c r="Y16" s="288">
        <v>8.9</v>
      </c>
      <c r="Z16" s="279">
        <f t="shared" si="19"/>
        <v>422.49818130176664</v>
      </c>
      <c r="AA16" s="280">
        <f t="shared" si="20"/>
        <v>9.0234400220599991</v>
      </c>
      <c r="AB16" s="280">
        <f t="shared" si="21"/>
        <v>6.6367288570822058</v>
      </c>
      <c r="AC16" s="260">
        <f t="shared" si="6"/>
        <v>1720.5</v>
      </c>
      <c r="AD16" s="301">
        <f t="shared" si="7"/>
        <v>27.168148793955247</v>
      </c>
      <c r="AE16" s="302">
        <f t="shared" si="22"/>
        <v>36.835063757782621</v>
      </c>
      <c r="AF16" s="261">
        <f t="shared" si="23"/>
        <v>8.9</v>
      </c>
      <c r="AG16" s="302">
        <f t="shared" si="24"/>
        <v>6.6367288570822058</v>
      </c>
      <c r="AH16" s="53"/>
      <c r="AI16" s="53"/>
      <c r="AJ16" s="53"/>
      <c r="AK16" s="322">
        <v>3000</v>
      </c>
      <c r="AL16" s="323">
        <v>12.5</v>
      </c>
      <c r="AM16" s="324">
        <f t="shared" si="25"/>
        <v>7.1401370906321402</v>
      </c>
      <c r="AN16" s="337">
        <f t="shared" si="26"/>
        <v>16.947724354142505</v>
      </c>
      <c r="AO16" s="338">
        <f t="shared" si="27"/>
        <v>5.3243993115641919</v>
      </c>
      <c r="AP16" s="339">
        <f t="shared" si="28"/>
        <v>7.2391684029893364</v>
      </c>
      <c r="AQ16" s="340">
        <f t="shared" si="8"/>
        <v>709.91990820855892</v>
      </c>
      <c r="AR16" s="329"/>
      <c r="AS16" s="330">
        <f t="shared" si="29"/>
        <v>261.55187445510023</v>
      </c>
      <c r="AT16" s="331">
        <f t="shared" si="9"/>
        <v>13.515857670418557</v>
      </c>
      <c r="AU16" s="341">
        <f t="shared" si="10"/>
        <v>143.375</v>
      </c>
      <c r="AV16" s="342">
        <f t="shared" si="30"/>
        <v>7.1401370906321402</v>
      </c>
      <c r="AW16" s="343">
        <f t="shared" si="11"/>
        <v>194.39039834201455</v>
      </c>
      <c r="AX16" s="344">
        <f t="shared" si="31"/>
        <v>7.2391684029893364</v>
      </c>
    </row>
    <row r="17" spans="2:50" x14ac:dyDescent="0.25">
      <c r="B17" s="97">
        <v>3500</v>
      </c>
      <c r="C17" s="98">
        <f t="shared" si="0"/>
        <v>8.0313879996950703</v>
      </c>
      <c r="D17" s="99">
        <f t="shared" si="1"/>
        <v>5.3338448223861255</v>
      </c>
      <c r="E17" s="100">
        <v>10.889100000000001</v>
      </c>
      <c r="F17" s="101">
        <v>5.41</v>
      </c>
      <c r="G17" s="49"/>
      <c r="H17" s="116">
        <f t="shared" si="2"/>
        <v>156.48402745176938</v>
      </c>
      <c r="I17" s="117">
        <f t="shared" si="12"/>
        <v>179.63403969517981</v>
      </c>
      <c r="J17" s="117">
        <f t="shared" si="13"/>
        <v>5.3338448223861255</v>
      </c>
      <c r="K17" s="117">
        <f t="shared" si="14"/>
        <v>243.55105515000005</v>
      </c>
      <c r="L17" s="118">
        <f t="shared" si="15"/>
        <v>5.41</v>
      </c>
      <c r="N17" s="64">
        <v>3200</v>
      </c>
      <c r="O17" s="65">
        <v>18.2</v>
      </c>
      <c r="P17" s="66">
        <f t="shared" si="3"/>
        <v>11.089108910891088</v>
      </c>
      <c r="Q17" s="53"/>
      <c r="R17" s="78">
        <f t="shared" si="4"/>
        <v>278.98866608544029</v>
      </c>
      <c r="S17" s="79">
        <f t="shared" si="16"/>
        <v>208.75399999999999</v>
      </c>
      <c r="T17" s="80">
        <f t="shared" si="17"/>
        <v>11.089108910891088</v>
      </c>
      <c r="U17" s="53"/>
      <c r="V17" s="276">
        <v>175</v>
      </c>
      <c r="W17" s="277">
        <f t="shared" si="5"/>
        <v>9.0432351029825497</v>
      </c>
      <c r="X17" s="278">
        <f t="shared" si="18"/>
        <v>348.1325714285714</v>
      </c>
      <c r="Y17" s="288">
        <v>11.6</v>
      </c>
      <c r="Z17" s="279">
        <f t="shared" si="19"/>
        <v>472.00438874162029</v>
      </c>
      <c r="AA17" s="280">
        <f t="shared" si="20"/>
        <v>11.760888118639999</v>
      </c>
      <c r="AB17" s="280">
        <f t="shared" si="21"/>
        <v>8.6501185103543339</v>
      </c>
      <c r="AC17" s="260">
        <f t="shared" si="6"/>
        <v>2007.25</v>
      </c>
      <c r="AD17" s="301">
        <f t="shared" si="7"/>
        <v>30.351575538672307</v>
      </c>
      <c r="AE17" s="302">
        <f t="shared" si="22"/>
        <v>41.151210875468209</v>
      </c>
      <c r="AF17" s="261">
        <f t="shared" si="23"/>
        <v>11.6</v>
      </c>
      <c r="AG17" s="302">
        <f t="shared" si="24"/>
        <v>8.6501185103543339</v>
      </c>
      <c r="AH17" s="53"/>
      <c r="AI17" s="53"/>
      <c r="AJ17" s="53"/>
      <c r="AK17" s="336">
        <v>3500</v>
      </c>
      <c r="AL17" s="323">
        <v>15</v>
      </c>
      <c r="AM17" s="324">
        <f t="shared" si="25"/>
        <v>9.9961919268849968</v>
      </c>
      <c r="AN17" s="337">
        <f t="shared" si="26"/>
        <v>20.337269224971006</v>
      </c>
      <c r="AO17" s="338">
        <f t="shared" si="27"/>
        <v>7.4541590361898686</v>
      </c>
      <c r="AP17" s="339">
        <f t="shared" si="28"/>
        <v>10.134835764185071</v>
      </c>
      <c r="AQ17" s="340">
        <f t="shared" si="8"/>
        <v>851.90388985027084</v>
      </c>
      <c r="AR17" s="329"/>
      <c r="AS17" s="330">
        <f t="shared" si="29"/>
        <v>305.14385353095031</v>
      </c>
      <c r="AT17" s="331">
        <f t="shared" si="9"/>
        <v>15.768500615488319</v>
      </c>
      <c r="AU17" s="341">
        <f t="shared" si="10"/>
        <v>172.05</v>
      </c>
      <c r="AV17" s="342">
        <f t="shared" si="30"/>
        <v>9.9961919268849968</v>
      </c>
      <c r="AW17" s="343">
        <f t="shared" si="11"/>
        <v>233.26847801041745</v>
      </c>
      <c r="AX17" s="344">
        <f t="shared" si="31"/>
        <v>10.134835764185071</v>
      </c>
    </row>
    <row r="18" spans="2:50" x14ac:dyDescent="0.25">
      <c r="B18" s="97">
        <v>3600</v>
      </c>
      <c r="C18" s="98">
        <f t="shared" si="0"/>
        <v>8.248452540227369</v>
      </c>
      <c r="D18" s="99">
        <f t="shared" si="1"/>
        <v>5.649340264745379</v>
      </c>
      <c r="E18" s="100">
        <v>11.183399999999999</v>
      </c>
      <c r="F18" s="101">
        <v>5.73</v>
      </c>
      <c r="G18" s="49"/>
      <c r="H18" s="116">
        <f t="shared" si="2"/>
        <v>160.95499966467708</v>
      </c>
      <c r="I18" s="117">
        <f t="shared" si="12"/>
        <v>184.48901374099546</v>
      </c>
      <c r="J18" s="117">
        <f t="shared" si="13"/>
        <v>5.649340264745379</v>
      </c>
      <c r="K18" s="117">
        <f t="shared" si="14"/>
        <v>250.13351609999998</v>
      </c>
      <c r="L18" s="118">
        <f t="shared" si="15"/>
        <v>5.73</v>
      </c>
      <c r="N18" s="67">
        <v>3294</v>
      </c>
      <c r="O18" s="65">
        <v>18.3</v>
      </c>
      <c r="P18" s="66">
        <f t="shared" si="3"/>
        <v>11.477570449352628</v>
      </c>
      <c r="Q18" s="53"/>
      <c r="R18" s="78">
        <f t="shared" si="4"/>
        <v>287.1839581517001</v>
      </c>
      <c r="S18" s="79">
        <f t="shared" si="16"/>
        <v>209.90100000000001</v>
      </c>
      <c r="T18" s="80">
        <f t="shared" si="17"/>
        <v>11.477570449352628</v>
      </c>
      <c r="U18" s="53"/>
      <c r="V18" s="276">
        <v>200</v>
      </c>
      <c r="W18" s="277">
        <f t="shared" si="5"/>
        <v>10.335125831980058</v>
      </c>
      <c r="X18" s="278">
        <f t="shared" si="18"/>
        <v>349.25800000000004</v>
      </c>
      <c r="Y18" s="288">
        <v>13.3</v>
      </c>
      <c r="Z18" s="279">
        <f t="shared" si="19"/>
        <v>473.53026499832833</v>
      </c>
      <c r="AA18" s="280">
        <f t="shared" si="20"/>
        <v>13.484466549819999</v>
      </c>
      <c r="AB18" s="280">
        <f t="shared" si="21"/>
        <v>9.9178082920441959</v>
      </c>
      <c r="AC18" s="260">
        <f t="shared" si="6"/>
        <v>2294</v>
      </c>
      <c r="AD18" s="301">
        <f t="shared" si="7"/>
        <v>30.449694856146472</v>
      </c>
      <c r="AE18" s="302">
        <f t="shared" si="22"/>
        <v>41.284242807177712</v>
      </c>
      <c r="AF18" s="261">
        <f t="shared" si="23"/>
        <v>13.3</v>
      </c>
      <c r="AG18" s="302">
        <f t="shared" si="24"/>
        <v>9.9178082920441959</v>
      </c>
      <c r="AH18" s="53"/>
      <c r="AI18" s="53"/>
      <c r="AJ18" s="53"/>
      <c r="AK18" s="322">
        <v>4000</v>
      </c>
      <c r="AL18" s="323">
        <v>16.45</v>
      </c>
      <c r="AM18" s="324">
        <f t="shared" si="25"/>
        <v>12.528560548362529</v>
      </c>
      <c r="AN18" s="337">
        <f t="shared" si="26"/>
        <v>22.303205250051533</v>
      </c>
      <c r="AO18" s="338">
        <f t="shared" si="27"/>
        <v>9.3425459920246361</v>
      </c>
      <c r="AP18" s="339">
        <f t="shared" si="28"/>
        <v>12.702327491111957</v>
      </c>
      <c r="AQ18" s="340">
        <f t="shared" si="8"/>
        <v>934.25459920246362</v>
      </c>
      <c r="AR18" s="329"/>
      <c r="AS18" s="330">
        <f t="shared" si="29"/>
        <v>348.73583260680033</v>
      </c>
      <c r="AT18" s="331">
        <f t="shared" si="9"/>
        <v>18.021143560558077</v>
      </c>
      <c r="AU18" s="341">
        <f t="shared" si="10"/>
        <v>188.6815</v>
      </c>
      <c r="AV18" s="342">
        <f t="shared" si="30"/>
        <v>12.528560548362529</v>
      </c>
      <c r="AW18" s="343">
        <f t="shared" si="11"/>
        <v>255.8177642180911</v>
      </c>
      <c r="AX18" s="344">
        <f t="shared" si="31"/>
        <v>12.702327491111957</v>
      </c>
    </row>
    <row r="19" spans="2:50" ht="15.75" thickBot="1" x14ac:dyDescent="0.3">
      <c r="B19" s="97">
        <v>3700</v>
      </c>
      <c r="C19" s="98">
        <f t="shared" si="0"/>
        <v>8.3208073870714685</v>
      </c>
      <c r="D19" s="99">
        <f t="shared" si="1"/>
        <v>5.856384148793639</v>
      </c>
      <c r="E19" s="100">
        <v>11.281499999999999</v>
      </c>
      <c r="F19" s="101">
        <v>5.94</v>
      </c>
      <c r="G19" s="49"/>
      <c r="H19" s="116">
        <f t="shared" si="2"/>
        <v>165.42597187758477</v>
      </c>
      <c r="I19" s="117">
        <f t="shared" si="12"/>
        <v>186.10733842293399</v>
      </c>
      <c r="J19" s="117">
        <f t="shared" si="13"/>
        <v>5.856384148793639</v>
      </c>
      <c r="K19" s="117">
        <f t="shared" si="14"/>
        <v>252.32766975000001</v>
      </c>
      <c r="L19" s="118">
        <f t="shared" si="15"/>
        <v>5.94</v>
      </c>
      <c r="N19" s="68">
        <v>3600</v>
      </c>
      <c r="O19" s="69">
        <v>16.3</v>
      </c>
      <c r="P19" s="70">
        <f t="shared" si="3"/>
        <v>11.172886519421173</v>
      </c>
      <c r="Q19" s="85"/>
      <c r="R19" s="81">
        <f t="shared" si="4"/>
        <v>313.86224934612028</v>
      </c>
      <c r="S19" s="82">
        <f t="shared" si="16"/>
        <v>186.96100000000001</v>
      </c>
      <c r="T19" s="83">
        <f t="shared" si="17"/>
        <v>11.172886519421173</v>
      </c>
      <c r="U19" s="53"/>
      <c r="V19" s="276">
        <v>225</v>
      </c>
      <c r="W19" s="277">
        <f t="shared" si="5"/>
        <v>11.627016560977564</v>
      </c>
      <c r="X19" s="278">
        <f t="shared" si="18"/>
        <v>343.13066666666663</v>
      </c>
      <c r="Y19" s="288">
        <v>14.7</v>
      </c>
      <c r="Z19" s="279">
        <f t="shared" si="19"/>
        <v>465.22271648958554</v>
      </c>
      <c r="AA19" s="280">
        <f t="shared" si="20"/>
        <v>14.903884081379998</v>
      </c>
      <c r="AB19" s="280">
        <f t="shared" si="21"/>
        <v>10.961788112259372</v>
      </c>
      <c r="AC19" s="260">
        <f t="shared" si="6"/>
        <v>2580.75</v>
      </c>
      <c r="AD19" s="301">
        <f t="shared" si="7"/>
        <v>29.915489683231613</v>
      </c>
      <c r="AE19" s="302">
        <f t="shared" si="22"/>
        <v>40.559957845648256</v>
      </c>
      <c r="AF19" s="261">
        <f t="shared" si="23"/>
        <v>14.7</v>
      </c>
      <c r="AG19" s="302">
        <f t="shared" si="24"/>
        <v>10.961788112259372</v>
      </c>
      <c r="AH19" s="53"/>
      <c r="AI19" s="53"/>
      <c r="AJ19" s="53"/>
      <c r="AK19" s="336">
        <v>4500</v>
      </c>
      <c r="AL19" s="323">
        <v>16.100000000000001</v>
      </c>
      <c r="AM19" s="324">
        <f t="shared" si="25"/>
        <v>13.794744859101295</v>
      </c>
      <c r="AN19" s="337">
        <f t="shared" si="26"/>
        <v>21.828668968135545</v>
      </c>
      <c r="AO19" s="338">
        <f t="shared" si="27"/>
        <v>10.286739469942018</v>
      </c>
      <c r="AP19" s="339">
        <f t="shared" si="28"/>
        <v>13.986073354575398</v>
      </c>
      <c r="AQ19" s="340">
        <f t="shared" si="8"/>
        <v>914.37684177262395</v>
      </c>
      <c r="AR19" s="329"/>
      <c r="AS19" s="330">
        <f t="shared" si="29"/>
        <v>392.32781168265035</v>
      </c>
      <c r="AT19" s="331">
        <f t="shared" si="9"/>
        <v>20.273786505627836</v>
      </c>
      <c r="AU19" s="341">
        <f t="shared" si="10"/>
        <v>184.66700000000003</v>
      </c>
      <c r="AV19" s="342">
        <f t="shared" si="30"/>
        <v>13.794744859101295</v>
      </c>
      <c r="AW19" s="343">
        <f t="shared" si="11"/>
        <v>250.37483306451472</v>
      </c>
      <c r="AX19" s="344">
        <f t="shared" si="31"/>
        <v>13.986073354575398</v>
      </c>
    </row>
    <row r="20" spans="2:50" x14ac:dyDescent="0.25">
      <c r="B20" s="97">
        <v>3800</v>
      </c>
      <c r="C20" s="98">
        <f t="shared" si="0"/>
        <v>8.3931622339155698</v>
      </c>
      <c r="D20" s="99">
        <f t="shared" si="1"/>
        <v>6.053568800268172</v>
      </c>
      <c r="E20" s="100">
        <v>11.3796</v>
      </c>
      <c r="F20" s="101">
        <v>6.14</v>
      </c>
      <c r="G20" s="49"/>
      <c r="H20" s="116">
        <f t="shared" si="2"/>
        <v>169.89694409049247</v>
      </c>
      <c r="I20" s="117">
        <f t="shared" si="12"/>
        <v>187.72566310487261</v>
      </c>
      <c r="J20" s="117">
        <f t="shared" si="13"/>
        <v>6.053568800268172</v>
      </c>
      <c r="K20" s="117">
        <f t="shared" si="14"/>
        <v>254.52182340000002</v>
      </c>
      <c r="L20" s="118">
        <f t="shared" si="15"/>
        <v>6.14</v>
      </c>
      <c r="V20" s="276">
        <v>250</v>
      </c>
      <c r="W20" s="277">
        <f t="shared" si="5"/>
        <v>12.918907289975072</v>
      </c>
      <c r="X20" s="278">
        <f t="shared" si="18"/>
        <v>336.12799999999999</v>
      </c>
      <c r="Y20" s="288">
        <v>16</v>
      </c>
      <c r="Z20" s="279">
        <f t="shared" si="19"/>
        <v>455.72837533673703</v>
      </c>
      <c r="AA20" s="280">
        <f t="shared" si="20"/>
        <v>16.221914646399998</v>
      </c>
      <c r="AB20" s="280">
        <f t="shared" si="21"/>
        <v>11.931197945316324</v>
      </c>
      <c r="AC20" s="260">
        <f t="shared" si="6"/>
        <v>2867.5</v>
      </c>
      <c r="AD20" s="301">
        <f t="shared" si="7"/>
        <v>29.304969485614645</v>
      </c>
      <c r="AE20" s="302">
        <f t="shared" si="22"/>
        <v>39.732203603900345</v>
      </c>
      <c r="AF20" s="261">
        <f t="shared" si="23"/>
        <v>16</v>
      </c>
      <c r="AG20" s="302">
        <f t="shared" si="24"/>
        <v>11.931197945316324</v>
      </c>
      <c r="AK20" s="322">
        <v>5000</v>
      </c>
      <c r="AL20" s="323">
        <v>15.8</v>
      </c>
      <c r="AM20" s="324">
        <f t="shared" si="25"/>
        <v>15.041888804265042</v>
      </c>
      <c r="AN20" s="337">
        <f t="shared" si="26"/>
        <v>21.421923583636129</v>
      </c>
      <c r="AO20" s="338">
        <f t="shared" si="27"/>
        <v>11.216734549695232</v>
      </c>
      <c r="AP20" s="339">
        <f t="shared" si="28"/>
        <v>15.250514768964203</v>
      </c>
      <c r="AQ20" s="340">
        <f t="shared" si="8"/>
        <v>897.33876397561869</v>
      </c>
      <c r="AR20" s="329"/>
      <c r="AS20" s="330">
        <f t="shared" si="29"/>
        <v>435.91979075850043</v>
      </c>
      <c r="AT20" s="331">
        <f t="shared" si="9"/>
        <v>22.526429450697595</v>
      </c>
      <c r="AU20" s="341">
        <f t="shared" si="10"/>
        <v>181.22600000000003</v>
      </c>
      <c r="AV20" s="342">
        <f t="shared" si="30"/>
        <v>15.041888804265042</v>
      </c>
      <c r="AW20" s="343">
        <f t="shared" si="11"/>
        <v>245.70946350430643</v>
      </c>
      <c r="AX20" s="344">
        <f t="shared" si="31"/>
        <v>15.250514768964203</v>
      </c>
    </row>
    <row r="21" spans="2:50" x14ac:dyDescent="0.25">
      <c r="B21" s="97">
        <v>3900</v>
      </c>
      <c r="C21" s="98">
        <f t="shared" si="0"/>
        <v>8.3931622339155698</v>
      </c>
      <c r="D21" s="99">
        <f t="shared" si="1"/>
        <v>6.2014572888740718</v>
      </c>
      <c r="E21" s="100">
        <v>11.3796</v>
      </c>
      <c r="F21" s="101">
        <v>6.29</v>
      </c>
      <c r="G21" s="49"/>
      <c r="H21" s="116">
        <f t="shared" si="2"/>
        <v>174.36791630340016</v>
      </c>
      <c r="I21" s="117">
        <f t="shared" si="12"/>
        <v>187.72566310487261</v>
      </c>
      <c r="J21" s="117">
        <f t="shared" si="13"/>
        <v>6.2014572888740718</v>
      </c>
      <c r="K21" s="117">
        <f t="shared" si="14"/>
        <v>254.52182340000002</v>
      </c>
      <c r="L21" s="118">
        <f t="shared" si="15"/>
        <v>6.29</v>
      </c>
      <c r="V21" s="276">
        <v>275</v>
      </c>
      <c r="W21" s="277">
        <f t="shared" si="5"/>
        <v>14.210798018972579</v>
      </c>
      <c r="X21" s="278">
        <f t="shared" si="18"/>
        <v>324.66909090909093</v>
      </c>
      <c r="Y21" s="288">
        <v>17</v>
      </c>
      <c r="Z21" s="279">
        <f t="shared" si="19"/>
        <v>440.19218072298457</v>
      </c>
      <c r="AA21" s="280">
        <f t="shared" si="20"/>
        <v>17.2357843118</v>
      </c>
      <c r="AB21" s="280">
        <f t="shared" si="21"/>
        <v>12.676897816898594</v>
      </c>
      <c r="AC21" s="260">
        <f t="shared" si="6"/>
        <v>3154.25</v>
      </c>
      <c r="AD21" s="301">
        <f t="shared" si="7"/>
        <v>28.305936434968693</v>
      </c>
      <c r="AE21" s="302">
        <f t="shared" si="22"/>
        <v>38.377696662858291</v>
      </c>
      <c r="AF21" s="261">
        <f t="shared" si="23"/>
        <v>17</v>
      </c>
      <c r="AG21" s="302">
        <f t="shared" si="24"/>
        <v>12.676897816898594</v>
      </c>
      <c r="AK21" s="336">
        <v>5500</v>
      </c>
      <c r="AL21" s="323">
        <v>15.6</v>
      </c>
      <c r="AM21" s="324">
        <f t="shared" si="25"/>
        <v>16.336633663366335</v>
      </c>
      <c r="AN21" s="337">
        <f t="shared" si="26"/>
        <v>21.150759993969846</v>
      </c>
      <c r="AO21" s="338">
        <f t="shared" si="27"/>
        <v>12.182225624858869</v>
      </c>
      <c r="AP21" s="339">
        <f t="shared" si="28"/>
        <v>16.563217306039601</v>
      </c>
      <c r="AQ21" s="340">
        <f t="shared" si="8"/>
        <v>885.98004544428136</v>
      </c>
      <c r="AR21" s="329"/>
      <c r="AS21" s="330">
        <f t="shared" si="29"/>
        <v>479.51176983435045</v>
      </c>
      <c r="AT21" s="331">
        <f t="shared" si="9"/>
        <v>24.779072395767354</v>
      </c>
      <c r="AU21" s="341">
        <f t="shared" si="10"/>
        <v>178.93200000000002</v>
      </c>
      <c r="AV21" s="342">
        <f t="shared" si="30"/>
        <v>16.336633663366335</v>
      </c>
      <c r="AW21" s="343">
        <f t="shared" si="11"/>
        <v>242.59921713083415</v>
      </c>
      <c r="AX21" s="344">
        <f t="shared" si="31"/>
        <v>16.563217306039601</v>
      </c>
    </row>
    <row r="22" spans="2:50" x14ac:dyDescent="0.25">
      <c r="B22" s="97">
        <v>4000</v>
      </c>
      <c r="C22" s="98">
        <f t="shared" si="0"/>
        <v>8.4655170807596694</v>
      </c>
      <c r="D22" s="99">
        <f t="shared" si="1"/>
        <v>6.4282196380697849</v>
      </c>
      <c r="E22" s="100">
        <v>11.4777</v>
      </c>
      <c r="F22" s="101">
        <v>6.52</v>
      </c>
      <c r="G22" s="49"/>
      <c r="H22" s="116">
        <f t="shared" si="2"/>
        <v>178.83888851630786</v>
      </c>
      <c r="I22" s="117">
        <f t="shared" si="12"/>
        <v>189.34398778681114</v>
      </c>
      <c r="J22" s="117">
        <f t="shared" si="13"/>
        <v>6.4282196380697849</v>
      </c>
      <c r="K22" s="117">
        <f t="shared" si="14"/>
        <v>256.71597704999999</v>
      </c>
      <c r="L22" s="118">
        <f t="shared" si="15"/>
        <v>6.52</v>
      </c>
      <c r="V22" s="276">
        <v>300</v>
      </c>
      <c r="W22" s="277">
        <f t="shared" si="5"/>
        <v>15.502688747970087</v>
      </c>
      <c r="X22" s="278">
        <f t="shared" si="18"/>
        <v>290.6106666666667</v>
      </c>
      <c r="Y22" s="288">
        <v>16.600000000000001</v>
      </c>
      <c r="Z22" s="279">
        <f t="shared" si="19"/>
        <v>394.01515784322055</v>
      </c>
      <c r="AA22" s="280">
        <f t="shared" si="20"/>
        <v>16.830236445640001</v>
      </c>
      <c r="AB22" s="280">
        <f t="shared" si="21"/>
        <v>12.378617868265687</v>
      </c>
      <c r="AC22" s="260">
        <f t="shared" si="6"/>
        <v>3441</v>
      </c>
      <c r="AD22" s="301">
        <f t="shared" si="7"/>
        <v>25.33658820110433</v>
      </c>
      <c r="AE22" s="302">
        <f t="shared" si="22"/>
        <v>34.351801032538845</v>
      </c>
      <c r="AF22" s="261">
        <f t="shared" si="23"/>
        <v>16.600000000000001</v>
      </c>
      <c r="AG22" s="302">
        <f t="shared" si="24"/>
        <v>12.378617868265687</v>
      </c>
      <c r="AK22" s="322">
        <v>6000</v>
      </c>
      <c r="AL22" s="323">
        <v>15.2</v>
      </c>
      <c r="AM22" s="324">
        <f t="shared" si="25"/>
        <v>17.364813404417365</v>
      </c>
      <c r="AN22" s="337">
        <f t="shared" si="26"/>
        <v>20.608432814637286</v>
      </c>
      <c r="AO22" s="338">
        <f t="shared" si="27"/>
        <v>12.948939125724115</v>
      </c>
      <c r="AP22" s="339">
        <f t="shared" si="28"/>
        <v>17.605657556070067</v>
      </c>
      <c r="AQ22" s="340">
        <f t="shared" si="8"/>
        <v>863.26260838160772</v>
      </c>
      <c r="AR22" s="329"/>
      <c r="AS22" s="330">
        <f t="shared" si="29"/>
        <v>523.10374891020047</v>
      </c>
      <c r="AT22" s="331">
        <f t="shared" si="9"/>
        <v>27.031715340837113</v>
      </c>
      <c r="AU22" s="341">
        <f t="shared" si="10"/>
        <v>174.34399999999999</v>
      </c>
      <c r="AV22" s="342">
        <f t="shared" si="30"/>
        <v>17.364813404417365</v>
      </c>
      <c r="AW22" s="343">
        <f t="shared" si="11"/>
        <v>236.37872438388968</v>
      </c>
      <c r="AX22" s="344">
        <f t="shared" si="31"/>
        <v>17.605657556070067</v>
      </c>
    </row>
    <row r="23" spans="2:50" x14ac:dyDescent="0.25">
      <c r="B23" s="97">
        <v>4100</v>
      </c>
      <c r="C23" s="98">
        <f t="shared" si="0"/>
        <v>8.4655170807596694</v>
      </c>
      <c r="D23" s="99">
        <f t="shared" si="1"/>
        <v>6.5958265918231387</v>
      </c>
      <c r="E23" s="100">
        <v>11.4777</v>
      </c>
      <c r="F23" s="101">
        <v>6.69</v>
      </c>
      <c r="G23" s="49"/>
      <c r="H23" s="116">
        <f t="shared" si="2"/>
        <v>183.30986072921556</v>
      </c>
      <c r="I23" s="117">
        <f t="shared" si="12"/>
        <v>189.34398778681114</v>
      </c>
      <c r="J23" s="117">
        <f t="shared" si="13"/>
        <v>6.5958265918231387</v>
      </c>
      <c r="K23" s="117">
        <f t="shared" si="14"/>
        <v>256.71597704999999</v>
      </c>
      <c r="L23" s="118">
        <f t="shared" si="15"/>
        <v>6.69</v>
      </c>
      <c r="V23" s="276">
        <v>325</v>
      </c>
      <c r="W23" s="277">
        <f t="shared" si="5"/>
        <v>16.794579476967595</v>
      </c>
      <c r="X23" s="278">
        <f t="shared" si="18"/>
        <v>218.16</v>
      </c>
      <c r="Y23" s="288">
        <v>13.5</v>
      </c>
      <c r="Z23" s="279">
        <f t="shared" si="19"/>
        <v>295.78524360797832</v>
      </c>
      <c r="AA23" s="280">
        <f t="shared" si="20"/>
        <v>13.687240482899998</v>
      </c>
      <c r="AB23" s="280">
        <f t="shared" si="21"/>
        <v>10.066948266360649</v>
      </c>
      <c r="AC23" s="260">
        <f t="shared" si="6"/>
        <v>3727.75</v>
      </c>
      <c r="AD23" s="301">
        <f t="shared" si="7"/>
        <v>19.02005231037489</v>
      </c>
      <c r="AE23" s="302">
        <f t="shared" si="22"/>
        <v>25.7877283006084</v>
      </c>
      <c r="AF23" s="261">
        <f t="shared" si="23"/>
        <v>13.5</v>
      </c>
      <c r="AG23" s="302">
        <f t="shared" si="24"/>
        <v>10.066948266360649</v>
      </c>
      <c r="AK23" s="336">
        <v>6500</v>
      </c>
      <c r="AL23" s="323">
        <v>14.3</v>
      </c>
      <c r="AM23" s="324">
        <f t="shared" si="25"/>
        <v>17.698019801980198</v>
      </c>
      <c r="AN23" s="337">
        <f t="shared" si="26"/>
        <v>19.388196661139027</v>
      </c>
      <c r="AO23" s="338">
        <f t="shared" si="27"/>
        <v>13.197411093597109</v>
      </c>
      <c r="AP23" s="339">
        <f t="shared" si="28"/>
        <v>17.943485414876235</v>
      </c>
      <c r="AQ23" s="340">
        <f t="shared" si="8"/>
        <v>812.14837499059149</v>
      </c>
      <c r="AR23" s="329"/>
      <c r="AS23" s="330">
        <f t="shared" si="29"/>
        <v>566.69572798605054</v>
      </c>
      <c r="AT23" s="331">
        <f t="shared" si="9"/>
        <v>29.284358285906873</v>
      </c>
      <c r="AU23" s="341">
        <f t="shared" si="10"/>
        <v>164.02100000000002</v>
      </c>
      <c r="AV23" s="342">
        <f t="shared" si="30"/>
        <v>17.698019801980198</v>
      </c>
      <c r="AW23" s="343">
        <f t="shared" si="11"/>
        <v>222.38261570326466</v>
      </c>
      <c r="AX23" s="344">
        <f t="shared" si="31"/>
        <v>17.943485414876235</v>
      </c>
    </row>
    <row r="24" spans="2:50" x14ac:dyDescent="0.25">
      <c r="B24" s="97">
        <v>4200</v>
      </c>
      <c r="C24" s="98">
        <f t="shared" si="0"/>
        <v>8.3931622339155698</v>
      </c>
      <c r="D24" s="99">
        <f t="shared" si="1"/>
        <v>6.6944189175604052</v>
      </c>
      <c r="E24" s="100">
        <v>11.3796</v>
      </c>
      <c r="F24" s="101">
        <v>6.79</v>
      </c>
      <c r="G24" s="49"/>
      <c r="H24" s="116">
        <f t="shared" si="2"/>
        <v>187.78083294212325</v>
      </c>
      <c r="I24" s="117">
        <f t="shared" si="12"/>
        <v>187.72566310487261</v>
      </c>
      <c r="J24" s="117">
        <f t="shared" si="13"/>
        <v>6.6944189175604052</v>
      </c>
      <c r="K24" s="117">
        <f t="shared" si="14"/>
        <v>254.52182340000002</v>
      </c>
      <c r="L24" s="118">
        <f t="shared" si="15"/>
        <v>6.79</v>
      </c>
      <c r="V24" s="276">
        <v>350</v>
      </c>
      <c r="W24" s="277">
        <f t="shared" si="5"/>
        <v>18.086470205965099</v>
      </c>
      <c r="X24" s="278">
        <f t="shared" si="18"/>
        <v>153.05828571428569</v>
      </c>
      <c r="Y24" s="288">
        <v>10.199999999999999</v>
      </c>
      <c r="Z24" s="279">
        <f t="shared" si="19"/>
        <v>207.51917091226417</v>
      </c>
      <c r="AA24" s="280">
        <f t="shared" si="20"/>
        <v>10.341470587079998</v>
      </c>
      <c r="AB24" s="280">
        <f t="shared" si="21"/>
        <v>7.6061386901391561</v>
      </c>
      <c r="AC24" s="260">
        <f t="shared" si="6"/>
        <v>4014.5</v>
      </c>
      <c r="AD24" s="301">
        <f t="shared" si="7"/>
        <v>13.344227176485237</v>
      </c>
      <c r="AE24" s="302">
        <f t="shared" si="22"/>
        <v>18.092342712490328</v>
      </c>
      <c r="AF24" s="261">
        <f t="shared" si="23"/>
        <v>10.199999999999999</v>
      </c>
      <c r="AG24" s="302">
        <f t="shared" si="24"/>
        <v>7.6061386901391561</v>
      </c>
      <c r="AK24" s="322">
        <v>7000</v>
      </c>
      <c r="AL24" s="323">
        <v>12.2</v>
      </c>
      <c r="AM24" s="324">
        <f t="shared" si="25"/>
        <v>16.260472201066261</v>
      </c>
      <c r="AN24" s="337">
        <f t="shared" si="26"/>
        <v>16.540978969643085</v>
      </c>
      <c r="AO24" s="338">
        <f t="shared" si="27"/>
        <v>12.125432032202186</v>
      </c>
      <c r="AP24" s="339">
        <f t="shared" si="28"/>
        <v>16.485999509741049</v>
      </c>
      <c r="AQ24" s="340">
        <f t="shared" si="8"/>
        <v>692.88183041155355</v>
      </c>
      <c r="AR24" s="329"/>
      <c r="AS24" s="330">
        <f t="shared" si="29"/>
        <v>610.28770706190062</v>
      </c>
      <c r="AT24" s="331">
        <f t="shared" si="9"/>
        <v>31.537001230976639</v>
      </c>
      <c r="AU24" s="341">
        <f t="shared" si="10"/>
        <v>139.934</v>
      </c>
      <c r="AV24" s="342">
        <f t="shared" si="30"/>
        <v>16.260472201066261</v>
      </c>
      <c r="AW24" s="343">
        <f t="shared" si="11"/>
        <v>189.7250287818062</v>
      </c>
      <c r="AX24" s="344">
        <f t="shared" si="31"/>
        <v>16.485999509741049</v>
      </c>
    </row>
    <row r="25" spans="2:50" x14ac:dyDescent="0.25">
      <c r="B25" s="97">
        <v>4300</v>
      </c>
      <c r="C25" s="98">
        <f t="shared" si="0"/>
        <v>8.3931622339155698</v>
      </c>
      <c r="D25" s="99">
        <f t="shared" si="1"/>
        <v>6.852166638740032</v>
      </c>
      <c r="E25" s="100">
        <v>11.3796</v>
      </c>
      <c r="F25" s="101">
        <v>6.95</v>
      </c>
      <c r="G25" s="49"/>
      <c r="H25" s="116">
        <f t="shared" si="2"/>
        <v>192.25180515503095</v>
      </c>
      <c r="I25" s="117">
        <f t="shared" si="12"/>
        <v>187.72566310487261</v>
      </c>
      <c r="J25" s="117">
        <f t="shared" si="13"/>
        <v>6.852166638740032</v>
      </c>
      <c r="K25" s="117">
        <f t="shared" si="14"/>
        <v>254.52182340000002</v>
      </c>
      <c r="L25" s="118">
        <f t="shared" si="15"/>
        <v>6.95</v>
      </c>
      <c r="V25" s="276">
        <v>375</v>
      </c>
      <c r="W25" s="277">
        <f t="shared" si="5"/>
        <v>19.378360934962608</v>
      </c>
      <c r="X25" s="278">
        <f t="shared" si="18"/>
        <v>93.835733333333337</v>
      </c>
      <c r="Y25" s="288">
        <v>6.7</v>
      </c>
      <c r="Z25" s="279">
        <f t="shared" si="19"/>
        <v>127.22417144817241</v>
      </c>
      <c r="AA25" s="280">
        <f t="shared" si="20"/>
        <v>6.7929267581799992</v>
      </c>
      <c r="AB25" s="280">
        <f t="shared" si="21"/>
        <v>4.9961891396012108</v>
      </c>
      <c r="AC25" s="260">
        <f t="shared" si="6"/>
        <v>4301.25</v>
      </c>
      <c r="AD25" s="301">
        <f t="shared" si="7"/>
        <v>8.1809706480674222</v>
      </c>
      <c r="AE25" s="302">
        <f t="shared" si="22"/>
        <v>11.091906839422178</v>
      </c>
      <c r="AF25" s="261">
        <f t="shared" si="23"/>
        <v>6.7</v>
      </c>
      <c r="AG25" s="302">
        <f t="shared" si="24"/>
        <v>4.9961891396012108</v>
      </c>
      <c r="AK25" s="336">
        <v>7500</v>
      </c>
      <c r="AL25" s="323">
        <v>8.5</v>
      </c>
      <c r="AM25" s="324">
        <f t="shared" si="25"/>
        <v>12.138233054074638</v>
      </c>
      <c r="AN25" s="337">
        <f t="shared" si="26"/>
        <v>11.524452560816904</v>
      </c>
      <c r="AO25" s="338">
        <f t="shared" si="27"/>
        <v>9.0514788296591249</v>
      </c>
      <c r="AP25" s="339">
        <f t="shared" si="28"/>
        <v>12.306586285081872</v>
      </c>
      <c r="AQ25" s="340">
        <f t="shared" si="8"/>
        <v>482.74553758182003</v>
      </c>
      <c r="AR25" s="329"/>
      <c r="AS25" s="330">
        <f t="shared" si="29"/>
        <v>653.87968613775058</v>
      </c>
      <c r="AT25" s="331">
        <f t="shared" si="9"/>
        <v>33.789644176046394</v>
      </c>
      <c r="AU25" s="341">
        <f t="shared" si="10"/>
        <v>97.495000000000005</v>
      </c>
      <c r="AV25" s="342">
        <f t="shared" si="30"/>
        <v>12.138233054074638</v>
      </c>
      <c r="AW25" s="343">
        <f t="shared" si="11"/>
        <v>132.18547087256991</v>
      </c>
      <c r="AX25" s="344">
        <f t="shared" si="31"/>
        <v>12.306586285081872</v>
      </c>
    </row>
    <row r="26" spans="2:50" ht="15.75" thickBot="1" x14ac:dyDescent="0.3">
      <c r="B26" s="97">
        <v>4400</v>
      </c>
      <c r="C26" s="98">
        <f t="shared" si="0"/>
        <v>8.3208073870714685</v>
      </c>
      <c r="D26" s="99">
        <f t="shared" si="1"/>
        <v>6.9704774296247525</v>
      </c>
      <c r="E26" s="100">
        <v>11.281499999999999</v>
      </c>
      <c r="F26" s="101">
        <v>7.07</v>
      </c>
      <c r="G26" s="49"/>
      <c r="H26" s="116">
        <f t="shared" si="2"/>
        <v>196.72277736793865</v>
      </c>
      <c r="I26" s="117">
        <f t="shared" si="12"/>
        <v>186.10733842293399</v>
      </c>
      <c r="J26" s="117">
        <f t="shared" si="13"/>
        <v>6.9704774296247525</v>
      </c>
      <c r="K26" s="117">
        <f t="shared" si="14"/>
        <v>252.32766975000001</v>
      </c>
      <c r="L26" s="118">
        <f t="shared" si="15"/>
        <v>7.07</v>
      </c>
      <c r="V26" s="281">
        <v>400</v>
      </c>
      <c r="W26" s="282">
        <f t="shared" si="5"/>
        <v>20.670251663960116</v>
      </c>
      <c r="X26" s="283">
        <f t="shared" si="18"/>
        <v>45.954999999999998</v>
      </c>
      <c r="Y26" s="379">
        <v>3.5</v>
      </c>
      <c r="Z26" s="284">
        <f t="shared" si="19"/>
        <v>62.306613815569506</v>
      </c>
      <c r="AA26" s="285">
        <f t="shared" si="20"/>
        <v>3.5485438288999998</v>
      </c>
      <c r="AB26" s="285">
        <f t="shared" si="21"/>
        <v>2.6099495505379462</v>
      </c>
      <c r="AC26" s="262">
        <f t="shared" si="6"/>
        <v>4588</v>
      </c>
      <c r="AD26" s="380">
        <f t="shared" si="7"/>
        <v>4.0065387968613768</v>
      </c>
      <c r="AE26" s="381">
        <f t="shared" si="22"/>
        <v>5.4321372114707502</v>
      </c>
      <c r="AF26" s="263">
        <f t="shared" si="23"/>
        <v>3.5</v>
      </c>
      <c r="AG26" s="381">
        <f t="shared" si="24"/>
        <v>2.6099495505379462</v>
      </c>
      <c r="AK26" s="322">
        <v>8000</v>
      </c>
      <c r="AL26" s="323">
        <v>5.2</v>
      </c>
      <c r="AM26" s="324">
        <f t="shared" si="25"/>
        <v>7.9207920792079207</v>
      </c>
      <c r="AN26" s="337">
        <f t="shared" si="26"/>
        <v>7.0502533313232831</v>
      </c>
      <c r="AO26" s="338">
        <f t="shared" si="27"/>
        <v>5.9065336362952108</v>
      </c>
      <c r="AP26" s="339">
        <f t="shared" si="28"/>
        <v>8.0306508150495048</v>
      </c>
      <c r="AQ26" s="340">
        <f t="shared" si="8"/>
        <v>295.32668181476055</v>
      </c>
      <c r="AR26" s="329"/>
      <c r="AS26" s="330">
        <f t="shared" si="29"/>
        <v>697.47166521360066</v>
      </c>
      <c r="AT26" s="331">
        <f t="shared" si="9"/>
        <v>36.042287121116154</v>
      </c>
      <c r="AU26" s="341">
        <f t="shared" si="10"/>
        <v>59.644000000000005</v>
      </c>
      <c r="AV26" s="342">
        <f t="shared" si="30"/>
        <v>7.9207920792079207</v>
      </c>
      <c r="AW26" s="343">
        <f t="shared" si="11"/>
        <v>80.866405710278059</v>
      </c>
      <c r="AX26" s="344">
        <f t="shared" si="31"/>
        <v>8.0306508150495048</v>
      </c>
    </row>
    <row r="27" spans="2:50" x14ac:dyDescent="0.25">
      <c r="B27" s="97">
        <v>4500</v>
      </c>
      <c r="C27" s="98">
        <f t="shared" si="0"/>
        <v>8.3208073870714685</v>
      </c>
      <c r="D27" s="99">
        <f t="shared" si="1"/>
        <v>7.1282251508043792</v>
      </c>
      <c r="E27" s="100">
        <v>11.281499999999999</v>
      </c>
      <c r="F27" s="101">
        <v>7.23</v>
      </c>
      <c r="G27" s="49"/>
      <c r="H27" s="116">
        <f t="shared" si="2"/>
        <v>201.19374958084634</v>
      </c>
      <c r="I27" s="117">
        <f t="shared" si="12"/>
        <v>186.10733842293399</v>
      </c>
      <c r="J27" s="117">
        <f t="shared" si="13"/>
        <v>7.1282251508043792</v>
      </c>
      <c r="K27" s="117">
        <f t="shared" si="14"/>
        <v>252.32766975000001</v>
      </c>
      <c r="L27" s="118">
        <f t="shared" si="15"/>
        <v>7.23</v>
      </c>
      <c r="AK27" s="336">
        <v>8500</v>
      </c>
      <c r="AL27" s="323">
        <v>2.5</v>
      </c>
      <c r="AM27" s="324">
        <f t="shared" si="25"/>
        <v>4.0460776846915465</v>
      </c>
      <c r="AN27" s="337">
        <f t="shared" si="26"/>
        <v>3.3895448708285016</v>
      </c>
      <c r="AO27" s="338">
        <f t="shared" si="27"/>
        <v>3.0171596098863755</v>
      </c>
      <c r="AP27" s="339">
        <f t="shared" si="28"/>
        <v>4.1021954283606243</v>
      </c>
      <c r="AQ27" s="340">
        <f t="shared" si="8"/>
        <v>141.98398164171181</v>
      </c>
      <c r="AR27" s="329"/>
      <c r="AS27" s="330">
        <f t="shared" si="29"/>
        <v>741.06364428945074</v>
      </c>
      <c r="AT27" s="331">
        <f t="shared" si="9"/>
        <v>38.29493006618592</v>
      </c>
      <c r="AU27" s="341">
        <f t="shared" si="10"/>
        <v>28.675000000000001</v>
      </c>
      <c r="AV27" s="342">
        <f t="shared" si="30"/>
        <v>4.0460776846915465</v>
      </c>
      <c r="AW27" s="343">
        <f t="shared" si="11"/>
        <v>38.878079668402918</v>
      </c>
      <c r="AX27" s="344">
        <f t="shared" si="31"/>
        <v>4.1021954283606243</v>
      </c>
    </row>
    <row r="28" spans="2:50" ht="15.75" thickBot="1" x14ac:dyDescent="0.3">
      <c r="B28" s="97">
        <v>4600</v>
      </c>
      <c r="C28" s="98">
        <f t="shared" si="0"/>
        <v>8.3931622339155698</v>
      </c>
      <c r="D28" s="99">
        <f t="shared" si="1"/>
        <v>7.3155505697051852</v>
      </c>
      <c r="E28" s="100">
        <v>11.3796</v>
      </c>
      <c r="F28" s="101">
        <v>7.42</v>
      </c>
      <c r="G28" s="49"/>
      <c r="H28" s="116">
        <f t="shared" si="2"/>
        <v>205.66472179375404</v>
      </c>
      <c r="I28" s="117">
        <f t="shared" si="12"/>
        <v>187.72566310487261</v>
      </c>
      <c r="J28" s="117">
        <f t="shared" si="13"/>
        <v>7.3155505697051852</v>
      </c>
      <c r="K28" s="117">
        <f t="shared" si="14"/>
        <v>254.52182340000002</v>
      </c>
      <c r="L28" s="118">
        <f t="shared" si="15"/>
        <v>7.42</v>
      </c>
      <c r="AK28" s="345">
        <v>9000</v>
      </c>
      <c r="AL28" s="346">
        <v>0.5</v>
      </c>
      <c r="AM28" s="347">
        <f t="shared" si="25"/>
        <v>0.85681645087585678</v>
      </c>
      <c r="AN28" s="348">
        <f t="shared" si="26"/>
        <v>0.67790897416570028</v>
      </c>
      <c r="AO28" s="349">
        <f t="shared" si="27"/>
        <v>0.63892791738770305</v>
      </c>
      <c r="AP28" s="350">
        <f t="shared" si="28"/>
        <v>0.86870020835872042</v>
      </c>
      <c r="AQ28" s="351">
        <f t="shared" si="8"/>
        <v>28.396796328342358</v>
      </c>
      <c r="AR28" s="352"/>
      <c r="AS28" s="353">
        <f t="shared" si="29"/>
        <v>784.6556233653007</v>
      </c>
      <c r="AT28" s="354">
        <f t="shared" si="9"/>
        <v>40.547573011255672</v>
      </c>
      <c r="AU28" s="355">
        <f t="shared" si="10"/>
        <v>5.7350000000000003</v>
      </c>
      <c r="AV28" s="356">
        <f t="shared" si="30"/>
        <v>0.85681645087585678</v>
      </c>
      <c r="AW28" s="357">
        <f t="shared" si="11"/>
        <v>7.7756159336805828</v>
      </c>
      <c r="AX28" s="358">
        <f t="shared" si="31"/>
        <v>0.86870020835872042</v>
      </c>
    </row>
    <row r="29" spans="2:50" ht="15.75" thickBot="1" x14ac:dyDescent="0.3">
      <c r="B29" s="97">
        <v>4700</v>
      </c>
      <c r="C29" s="98">
        <f t="shared" si="0"/>
        <v>8.3931622339155698</v>
      </c>
      <c r="D29" s="99">
        <f t="shared" si="1"/>
        <v>7.473298290884812</v>
      </c>
      <c r="E29" s="100">
        <v>11.3796</v>
      </c>
      <c r="F29" s="101">
        <v>7.58</v>
      </c>
      <c r="G29" s="49"/>
      <c r="H29" s="116">
        <f t="shared" si="2"/>
        <v>210.13569400666174</v>
      </c>
      <c r="I29" s="117">
        <f t="shared" si="12"/>
        <v>187.72566310487261</v>
      </c>
      <c r="J29" s="117">
        <f t="shared" si="13"/>
        <v>7.473298290884812</v>
      </c>
      <c r="K29" s="117">
        <f t="shared" si="14"/>
        <v>254.52182340000002</v>
      </c>
      <c r="L29" s="118">
        <f t="shared" si="15"/>
        <v>7.58</v>
      </c>
      <c r="AU29" s="49"/>
      <c r="AV29" s="49"/>
      <c r="AX29" s="54"/>
    </row>
    <row r="30" spans="2:50" x14ac:dyDescent="0.25">
      <c r="B30" s="97">
        <v>4800</v>
      </c>
      <c r="C30" s="98">
        <f t="shared" si="0"/>
        <v>8.3208073870714685</v>
      </c>
      <c r="D30" s="99">
        <f t="shared" si="1"/>
        <v>7.6014683143432586</v>
      </c>
      <c r="E30" s="100">
        <v>11.281499999999999</v>
      </c>
      <c r="F30" s="101">
        <v>7.71</v>
      </c>
      <c r="G30" s="49"/>
      <c r="H30" s="116">
        <f t="shared" si="2"/>
        <v>214.60666621956943</v>
      </c>
      <c r="I30" s="117">
        <f t="shared" si="12"/>
        <v>186.10733842293399</v>
      </c>
      <c r="J30" s="117">
        <f t="shared" si="13"/>
        <v>7.6014683143432586</v>
      </c>
      <c r="K30" s="117">
        <f t="shared" si="14"/>
        <v>252.32766975000001</v>
      </c>
      <c r="L30" s="118">
        <f t="shared" si="15"/>
        <v>7.71</v>
      </c>
      <c r="AK30" s="434" t="s">
        <v>181</v>
      </c>
      <c r="AL30" s="435"/>
      <c r="AM30" s="359">
        <f>CONVERT(MAX(AM12:AM28),"HP","kW")</f>
        <v>13.197411093597109</v>
      </c>
      <c r="AN30" s="360" t="s">
        <v>96</v>
      </c>
      <c r="AO30" s="250"/>
      <c r="AS30" s="46"/>
      <c r="AX30" s="54"/>
    </row>
    <row r="31" spans="2:50" x14ac:dyDescent="0.25">
      <c r="B31" s="97">
        <v>4900</v>
      </c>
      <c r="C31" s="98">
        <f t="shared" si="0"/>
        <v>8.3931622339155698</v>
      </c>
      <c r="D31" s="99">
        <f t="shared" si="1"/>
        <v>7.7986529658177917</v>
      </c>
      <c r="E31" s="100">
        <v>11.3796</v>
      </c>
      <c r="F31" s="101">
        <v>7.91</v>
      </c>
      <c r="G31" s="49"/>
      <c r="H31" s="116">
        <f t="shared" si="2"/>
        <v>219.07763843247713</v>
      </c>
      <c r="I31" s="117">
        <f t="shared" si="12"/>
        <v>187.72566310487261</v>
      </c>
      <c r="J31" s="117">
        <f t="shared" si="13"/>
        <v>7.7986529658177917</v>
      </c>
      <c r="K31" s="117">
        <f t="shared" si="14"/>
        <v>254.52182340000002</v>
      </c>
      <c r="L31" s="118">
        <f t="shared" si="15"/>
        <v>7.91</v>
      </c>
      <c r="AK31" s="432" t="s">
        <v>98</v>
      </c>
      <c r="AL31" s="433"/>
      <c r="AM31" s="361">
        <f>_xlfn.XLOOKUP(MAX(AM12:AM28),AM12:AM28,AK12:AK28)</f>
        <v>6500</v>
      </c>
      <c r="AN31" s="362" t="s">
        <v>99</v>
      </c>
      <c r="AO31" s="250"/>
      <c r="AU31" s="49"/>
      <c r="AV31" s="49"/>
      <c r="AX31" s="54"/>
    </row>
    <row r="32" spans="2:50" ht="15.75" thickBot="1" x14ac:dyDescent="0.3">
      <c r="B32" s="97">
        <v>5000</v>
      </c>
      <c r="C32" s="98">
        <f t="shared" si="0"/>
        <v>8.3208073870714685</v>
      </c>
      <c r="D32" s="99">
        <f t="shared" si="1"/>
        <v>7.9169637567025113</v>
      </c>
      <c r="E32" s="100">
        <v>11.281499999999999</v>
      </c>
      <c r="F32" s="101">
        <v>8.0299999999999994</v>
      </c>
      <c r="G32" s="49"/>
      <c r="H32" s="116">
        <f t="shared" si="2"/>
        <v>223.54861064538483</v>
      </c>
      <c r="I32" s="117">
        <f t="shared" si="12"/>
        <v>186.10733842293399</v>
      </c>
      <c r="J32" s="117">
        <f t="shared" si="13"/>
        <v>7.9169637567025113</v>
      </c>
      <c r="K32" s="117">
        <f t="shared" si="14"/>
        <v>252.32766975000001</v>
      </c>
      <c r="L32" s="118">
        <f t="shared" si="15"/>
        <v>8.0299999999999994</v>
      </c>
      <c r="AK32" s="436" t="s">
        <v>184</v>
      </c>
      <c r="AL32" s="437"/>
      <c r="AM32" s="363">
        <f>VLOOKUP(AM31,AK12:AN28,4)</f>
        <v>19.388196661139027</v>
      </c>
      <c r="AN32" s="364" t="s">
        <v>185</v>
      </c>
      <c r="AO32" s="250"/>
    </row>
    <row r="33" spans="2:46" x14ac:dyDescent="0.25">
      <c r="B33" s="97">
        <v>5100</v>
      </c>
      <c r="C33" s="98">
        <f t="shared" si="0"/>
        <v>8.248452540227369</v>
      </c>
      <c r="D33" s="99">
        <f t="shared" si="1"/>
        <v>8.0352745475872318</v>
      </c>
      <c r="E33" s="100">
        <v>11.183399999999999</v>
      </c>
      <c r="F33" s="101">
        <v>8.15</v>
      </c>
      <c r="G33" s="49"/>
      <c r="H33" s="116">
        <f t="shared" si="2"/>
        <v>228.01958285829252</v>
      </c>
      <c r="I33" s="117">
        <f t="shared" si="12"/>
        <v>184.48901374099546</v>
      </c>
      <c r="J33" s="117">
        <f t="shared" si="13"/>
        <v>8.0352745475872318</v>
      </c>
      <c r="K33" s="117">
        <f t="shared" si="14"/>
        <v>250.13351609999998</v>
      </c>
      <c r="L33" s="118">
        <f t="shared" si="15"/>
        <v>8.15</v>
      </c>
      <c r="AK33" s="434" t="s">
        <v>182</v>
      </c>
      <c r="AL33" s="435"/>
      <c r="AM33" s="359">
        <f>CONVERT(_xlfn.XLOOKUP(AM34,AK12:AK28,AM12:AM28),"HP","kW")</f>
        <v>9.3425459920246361</v>
      </c>
      <c r="AN33" s="360" t="s">
        <v>96</v>
      </c>
      <c r="AO33" s="250"/>
      <c r="AT33" s="47"/>
    </row>
    <row r="34" spans="2:46" x14ac:dyDescent="0.25">
      <c r="B34" s="97">
        <v>5200</v>
      </c>
      <c r="C34" s="98">
        <f t="shared" si="0"/>
        <v>8.1760976933832694</v>
      </c>
      <c r="D34" s="99">
        <f t="shared" si="1"/>
        <v>8.0648522453084119</v>
      </c>
      <c r="E34" s="100">
        <v>11.0853</v>
      </c>
      <c r="F34" s="101">
        <v>8.18</v>
      </c>
      <c r="G34" s="49"/>
      <c r="H34" s="116">
        <f t="shared" si="2"/>
        <v>232.49055507120022</v>
      </c>
      <c r="I34" s="117">
        <f t="shared" si="12"/>
        <v>182.8706890590569</v>
      </c>
      <c r="J34" s="117">
        <f t="shared" si="13"/>
        <v>8.0648522453084119</v>
      </c>
      <c r="K34" s="117">
        <f t="shared" si="14"/>
        <v>247.93936245</v>
      </c>
      <c r="L34" s="118">
        <f t="shared" si="15"/>
        <v>8.18</v>
      </c>
      <c r="AK34" s="432" t="s">
        <v>183</v>
      </c>
      <c r="AL34" s="433"/>
      <c r="AM34" s="365">
        <f>_xlfn.XLOOKUP(AM35,AN12:AN28,AK12:AK28)</f>
        <v>4000</v>
      </c>
      <c r="AN34" s="362" t="s">
        <v>99</v>
      </c>
      <c r="AO34" s="250"/>
      <c r="AT34" s="48"/>
    </row>
    <row r="35" spans="2:46" ht="15.75" thickBot="1" x14ac:dyDescent="0.3">
      <c r="B35" s="97">
        <v>5300</v>
      </c>
      <c r="C35" s="98">
        <f t="shared" si="0"/>
        <v>8.0313879996950703</v>
      </c>
      <c r="D35" s="99">
        <f t="shared" si="1"/>
        <v>8.0747114778821381</v>
      </c>
      <c r="E35" s="100">
        <v>10.889100000000001</v>
      </c>
      <c r="F35" s="101">
        <v>8.19</v>
      </c>
      <c r="G35" s="49"/>
      <c r="H35" s="116">
        <f t="shared" si="2"/>
        <v>236.96152728410792</v>
      </c>
      <c r="I35" s="117">
        <f t="shared" si="12"/>
        <v>179.63403969517981</v>
      </c>
      <c r="J35" s="117">
        <f t="shared" si="13"/>
        <v>8.0747114778821381</v>
      </c>
      <c r="K35" s="117">
        <f t="shared" si="14"/>
        <v>243.55105515000005</v>
      </c>
      <c r="L35" s="118">
        <f t="shared" si="15"/>
        <v>8.19</v>
      </c>
      <c r="AK35" s="424" t="s">
        <v>186</v>
      </c>
      <c r="AL35" s="425"/>
      <c r="AM35" s="366">
        <f>MAX(AN12:AN28)</f>
        <v>22.303205250051533</v>
      </c>
      <c r="AN35" s="367" t="s">
        <v>185</v>
      </c>
      <c r="AO35" s="250"/>
    </row>
    <row r="36" spans="2:46" ht="30" customHeight="1" x14ac:dyDescent="0.25">
      <c r="B36" s="97">
        <v>5400</v>
      </c>
      <c r="C36" s="98">
        <f t="shared" si="0"/>
        <v>7.8866783060068721</v>
      </c>
      <c r="D36" s="99">
        <f t="shared" si="1"/>
        <v>8.0845707104558642</v>
      </c>
      <c r="E36" s="100">
        <v>10.692900000000002</v>
      </c>
      <c r="F36" s="101">
        <v>8.1999999999999993</v>
      </c>
      <c r="G36" s="49"/>
      <c r="H36" s="116">
        <f t="shared" si="2"/>
        <v>241.43249949701561</v>
      </c>
      <c r="I36" s="117">
        <f t="shared" si="12"/>
        <v>176.39739033130272</v>
      </c>
      <c r="J36" s="117">
        <f t="shared" si="13"/>
        <v>8.0845707104558642</v>
      </c>
      <c r="K36" s="117">
        <f t="shared" si="14"/>
        <v>239.16274785000004</v>
      </c>
      <c r="L36" s="118">
        <f t="shared" si="15"/>
        <v>8.1999999999999993</v>
      </c>
    </row>
    <row r="37" spans="2:46" x14ac:dyDescent="0.25">
      <c r="B37" s="97">
        <v>5500</v>
      </c>
      <c r="C37" s="98">
        <f t="shared" si="0"/>
        <v>7.8143234591627708</v>
      </c>
      <c r="D37" s="99">
        <f t="shared" si="1"/>
        <v>8.1831630361931325</v>
      </c>
      <c r="E37" s="100">
        <v>10.594800000000001</v>
      </c>
      <c r="F37" s="101">
        <v>8.3000000000000007</v>
      </c>
      <c r="G37" s="49"/>
      <c r="H37" s="116">
        <f t="shared" si="2"/>
        <v>245.90347170992331</v>
      </c>
      <c r="I37" s="117">
        <f t="shared" si="12"/>
        <v>174.77906564936413</v>
      </c>
      <c r="J37" s="117">
        <f t="shared" si="13"/>
        <v>8.1831630361931325</v>
      </c>
      <c r="K37" s="117">
        <f t="shared" si="14"/>
        <v>236.96859420000004</v>
      </c>
      <c r="L37" s="118">
        <f t="shared" si="15"/>
        <v>8.3000000000000007</v>
      </c>
    </row>
    <row r="38" spans="2:46" x14ac:dyDescent="0.25">
      <c r="B38" s="97">
        <v>5600</v>
      </c>
      <c r="C38" s="98">
        <f t="shared" si="0"/>
        <v>7.7419686123186713</v>
      </c>
      <c r="D38" s="99">
        <f t="shared" si="1"/>
        <v>8.2718961293566728</v>
      </c>
      <c r="E38" s="100">
        <v>10.496700000000001</v>
      </c>
      <c r="F38" s="101">
        <v>8.39</v>
      </c>
      <c r="G38" s="49"/>
      <c r="H38" s="116">
        <f t="shared" si="2"/>
        <v>250.37444392283101</v>
      </c>
      <c r="I38" s="117">
        <f t="shared" si="12"/>
        <v>173.16074096742557</v>
      </c>
      <c r="J38" s="117">
        <f t="shared" si="13"/>
        <v>8.2718961293566728</v>
      </c>
      <c r="K38" s="117">
        <f t="shared" si="14"/>
        <v>234.77444055000004</v>
      </c>
      <c r="L38" s="118">
        <f t="shared" si="15"/>
        <v>8.39</v>
      </c>
    </row>
    <row r="39" spans="2:46" x14ac:dyDescent="0.25">
      <c r="B39" s="97">
        <v>5700</v>
      </c>
      <c r="C39" s="98">
        <f t="shared" si="0"/>
        <v>7.8143234591627708</v>
      </c>
      <c r="D39" s="99">
        <f t="shared" si="1"/>
        <v>8.4690807808312041</v>
      </c>
      <c r="E39" s="100">
        <v>10.594800000000001</v>
      </c>
      <c r="F39" s="101">
        <v>8.59</v>
      </c>
      <c r="G39" s="49"/>
      <c r="H39" s="116">
        <f t="shared" si="2"/>
        <v>254.8454161357387</v>
      </c>
      <c r="I39" s="117">
        <f t="shared" si="12"/>
        <v>174.77906564936413</v>
      </c>
      <c r="J39" s="117">
        <f t="shared" si="13"/>
        <v>8.4690807808312041</v>
      </c>
      <c r="K39" s="117">
        <f t="shared" si="14"/>
        <v>236.96859420000004</v>
      </c>
      <c r="L39" s="118">
        <f t="shared" si="15"/>
        <v>8.59</v>
      </c>
    </row>
    <row r="40" spans="2:46" x14ac:dyDescent="0.25">
      <c r="B40" s="97">
        <v>5800</v>
      </c>
      <c r="C40" s="98">
        <f t="shared" si="0"/>
        <v>7.7419686123186713</v>
      </c>
      <c r="D40" s="99">
        <f t="shared" si="1"/>
        <v>8.5578138739947445</v>
      </c>
      <c r="E40" s="100">
        <v>10.496700000000001</v>
      </c>
      <c r="F40" s="101">
        <v>8.68</v>
      </c>
      <c r="G40" s="49"/>
      <c r="H40" s="116">
        <f t="shared" si="2"/>
        <v>259.3163883486464</v>
      </c>
      <c r="I40" s="117">
        <f t="shared" si="12"/>
        <v>173.16074096742557</v>
      </c>
      <c r="J40" s="117">
        <f t="shared" si="13"/>
        <v>8.5578138739947445</v>
      </c>
      <c r="K40" s="117">
        <f t="shared" si="14"/>
        <v>234.77444055000004</v>
      </c>
      <c r="L40" s="118">
        <f t="shared" si="15"/>
        <v>8.68</v>
      </c>
    </row>
    <row r="41" spans="2:46" x14ac:dyDescent="0.25">
      <c r="B41" s="97">
        <v>5900</v>
      </c>
      <c r="C41" s="98">
        <f t="shared" si="0"/>
        <v>7.7419686123186713</v>
      </c>
      <c r="D41" s="99">
        <f t="shared" si="1"/>
        <v>8.676124664879465</v>
      </c>
      <c r="E41" s="100">
        <v>10.496700000000001</v>
      </c>
      <c r="F41" s="101">
        <v>8.8000000000000007</v>
      </c>
      <c r="G41" s="49"/>
      <c r="H41" s="116">
        <f t="shared" si="2"/>
        <v>263.78736056155407</v>
      </c>
      <c r="I41" s="117">
        <f t="shared" si="12"/>
        <v>173.16074096742557</v>
      </c>
      <c r="J41" s="117">
        <f t="shared" si="13"/>
        <v>8.676124664879465</v>
      </c>
      <c r="K41" s="117">
        <f t="shared" si="14"/>
        <v>234.77444055000004</v>
      </c>
      <c r="L41" s="118">
        <f t="shared" si="15"/>
        <v>8.8000000000000007</v>
      </c>
    </row>
    <row r="42" spans="2:46" x14ac:dyDescent="0.25">
      <c r="B42" s="97">
        <v>6000</v>
      </c>
      <c r="C42" s="98">
        <f t="shared" si="0"/>
        <v>7.8143234591627708</v>
      </c>
      <c r="D42" s="99">
        <f t="shared" si="1"/>
        <v>8.9028870140751781</v>
      </c>
      <c r="E42" s="100">
        <v>10.594800000000001</v>
      </c>
      <c r="F42" s="101">
        <v>9.0299999999999994</v>
      </c>
      <c r="G42" s="49"/>
      <c r="H42" s="116">
        <f t="shared" si="2"/>
        <v>268.25833277446179</v>
      </c>
      <c r="I42" s="117">
        <f t="shared" si="12"/>
        <v>174.77906564936413</v>
      </c>
      <c r="J42" s="117">
        <f t="shared" si="13"/>
        <v>8.9028870140751781</v>
      </c>
      <c r="K42" s="117">
        <f t="shared" si="14"/>
        <v>236.96859420000004</v>
      </c>
      <c r="L42" s="118">
        <f t="shared" si="15"/>
        <v>9.0299999999999994</v>
      </c>
    </row>
    <row r="43" spans="2:46" x14ac:dyDescent="0.25">
      <c r="B43" s="97">
        <v>6100</v>
      </c>
      <c r="C43" s="98">
        <f t="shared" si="0"/>
        <v>7.8866783060068721</v>
      </c>
      <c r="D43" s="99">
        <f t="shared" si="1"/>
        <v>9.1197901306971652</v>
      </c>
      <c r="E43" s="100">
        <v>10.692900000000002</v>
      </c>
      <c r="F43" s="101">
        <v>9.25</v>
      </c>
      <c r="G43" s="49"/>
      <c r="H43" s="116">
        <f t="shared" si="2"/>
        <v>272.72930498736946</v>
      </c>
      <c r="I43" s="117">
        <f t="shared" si="12"/>
        <v>176.39739033130272</v>
      </c>
      <c r="J43" s="117">
        <f t="shared" si="13"/>
        <v>9.1197901306971652</v>
      </c>
      <c r="K43" s="117">
        <f t="shared" si="14"/>
        <v>239.16274785000004</v>
      </c>
      <c r="L43" s="118">
        <f t="shared" si="15"/>
        <v>9.25</v>
      </c>
    </row>
    <row r="44" spans="2:46" x14ac:dyDescent="0.25">
      <c r="B44" s="97">
        <v>6200</v>
      </c>
      <c r="C44" s="98">
        <f t="shared" si="0"/>
        <v>7.8143234591627708</v>
      </c>
      <c r="D44" s="99">
        <f t="shared" si="1"/>
        <v>9.2085232238607038</v>
      </c>
      <c r="E44" s="100">
        <v>10.594800000000001</v>
      </c>
      <c r="F44" s="101">
        <v>9.34</v>
      </c>
      <c r="G44" s="49"/>
      <c r="H44" s="116">
        <f t="shared" si="2"/>
        <v>277.20027720027718</v>
      </c>
      <c r="I44" s="117">
        <f t="shared" si="12"/>
        <v>174.77906564936413</v>
      </c>
      <c r="J44" s="117">
        <f t="shared" si="13"/>
        <v>9.2085232238607038</v>
      </c>
      <c r="K44" s="117">
        <f t="shared" si="14"/>
        <v>236.96859420000004</v>
      </c>
      <c r="L44" s="118">
        <f t="shared" si="15"/>
        <v>9.34</v>
      </c>
    </row>
    <row r="45" spans="2:46" x14ac:dyDescent="0.25">
      <c r="B45" s="97">
        <v>6300</v>
      </c>
      <c r="C45" s="98">
        <f t="shared" si="0"/>
        <v>7.6696137654745735</v>
      </c>
      <c r="D45" s="99">
        <f t="shared" si="1"/>
        <v>9.2183824564344317</v>
      </c>
      <c r="E45" s="100">
        <v>10.398600000000002</v>
      </c>
      <c r="F45" s="101">
        <v>9.35</v>
      </c>
      <c r="G45" s="49"/>
      <c r="H45" s="116">
        <f t="shared" si="2"/>
        <v>281.67124941318485</v>
      </c>
      <c r="I45" s="117">
        <f t="shared" si="12"/>
        <v>171.54241628548706</v>
      </c>
      <c r="J45" s="117">
        <f t="shared" si="13"/>
        <v>9.2183824564344317</v>
      </c>
      <c r="K45" s="117">
        <f t="shared" si="14"/>
        <v>232.58028690000003</v>
      </c>
      <c r="L45" s="118">
        <f t="shared" si="15"/>
        <v>9.35</v>
      </c>
    </row>
    <row r="46" spans="2:46" x14ac:dyDescent="0.25">
      <c r="B46" s="97">
        <v>6400</v>
      </c>
      <c r="C46" s="98">
        <f t="shared" si="0"/>
        <v>7.5972589186304722</v>
      </c>
      <c r="D46" s="99">
        <f t="shared" si="1"/>
        <v>9.2578193867293379</v>
      </c>
      <c r="E46" s="100">
        <v>10.300500000000001</v>
      </c>
      <c r="F46" s="101">
        <v>9.39</v>
      </c>
      <c r="G46" s="49"/>
      <c r="H46" s="116">
        <f t="shared" si="2"/>
        <v>286.14222162609258</v>
      </c>
      <c r="I46" s="117">
        <f t="shared" si="12"/>
        <v>169.92409160354845</v>
      </c>
      <c r="J46" s="117">
        <f t="shared" si="13"/>
        <v>9.2578193867293379</v>
      </c>
      <c r="K46" s="117">
        <f t="shared" si="14"/>
        <v>230.38613325000003</v>
      </c>
      <c r="L46" s="118">
        <f t="shared" si="15"/>
        <v>9.39</v>
      </c>
    </row>
    <row r="47" spans="2:46" x14ac:dyDescent="0.25">
      <c r="B47" s="97">
        <v>6500</v>
      </c>
      <c r="C47" s="98">
        <f t="shared" si="0"/>
        <v>7.5249040717863735</v>
      </c>
      <c r="D47" s="99">
        <f t="shared" si="1"/>
        <v>9.3366932473191522</v>
      </c>
      <c r="E47" s="100">
        <v>10.202400000000001</v>
      </c>
      <c r="F47" s="101">
        <v>9.4700000000000006</v>
      </c>
      <c r="G47" s="49"/>
      <c r="H47" s="116">
        <f t="shared" si="2"/>
        <v>290.61319383900025</v>
      </c>
      <c r="I47" s="117">
        <f t="shared" si="12"/>
        <v>168.30576692160994</v>
      </c>
      <c r="J47" s="117">
        <f t="shared" si="13"/>
        <v>9.3366932473191522</v>
      </c>
      <c r="K47" s="117">
        <f t="shared" si="14"/>
        <v>228.19197960000002</v>
      </c>
      <c r="L47" s="118">
        <f t="shared" si="15"/>
        <v>9.4700000000000006</v>
      </c>
    </row>
    <row r="48" spans="2:46" x14ac:dyDescent="0.25">
      <c r="B48" s="97">
        <v>6600</v>
      </c>
      <c r="C48" s="98">
        <f t="shared" si="0"/>
        <v>7.5249040717863735</v>
      </c>
      <c r="D48" s="99">
        <f t="shared" si="1"/>
        <v>9.4550040382038709</v>
      </c>
      <c r="E48" s="100">
        <v>10.202400000000001</v>
      </c>
      <c r="F48" s="101">
        <v>9.59</v>
      </c>
      <c r="G48" s="49"/>
      <c r="H48" s="116">
        <f t="shared" si="2"/>
        <v>295.08416605190797</v>
      </c>
      <c r="I48" s="117">
        <f t="shared" si="12"/>
        <v>168.30576692160994</v>
      </c>
      <c r="J48" s="117">
        <f t="shared" si="13"/>
        <v>9.4550040382038709</v>
      </c>
      <c r="K48" s="117">
        <f t="shared" si="14"/>
        <v>228.19197960000002</v>
      </c>
      <c r="L48" s="118">
        <f t="shared" si="15"/>
        <v>9.59</v>
      </c>
    </row>
    <row r="49" spans="2:12" x14ac:dyDescent="0.25">
      <c r="B49" s="97">
        <v>6700</v>
      </c>
      <c r="C49" s="98">
        <f t="shared" si="0"/>
        <v>7.4525492249422722</v>
      </c>
      <c r="D49" s="99">
        <f t="shared" si="1"/>
        <v>9.5141594336462312</v>
      </c>
      <c r="E49" s="100">
        <v>10.1043</v>
      </c>
      <c r="F49" s="101">
        <v>9.65</v>
      </c>
      <c r="G49" s="49"/>
      <c r="H49" s="116">
        <f t="shared" si="2"/>
        <v>299.55513826481564</v>
      </c>
      <c r="I49" s="117">
        <f t="shared" si="12"/>
        <v>166.68744223967133</v>
      </c>
      <c r="J49" s="117">
        <f t="shared" si="13"/>
        <v>9.5141594336462312</v>
      </c>
      <c r="K49" s="117">
        <f t="shared" si="14"/>
        <v>225.99782595000002</v>
      </c>
      <c r="L49" s="118">
        <f t="shared" si="15"/>
        <v>9.65</v>
      </c>
    </row>
    <row r="50" spans="2:12" x14ac:dyDescent="0.25">
      <c r="B50" s="97">
        <v>6800</v>
      </c>
      <c r="C50" s="98">
        <f t="shared" si="0"/>
        <v>7.3801943780981736</v>
      </c>
      <c r="D50" s="99">
        <f t="shared" si="1"/>
        <v>9.5634555965148635</v>
      </c>
      <c r="E50" s="100">
        <v>10.006200000000002</v>
      </c>
      <c r="F50" s="101">
        <v>9.6999999999999993</v>
      </c>
      <c r="G50" s="49"/>
      <c r="H50" s="116">
        <f t="shared" si="2"/>
        <v>304.02611047772336</v>
      </c>
      <c r="I50" s="117">
        <f t="shared" si="12"/>
        <v>165.06911755773282</v>
      </c>
      <c r="J50" s="117">
        <f t="shared" si="13"/>
        <v>9.5634555965148635</v>
      </c>
      <c r="K50" s="117">
        <f t="shared" si="14"/>
        <v>223.80367230000007</v>
      </c>
      <c r="L50" s="118">
        <f t="shared" si="15"/>
        <v>9.6999999999999993</v>
      </c>
    </row>
    <row r="51" spans="2:12" x14ac:dyDescent="0.25">
      <c r="B51" s="97">
        <v>6900</v>
      </c>
      <c r="C51" s="98">
        <f t="shared" si="0"/>
        <v>7.307839531254074</v>
      </c>
      <c r="D51" s="99">
        <f t="shared" si="1"/>
        <v>9.6028925268097716</v>
      </c>
      <c r="E51" s="100">
        <v>9.908100000000001</v>
      </c>
      <c r="F51" s="101">
        <v>9.74</v>
      </c>
      <c r="G51" s="50"/>
      <c r="H51" s="116">
        <f t="shared" si="2"/>
        <v>308.49708269063103</v>
      </c>
      <c r="I51" s="117">
        <f t="shared" si="12"/>
        <v>163.45079287579424</v>
      </c>
      <c r="J51" s="117">
        <f t="shared" si="13"/>
        <v>9.6028925268097716</v>
      </c>
      <c r="K51" s="117">
        <f t="shared" si="14"/>
        <v>221.60951865000001</v>
      </c>
      <c r="L51" s="118">
        <f t="shared" si="15"/>
        <v>9.74</v>
      </c>
    </row>
    <row r="52" spans="2:12" x14ac:dyDescent="0.25">
      <c r="B52" s="97">
        <v>7000</v>
      </c>
      <c r="C52" s="98">
        <f t="shared" si="0"/>
        <v>7.1631298375658741</v>
      </c>
      <c r="D52" s="99">
        <f t="shared" si="1"/>
        <v>9.5535963639411374</v>
      </c>
      <c r="E52" s="100">
        <v>9.7119</v>
      </c>
      <c r="F52" s="101">
        <v>9.69</v>
      </c>
      <c r="G52" s="49"/>
      <c r="H52" s="116">
        <f t="shared" si="2"/>
        <v>312.96805490353876</v>
      </c>
      <c r="I52" s="117">
        <f t="shared" si="12"/>
        <v>160.21414351191711</v>
      </c>
      <c r="J52" s="117">
        <f t="shared" si="13"/>
        <v>9.5535963639411374</v>
      </c>
      <c r="K52" s="117">
        <f t="shared" si="14"/>
        <v>217.22121135</v>
      </c>
      <c r="L52" s="118">
        <f t="shared" si="15"/>
        <v>9.69</v>
      </c>
    </row>
    <row r="53" spans="2:12" x14ac:dyDescent="0.25">
      <c r="B53" s="97">
        <v>7100</v>
      </c>
      <c r="C53" s="98">
        <f t="shared" si="0"/>
        <v>7.018420143877675</v>
      </c>
      <c r="D53" s="99">
        <f t="shared" si="1"/>
        <v>9.484581735925051</v>
      </c>
      <c r="E53" s="100">
        <v>9.5157000000000007</v>
      </c>
      <c r="F53" s="101">
        <v>9.6199999999999992</v>
      </c>
      <c r="G53" s="49"/>
      <c r="H53" s="116">
        <f t="shared" si="2"/>
        <v>317.43902711644643</v>
      </c>
      <c r="I53" s="117">
        <f t="shared" si="12"/>
        <v>156.97749414804002</v>
      </c>
      <c r="J53" s="117">
        <f t="shared" si="13"/>
        <v>9.484581735925051</v>
      </c>
      <c r="K53" s="117">
        <f t="shared" si="14"/>
        <v>212.83290405</v>
      </c>
      <c r="L53" s="118">
        <f t="shared" si="15"/>
        <v>9.6199999999999992</v>
      </c>
    </row>
    <row r="54" spans="2:12" x14ac:dyDescent="0.25">
      <c r="B54" s="97">
        <v>7200</v>
      </c>
      <c r="C54" s="98">
        <f t="shared" si="0"/>
        <v>6.873710450189475</v>
      </c>
      <c r="D54" s="99">
        <f t="shared" si="1"/>
        <v>9.4155671079089647</v>
      </c>
      <c r="E54" s="100">
        <v>9.3194999999999997</v>
      </c>
      <c r="F54" s="101">
        <v>9.5500000000000007</v>
      </c>
      <c r="G54" s="49"/>
      <c r="H54" s="116">
        <f t="shared" si="2"/>
        <v>321.90999932935415</v>
      </c>
      <c r="I54" s="117">
        <f t="shared" si="12"/>
        <v>153.7408447841629</v>
      </c>
      <c r="J54" s="117">
        <f t="shared" si="13"/>
        <v>9.4155671079089647</v>
      </c>
      <c r="K54" s="117">
        <f t="shared" si="14"/>
        <v>208.44459674999999</v>
      </c>
      <c r="L54" s="118">
        <f t="shared" si="15"/>
        <v>9.5500000000000007</v>
      </c>
    </row>
    <row r="55" spans="2:12" x14ac:dyDescent="0.25">
      <c r="B55" s="97">
        <v>7300</v>
      </c>
      <c r="C55" s="98">
        <f t="shared" si="0"/>
        <v>6.729000756501275</v>
      </c>
      <c r="D55" s="99">
        <f t="shared" si="1"/>
        <v>9.3169747821716982</v>
      </c>
      <c r="E55" s="100">
        <v>9.1233000000000004</v>
      </c>
      <c r="F55" s="101">
        <v>9.4499999999999993</v>
      </c>
      <c r="G55" s="49"/>
      <c r="H55" s="116">
        <f t="shared" si="2"/>
        <v>326.38097154226182</v>
      </c>
      <c r="I55" s="117">
        <f t="shared" si="12"/>
        <v>150.50419542028578</v>
      </c>
      <c r="J55" s="117">
        <f t="shared" si="13"/>
        <v>9.3169747821716982</v>
      </c>
      <c r="K55" s="117">
        <f t="shared" si="14"/>
        <v>204.05628945000001</v>
      </c>
      <c r="L55" s="118">
        <f t="shared" si="15"/>
        <v>9.4499999999999993</v>
      </c>
    </row>
    <row r="56" spans="2:12" x14ac:dyDescent="0.25">
      <c r="B56" s="97">
        <v>7400</v>
      </c>
      <c r="C56" s="98">
        <f t="shared" si="0"/>
        <v>6.5119362159689764</v>
      </c>
      <c r="D56" s="99">
        <f t="shared" si="1"/>
        <v>9.1690862935657993</v>
      </c>
      <c r="E56" s="100">
        <v>8.8290000000000006</v>
      </c>
      <c r="F56" s="101">
        <v>9.3000000000000007</v>
      </c>
      <c r="G56" s="49"/>
      <c r="H56" s="116">
        <f t="shared" si="2"/>
        <v>330.85194375516954</v>
      </c>
      <c r="I56" s="117">
        <f t="shared" si="12"/>
        <v>145.64922137447013</v>
      </c>
      <c r="J56" s="117">
        <f t="shared" si="13"/>
        <v>9.1690862935657993</v>
      </c>
      <c r="K56" s="117">
        <f t="shared" si="14"/>
        <v>197.47382850000002</v>
      </c>
      <c r="L56" s="118">
        <f t="shared" si="15"/>
        <v>9.3000000000000007</v>
      </c>
    </row>
    <row r="57" spans="2:12" ht="15.75" thickBot="1" x14ac:dyDescent="0.3">
      <c r="B57" s="102">
        <v>7500</v>
      </c>
      <c r="C57" s="103">
        <f t="shared" si="0"/>
        <v>6.2948716754366769</v>
      </c>
      <c r="D57" s="104">
        <f t="shared" si="1"/>
        <v>9.0113385723861725</v>
      </c>
      <c r="E57" s="105">
        <v>8.5347000000000008</v>
      </c>
      <c r="F57" s="106">
        <v>9.14</v>
      </c>
      <c r="G57" s="49"/>
      <c r="H57" s="119">
        <f t="shared" si="2"/>
        <v>335.32291596807721</v>
      </c>
      <c r="I57" s="120">
        <f t="shared" si="12"/>
        <v>140.79424732865442</v>
      </c>
      <c r="J57" s="120">
        <f t="shared" si="13"/>
        <v>9.0113385723861725</v>
      </c>
      <c r="K57" s="120">
        <f t="shared" si="14"/>
        <v>190.89136755000001</v>
      </c>
      <c r="L57" s="121">
        <f t="shared" si="15"/>
        <v>9.14</v>
      </c>
    </row>
  </sheetData>
  <mergeCells count="31">
    <mergeCell ref="AD10:AE10"/>
    <mergeCell ref="AF10:AG10"/>
    <mergeCell ref="Z10:AB10"/>
    <mergeCell ref="AK35:AL35"/>
    <mergeCell ref="V5:X5"/>
    <mergeCell ref="V6:X6"/>
    <mergeCell ref="V7:X7"/>
    <mergeCell ref="AA5:AC5"/>
    <mergeCell ref="AA6:AC6"/>
    <mergeCell ref="AA7:AC7"/>
    <mergeCell ref="AK34:AL34"/>
    <mergeCell ref="AK30:AL30"/>
    <mergeCell ref="AK31:AL31"/>
    <mergeCell ref="AK32:AL32"/>
    <mergeCell ref="AK33:AL33"/>
    <mergeCell ref="B1:T7"/>
    <mergeCell ref="B9:L9"/>
    <mergeCell ref="N9:T9"/>
    <mergeCell ref="AL10:AM10"/>
    <mergeCell ref="AU10:AV10"/>
    <mergeCell ref="AK9:AX9"/>
    <mergeCell ref="C10:D10"/>
    <mergeCell ref="E10:F10"/>
    <mergeCell ref="O10:P10"/>
    <mergeCell ref="AN10:AP10"/>
    <mergeCell ref="I10:J10"/>
    <mergeCell ref="K10:L10"/>
    <mergeCell ref="S10:T10"/>
    <mergeCell ref="V9:AG9"/>
    <mergeCell ref="AW10:AX10"/>
    <mergeCell ref="X10:Y10"/>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f67fecf-e149-4990-9dc4-62e1a03fcd23">
      <Terms xmlns="http://schemas.microsoft.com/office/infopath/2007/PartnerControls"/>
    </lcf76f155ced4ddcb4097134ff3c332f>
    <TaxCatchAll xmlns="859bcc55-2fb1-4e87-83f9-26d3244bd60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F8593F0F1FA3540AD1CDE83C7A7B620" ma:contentTypeVersion="16" ma:contentTypeDescription="Create a new document." ma:contentTypeScope="" ma:versionID="1f70ce3ea413e4ba4abb758784ede191">
  <xsd:schema xmlns:xsd="http://www.w3.org/2001/XMLSchema" xmlns:xs="http://www.w3.org/2001/XMLSchema" xmlns:p="http://schemas.microsoft.com/office/2006/metadata/properties" xmlns:ns2="9f67fecf-e149-4990-9dc4-62e1a03fcd23" xmlns:ns3="859bcc55-2fb1-4e87-83f9-26d3244bd605" targetNamespace="http://schemas.microsoft.com/office/2006/metadata/properties" ma:root="true" ma:fieldsID="efb106bf6a58c59a5809da82be5c92f8" ns2:_="" ns3:_="">
    <xsd:import namespace="9f67fecf-e149-4990-9dc4-62e1a03fcd23"/>
    <xsd:import namespace="859bcc55-2fb1-4e87-83f9-26d3244bd60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67fecf-e149-4990-9dc4-62e1a03fcd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daaf3f6-c44e-4c17-8b9d-e01db5b99e8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59bcc55-2fb1-4e87-83f9-26d3244bd60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4809362-7366-4466-b622-b76ff45f1cfb}" ma:internalName="TaxCatchAll" ma:showField="CatchAllData" ma:web="859bcc55-2fb1-4e87-83f9-26d3244bd6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04A4C8-051D-4B2D-B68C-CD42AAFFBD06}">
  <ds:schemaRefs>
    <ds:schemaRef ds:uri="http://schemas.microsoft.com/sharepoint/v3/contenttype/forms"/>
  </ds:schemaRefs>
</ds:datastoreItem>
</file>

<file path=customXml/itemProps2.xml><?xml version="1.0" encoding="utf-8"?>
<ds:datastoreItem xmlns:ds="http://schemas.openxmlformats.org/officeDocument/2006/customXml" ds:itemID="{EE1AA5CB-D85C-401E-B9E6-A1B3BCDE601C}">
  <ds:schemaRefs>
    <ds:schemaRef ds:uri="http://schemas.microsoft.com/office/2006/metadata/properties"/>
    <ds:schemaRef ds:uri="http://schemas.microsoft.com/office/infopath/2007/PartnerControls"/>
    <ds:schemaRef ds:uri="9f67fecf-e149-4990-9dc4-62e1a03fcd23"/>
    <ds:schemaRef ds:uri="859bcc55-2fb1-4e87-83f9-26d3244bd605"/>
  </ds:schemaRefs>
</ds:datastoreItem>
</file>

<file path=customXml/itemProps3.xml><?xml version="1.0" encoding="utf-8"?>
<ds:datastoreItem xmlns:ds="http://schemas.openxmlformats.org/officeDocument/2006/customXml" ds:itemID="{41E46D23-844C-4207-AE50-E81802382B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67fecf-e149-4990-9dc4-62e1a03fcd23"/>
    <ds:schemaRef ds:uri="859bcc55-2fb1-4e87-83f9-26d3244bd6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47</vt:i4>
      </vt:variant>
    </vt:vector>
  </HeadingPairs>
  <TitlesOfParts>
    <vt:vector size="52" baseType="lpstr">
      <vt:lpstr>TR-XXXX Data (AirRoll Resist)</vt:lpstr>
      <vt:lpstr>Hill Climb Needs</vt:lpstr>
      <vt:lpstr>MPS, BMEP, Disp</vt:lpstr>
      <vt:lpstr>Hill Climb Needs MultiCase</vt:lpstr>
      <vt:lpstr>Potential Torque Curve Shape</vt:lpstr>
      <vt:lpstr>'Hill Climb Needs MultiCase'!A_v</vt:lpstr>
      <vt:lpstr>A_v</vt:lpstr>
      <vt:lpstr>'Hill Climb Needs MultiCase'!accel_v</vt:lpstr>
      <vt:lpstr>accel_v</vt:lpstr>
      <vt:lpstr>'Hill Climb Needs MultiCase'!alpha</vt:lpstr>
      <vt:lpstr>alpha</vt:lpstr>
      <vt:lpstr>'Hill Climb Needs MultiCase'!C_d</vt:lpstr>
      <vt:lpstr>C_d</vt:lpstr>
      <vt:lpstr>'Hill Climb Needs MultiCase'!C_r</vt:lpstr>
      <vt:lpstr>C_r</vt:lpstr>
      <vt:lpstr>'Hill Climb Needs MultiCase'!F_a</vt:lpstr>
      <vt:lpstr>F_a</vt:lpstr>
      <vt:lpstr>'Hill Climb Needs MultiCase'!F_b</vt:lpstr>
      <vt:lpstr>F_b</vt:lpstr>
      <vt:lpstr>'Hill Climb Needs MultiCase'!F_D</vt:lpstr>
      <vt:lpstr>F_D</vt:lpstr>
      <vt:lpstr>'Hill Climb Needs MultiCase'!F_g</vt:lpstr>
      <vt:lpstr>F_g</vt:lpstr>
      <vt:lpstr>'Hill Climb Needs MultiCase'!F_R</vt:lpstr>
      <vt:lpstr>F_R</vt:lpstr>
      <vt:lpstr>'Hill Climb Needs MultiCase'!g_e</vt:lpstr>
      <vt:lpstr>g_e</vt:lpstr>
      <vt:lpstr>'Hill Climb Needs MultiCase'!ge</vt:lpstr>
      <vt:lpstr>ge</vt:lpstr>
      <vt:lpstr>'Hill Climb Needs MultiCase'!m_v</vt:lpstr>
      <vt:lpstr>m_v</vt:lpstr>
      <vt:lpstr>'Hill Climb Needs MultiCase'!MW_air</vt:lpstr>
      <vt:lpstr>MW_air</vt:lpstr>
      <vt:lpstr>'Hill Climb Needs MultiCase'!P_amb</vt:lpstr>
      <vt:lpstr>P_amb</vt:lpstr>
      <vt:lpstr>'Hill Climb Needs MultiCase'!P_r</vt:lpstr>
      <vt:lpstr>P_r</vt:lpstr>
      <vt:lpstr>'Hill Climb Needs MultiCase'!P_v</vt:lpstr>
      <vt:lpstr>P_v</vt:lpstr>
      <vt:lpstr>Pressure_Ambient</vt:lpstr>
      <vt:lpstr>'Hill Climb Needs MultiCase'!R_air</vt:lpstr>
      <vt:lpstr>R_air</vt:lpstr>
      <vt:lpstr>'Hill Climb Needs MultiCase'!R_bar</vt:lpstr>
      <vt:lpstr>R_bar</vt:lpstr>
      <vt:lpstr>R_universal</vt:lpstr>
      <vt:lpstr>'Hill Climb Needs MultiCase'!rho_air</vt:lpstr>
      <vt:lpstr>rho_air</vt:lpstr>
      <vt:lpstr>'Hill Climb Needs MultiCase'!S_v</vt:lpstr>
      <vt:lpstr>S_v</vt:lpstr>
      <vt:lpstr>'Hill Climb Needs MultiCase'!T_amb</vt:lpstr>
      <vt:lpstr>T_amb</vt:lpstr>
      <vt:lpstr>Temp_Ambient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Justin</dc:creator>
  <cp:keywords/>
  <dc:description/>
  <cp:lastModifiedBy>Williams, Justin</cp:lastModifiedBy>
  <cp:revision/>
  <dcterms:created xsi:type="dcterms:W3CDTF">2021-10-28T14:09:15Z</dcterms:created>
  <dcterms:modified xsi:type="dcterms:W3CDTF">2022-07-06T22:05:51Z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0x0101003F8593F0F1FA3540AD1CDE83C7A7B620</vt:lpwstr>
  </property>
</Properties>
</file>