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ntextron-my.sharepoint.com/personal/jwilli42_txt_textron_com/Documents/Documents/"/>
    </mc:Choice>
  </mc:AlternateContent>
  <xr:revisionPtr revIDLastSave="484" documentId="8_{C88648D2-E59A-49B1-9D77-68043A20377F}" xr6:coauthVersionLast="46" xr6:coauthVersionMax="46" xr10:uidLastSave="{D75A509D-77AD-4690-B5D3-653213FEC6DF}"/>
  <bookViews>
    <workbookView xWindow="-28920" yWindow="-120" windowWidth="29040" windowHeight="15840" xr2:uid="{E2A2FB18-83FB-4A94-8FB6-9241F013E1E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0" i="1" l="1"/>
  <c r="M39" i="1"/>
  <c r="M38" i="1"/>
  <c r="F7" i="1"/>
  <c r="F6" i="1"/>
  <c r="F9" i="1"/>
  <c r="D12" i="1"/>
  <c r="D5" i="1" l="1"/>
  <c r="F5" i="1" s="1"/>
  <c r="F12" i="1"/>
  <c r="F11" i="1"/>
  <c r="F10" i="1"/>
  <c r="F8" i="1"/>
  <c r="F4" i="1"/>
  <c r="F3" i="1"/>
  <c r="K3" i="1"/>
  <c r="M3" i="1" s="1"/>
  <c r="M31" i="1"/>
  <c r="M30" i="1"/>
  <c r="M25" i="1"/>
  <c r="M24" i="1"/>
  <c r="K26" i="1"/>
  <c r="M45" i="1"/>
  <c r="M44" i="1"/>
  <c r="M23" i="1"/>
  <c r="K43" i="1"/>
  <c r="K47" i="1" s="1"/>
  <c r="M47" i="1" s="1"/>
  <c r="K42" i="1"/>
  <c r="K46" i="1" s="1"/>
  <c r="M46" i="1" s="1"/>
  <c r="K17" i="1"/>
  <c r="M17" i="1" s="1"/>
  <c r="M15" i="1"/>
  <c r="M16" i="1"/>
  <c r="M14" i="1"/>
  <c r="T4" i="1"/>
  <c r="R3" i="1"/>
  <c r="T3" i="1" s="1"/>
  <c r="T12" i="1"/>
  <c r="T9" i="1"/>
  <c r="T8" i="1"/>
  <c r="T7" i="1"/>
  <c r="T6" i="1"/>
  <c r="K7" i="1"/>
  <c r="M7" i="1" s="1"/>
  <c r="K12" i="1"/>
  <c r="M12" i="1" s="1"/>
  <c r="K9" i="1"/>
  <c r="M8" i="1"/>
  <c r="M6" i="1"/>
  <c r="M4" i="1"/>
  <c r="K5" i="1" l="1"/>
  <c r="K27" i="1" s="1"/>
  <c r="K28" i="1" s="1"/>
  <c r="R5" i="1"/>
  <c r="T5" i="1" s="1"/>
  <c r="D13" i="1"/>
  <c r="M26" i="1"/>
  <c r="K20" i="1"/>
  <c r="M20" i="1" s="1"/>
  <c r="K21" i="1"/>
  <c r="M21" i="1" s="1"/>
  <c r="K10" i="1"/>
  <c r="K22" i="1" s="1"/>
  <c r="M22" i="1" s="1"/>
  <c r="M9" i="1"/>
  <c r="K18" i="1" l="1"/>
  <c r="M18" i="1" s="1"/>
  <c r="K19" i="1"/>
  <c r="M19" i="1" s="1"/>
  <c r="D17" i="1"/>
  <c r="D15" i="1"/>
  <c r="D14" i="1"/>
  <c r="D16" i="1"/>
  <c r="F13" i="1"/>
  <c r="K29" i="1"/>
  <c r="M27" i="1"/>
  <c r="K11" i="1"/>
  <c r="M11" i="1" s="1"/>
  <c r="M10" i="1"/>
  <c r="K13" i="1"/>
  <c r="M5" i="1"/>
  <c r="R13" i="1"/>
  <c r="M13" i="1"/>
  <c r="R10" i="1"/>
  <c r="R11" i="1"/>
  <c r="D20" i="1" l="1"/>
  <c r="D18" i="1"/>
  <c r="D21" i="1"/>
  <c r="D19" i="1"/>
  <c r="F15" i="1"/>
  <c r="F14" i="1"/>
  <c r="K33" i="1"/>
  <c r="K36" i="1"/>
  <c r="K37" i="1"/>
  <c r="T10" i="1"/>
  <c r="T11" i="1"/>
  <c r="T13" i="1"/>
  <c r="R14" i="1"/>
  <c r="T14" i="1" s="1"/>
  <c r="M37" i="1" l="1"/>
  <c r="K51" i="1"/>
  <c r="M36" i="1"/>
  <c r="K50" i="1"/>
  <c r="K34" i="1"/>
  <c r="K35" i="1"/>
  <c r="R15" i="1"/>
  <c r="T15" i="1" s="1"/>
  <c r="R16" i="1"/>
  <c r="T16" i="1" s="1"/>
  <c r="M50" i="1" l="1"/>
  <c r="M51" i="1"/>
  <c r="M35" i="1"/>
  <c r="K49" i="1"/>
  <c r="M49" i="1" s="1"/>
  <c r="M34" i="1"/>
  <c r="K48" i="1"/>
  <c r="M48" i="1" s="1"/>
  <c r="K53" i="1" l="1"/>
  <c r="M53" i="1" s="1"/>
  <c r="K52" i="1"/>
  <c r="M5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Williams, Justin</author>
  </authors>
  <commentList>
    <comment ref="I20" authorId="0" shapeId="0" xr:uid="{B36F5FF5-5CB4-412D-810B-89ADB8006401}">
      <text>
        <r>
          <rPr>
            <b/>
            <sz val="9"/>
            <color indexed="81"/>
            <rFont val="Tahoma"/>
            <family val="2"/>
          </rPr>
          <t>Williams, Justin:</t>
        </r>
        <r>
          <rPr>
            <sz val="9"/>
            <color indexed="81"/>
            <rFont val="Tahoma"/>
            <family val="2"/>
          </rPr>
          <t xml:space="preserve">
Assumes tires maintain traction and do not skid and car stays on constant radius.
Also assumes center of gravity at car centerline.</t>
        </r>
      </text>
    </comment>
    <comment ref="B21" authorId="0" shapeId="0" xr:uid="{83B6CA05-0364-4D41-8512-371E626903A7}">
      <text>
        <r>
          <rPr>
            <b/>
            <sz val="9"/>
            <color indexed="81"/>
            <rFont val="Tahoma"/>
            <charset val="1"/>
          </rPr>
          <t>Williams, Justin:</t>
        </r>
        <r>
          <rPr>
            <sz val="9"/>
            <color indexed="81"/>
            <rFont val="Tahoma"/>
            <charset val="1"/>
          </rPr>
          <t xml:space="preserve">
Try to get the front and rear natural frequencies to match if possible.
0.5-1 Hz Typical passenger car
1.0-1.5 Hz Typical pickup
1.5-2.0 Hz Typical Street/Strip Car
&gt; 2.0 Hz Typical racecar
</t>
        </r>
      </text>
    </comment>
    <comment ref="I21" authorId="0" shapeId="0" xr:uid="{66BF81D5-52FE-4574-9D23-1AAAA37AFBEE}">
      <text>
        <r>
          <rPr>
            <b/>
            <sz val="9"/>
            <color indexed="81"/>
            <rFont val="Tahoma"/>
            <family val="2"/>
          </rPr>
          <t>Williams, Justin:</t>
        </r>
        <r>
          <rPr>
            <sz val="9"/>
            <color indexed="81"/>
            <rFont val="Tahoma"/>
            <family val="2"/>
          </rPr>
          <t xml:space="preserve">
Assumes tires maintain traction and do not skid and car stays on constant radius.
Also assumes center of gravity at car centerline.</t>
        </r>
      </text>
    </comment>
    <comment ref="I22" authorId="0" shapeId="0" xr:uid="{D5414FB9-AE96-4420-8413-E38AC3010C29}">
      <text>
        <r>
          <rPr>
            <b/>
            <sz val="9"/>
            <color indexed="81"/>
            <rFont val="Tahoma"/>
            <family val="2"/>
          </rPr>
          <t>Williams, Justin:</t>
        </r>
        <r>
          <rPr>
            <sz val="9"/>
            <color indexed="81"/>
            <rFont val="Tahoma"/>
            <family val="2"/>
          </rPr>
          <t xml:space="preserve">
This assumes that the CoG location does NOT change during cornering.</t>
        </r>
      </text>
    </comment>
    <comment ref="I52" authorId="0" shapeId="0" xr:uid="{00A04CAD-E4DA-4D3B-984A-BA3AD5108F71}">
      <text>
        <r>
          <rPr>
            <b/>
            <sz val="9"/>
            <color indexed="81"/>
            <rFont val="Tahoma"/>
            <charset val="1"/>
          </rPr>
          <t>Williams, Justin:</t>
        </r>
        <r>
          <rPr>
            <sz val="9"/>
            <color indexed="81"/>
            <rFont val="Tahoma"/>
            <charset val="1"/>
          </rPr>
          <t xml:space="preserve">
Total Lateral weight transfer = 
weight transfer due to body roll (centrifugal force ating on CG) + 
WT due to roll center height + 
WT due to unsprung weight</t>
        </r>
      </text>
    </comment>
  </commentList>
</comments>
</file>

<file path=xl/sharedStrings.xml><?xml version="1.0" encoding="utf-8"?>
<sst xmlns="http://schemas.openxmlformats.org/spreadsheetml/2006/main" count="322" uniqueCount="142">
  <si>
    <t>Mass of Vehicle</t>
  </si>
  <si>
    <t>kg</t>
  </si>
  <si>
    <t>lbm</t>
  </si>
  <si>
    <t>Acceleration due to gravity</t>
  </si>
  <si>
    <t>m/s^2</t>
  </si>
  <si>
    <t>ft/s^2</t>
  </si>
  <si>
    <t>Cornering Speed of vehicle</t>
  </si>
  <si>
    <t>kph</t>
  </si>
  <si>
    <t>mph</t>
  </si>
  <si>
    <t>Cornering Radius</t>
  </si>
  <si>
    <t>m</t>
  </si>
  <si>
    <t>ft</t>
  </si>
  <si>
    <t>Centrifugal Force due to Cornering</t>
  </si>
  <si>
    <t>Weight of Vehicle</t>
  </si>
  <si>
    <t>lbf</t>
  </si>
  <si>
    <t>N</t>
  </si>
  <si>
    <t>Radial Speed of Vehicle</t>
  </si>
  <si>
    <t>rad/s</t>
  </si>
  <si>
    <t>Description</t>
  </si>
  <si>
    <t>Abbreviation</t>
  </si>
  <si>
    <t>Value</t>
  </si>
  <si>
    <t>Unit</t>
  </si>
  <si>
    <t>Alt Value</t>
  </si>
  <si>
    <t>Alt Unit</t>
  </si>
  <si>
    <t>Average Cornering Force on each tire</t>
  </si>
  <si>
    <t>Lateral Acceleration</t>
  </si>
  <si>
    <t>g</t>
  </si>
  <si>
    <t>m/s</t>
  </si>
  <si>
    <t>ft/s</t>
  </si>
  <si>
    <t>Tire</t>
  </si>
  <si>
    <t>Higher Slip Angle</t>
  </si>
  <si>
    <t>Less Grip</t>
  </si>
  <si>
    <t>Part</t>
  </si>
  <si>
    <t>Action</t>
  </si>
  <si>
    <t>Effect</t>
  </si>
  <si>
    <t>Changing Pressure</t>
  </si>
  <si>
    <t>Effects grip and oversteer/understeer characteristics. Best to try to avoid changing to change handling characteristics if possible to not sacrifice grip.</t>
  </si>
  <si>
    <t>Not sure this is linear….and thus not always true.</t>
  </si>
  <si>
    <t>Lean top of tire (camber)</t>
  </si>
  <si>
    <t>Bottom of tire wants to go laterally towards top of tire direction.</t>
  </si>
  <si>
    <t>Camber</t>
  </si>
  <si>
    <t>Neutral camber has best tire grip. Positive camber has less grip than negative camber at same angle.</t>
  </si>
  <si>
    <t>Inertia Force</t>
  </si>
  <si>
    <t>Weight Transfer due to fore-aft lean</t>
  </si>
  <si>
    <t>Wheelbase</t>
  </si>
  <si>
    <t>L_wb</t>
  </si>
  <si>
    <t>in</t>
  </si>
  <si>
    <t>mm</t>
  </si>
  <si>
    <t>Height of Center of Gravity</t>
  </si>
  <si>
    <t>Center of Gravity Forward of Rear Axle</t>
  </si>
  <si>
    <t>Center of Gravity Lateral from centerline (neg is towards driver)</t>
  </si>
  <si>
    <t>Static Weight Front</t>
  </si>
  <si>
    <t>Static Weight Rear</t>
  </si>
  <si>
    <t>Static Weight Left</t>
  </si>
  <si>
    <t>Static Weight Right</t>
  </si>
  <si>
    <r>
      <t>m</t>
    </r>
    <r>
      <rPr>
        <vertAlign val="subscript"/>
        <sz val="11"/>
        <color theme="1"/>
        <rFont val="Calibri"/>
        <family val="2"/>
        <scheme val="minor"/>
      </rPr>
      <t>v</t>
    </r>
  </si>
  <si>
    <r>
      <t>W</t>
    </r>
    <r>
      <rPr>
        <vertAlign val="subscript"/>
        <sz val="11"/>
        <color theme="1"/>
        <rFont val="Calibri"/>
        <family val="2"/>
        <scheme val="minor"/>
      </rPr>
      <t>veh</t>
    </r>
  </si>
  <si>
    <r>
      <t>s</t>
    </r>
    <r>
      <rPr>
        <vertAlign val="subscript"/>
        <sz val="11"/>
        <color theme="1"/>
        <rFont val="Calibri"/>
        <family val="2"/>
        <scheme val="minor"/>
      </rPr>
      <t>veh_corn</t>
    </r>
  </si>
  <si>
    <r>
      <t>s</t>
    </r>
    <r>
      <rPr>
        <vertAlign val="subscript"/>
        <sz val="11"/>
        <color theme="1"/>
        <rFont val="Calibri"/>
        <family val="2"/>
        <scheme val="minor"/>
      </rPr>
      <t>veh_corn_mps</t>
    </r>
  </si>
  <si>
    <r>
      <t>R</t>
    </r>
    <r>
      <rPr>
        <vertAlign val="subscript"/>
        <sz val="11"/>
        <color theme="1"/>
        <rFont val="Calibri"/>
        <family val="2"/>
        <scheme val="minor"/>
      </rPr>
      <t>corn</t>
    </r>
  </si>
  <si>
    <t>ω</t>
  </si>
  <si>
    <r>
      <t>F</t>
    </r>
    <r>
      <rPr>
        <vertAlign val="subscript"/>
        <sz val="11"/>
        <color theme="1"/>
        <rFont val="Calibri"/>
        <family val="2"/>
        <scheme val="minor"/>
      </rPr>
      <t>cent</t>
    </r>
  </si>
  <si>
    <r>
      <t>F</t>
    </r>
    <r>
      <rPr>
        <vertAlign val="subscript"/>
        <sz val="11"/>
        <color theme="1"/>
        <rFont val="Calibri"/>
        <family val="2"/>
        <scheme val="minor"/>
      </rPr>
      <t>cent_avg</t>
    </r>
  </si>
  <si>
    <r>
      <t>a</t>
    </r>
    <r>
      <rPr>
        <vertAlign val="subscript"/>
        <sz val="11"/>
        <color theme="1"/>
        <rFont val="Calibri"/>
        <family val="2"/>
        <scheme val="minor"/>
      </rPr>
      <t>lat</t>
    </r>
  </si>
  <si>
    <r>
      <t>g</t>
    </r>
    <r>
      <rPr>
        <vertAlign val="subscript"/>
        <sz val="11"/>
        <color theme="1"/>
        <rFont val="Calibri"/>
        <family val="2"/>
        <scheme val="minor"/>
      </rPr>
      <t>lat</t>
    </r>
  </si>
  <si>
    <r>
      <t>CG</t>
    </r>
    <r>
      <rPr>
        <vertAlign val="subscript"/>
        <sz val="11"/>
        <color theme="1"/>
        <rFont val="Calibri"/>
        <family val="2"/>
        <scheme val="minor"/>
      </rPr>
      <t>height</t>
    </r>
  </si>
  <si>
    <r>
      <t>CG</t>
    </r>
    <r>
      <rPr>
        <vertAlign val="subscript"/>
        <sz val="11"/>
        <color theme="1"/>
        <rFont val="Calibri"/>
        <family val="2"/>
        <scheme val="minor"/>
      </rPr>
      <t>longitudinal_from_rear</t>
    </r>
  </si>
  <si>
    <r>
      <t>CG</t>
    </r>
    <r>
      <rPr>
        <vertAlign val="subscript"/>
        <sz val="11"/>
        <color theme="1"/>
        <rFont val="Calibri"/>
        <family val="2"/>
        <scheme val="minor"/>
      </rPr>
      <t>lateral_from_center</t>
    </r>
  </si>
  <si>
    <r>
      <t>W</t>
    </r>
    <r>
      <rPr>
        <vertAlign val="subscript"/>
        <sz val="11"/>
        <color theme="1"/>
        <rFont val="Calibri"/>
        <family val="2"/>
        <scheme val="minor"/>
      </rPr>
      <t>static_front</t>
    </r>
  </si>
  <si>
    <r>
      <t>W</t>
    </r>
    <r>
      <rPr>
        <vertAlign val="subscript"/>
        <sz val="11"/>
        <color theme="1"/>
        <rFont val="Calibri"/>
        <family val="2"/>
        <scheme val="minor"/>
      </rPr>
      <t>static_rear</t>
    </r>
  </si>
  <si>
    <r>
      <t>W</t>
    </r>
    <r>
      <rPr>
        <vertAlign val="subscript"/>
        <sz val="11"/>
        <color theme="1"/>
        <rFont val="Calibri"/>
        <family val="2"/>
        <scheme val="minor"/>
      </rPr>
      <t>static_left</t>
    </r>
  </si>
  <si>
    <r>
      <t>W</t>
    </r>
    <r>
      <rPr>
        <vertAlign val="subscript"/>
        <sz val="11"/>
        <color theme="1"/>
        <rFont val="Calibri"/>
        <family val="2"/>
        <scheme val="minor"/>
      </rPr>
      <t>static_right</t>
    </r>
  </si>
  <si>
    <r>
      <t>a</t>
    </r>
    <r>
      <rPr>
        <vertAlign val="subscript"/>
        <sz val="11"/>
        <color theme="1"/>
        <rFont val="Calibri"/>
        <family val="2"/>
        <scheme val="minor"/>
      </rPr>
      <t>lon</t>
    </r>
  </si>
  <si>
    <t>Longitudinal Acceleration</t>
  </si>
  <si>
    <t>Weight on Front Tires during Acceleration</t>
  </si>
  <si>
    <r>
      <t>W</t>
    </r>
    <r>
      <rPr>
        <vertAlign val="subscript"/>
        <sz val="11"/>
        <color theme="1"/>
        <rFont val="Calibri"/>
        <family val="2"/>
        <scheme val="minor"/>
      </rPr>
      <t>transfer_accel</t>
    </r>
  </si>
  <si>
    <r>
      <t>F</t>
    </r>
    <r>
      <rPr>
        <vertAlign val="subscript"/>
        <sz val="11"/>
        <color theme="1"/>
        <rFont val="Calibri"/>
        <family val="2"/>
        <scheme val="minor"/>
      </rPr>
      <t>Inertia_accel_lon</t>
    </r>
  </si>
  <si>
    <r>
      <t>W</t>
    </r>
    <r>
      <rPr>
        <vertAlign val="subscript"/>
        <sz val="11"/>
        <color theme="1"/>
        <rFont val="Calibri"/>
        <family val="2"/>
        <scheme val="minor"/>
      </rPr>
      <t>front_tires_accel</t>
    </r>
  </si>
  <si>
    <r>
      <t>W</t>
    </r>
    <r>
      <rPr>
        <vertAlign val="subscript"/>
        <sz val="11"/>
        <color theme="1"/>
        <rFont val="Calibri"/>
        <family val="2"/>
        <scheme val="minor"/>
      </rPr>
      <t>rear_tires_accel</t>
    </r>
  </si>
  <si>
    <t>Max Speed at Radius (Tipping)</t>
  </si>
  <si>
    <t>Weight Transfer due to cornering</t>
  </si>
  <si>
    <r>
      <t>s</t>
    </r>
    <r>
      <rPr>
        <vertAlign val="subscript"/>
        <sz val="11"/>
        <color theme="1"/>
        <rFont val="Calibri"/>
        <family val="2"/>
        <scheme val="minor"/>
      </rPr>
      <t>max_turn_tip</t>
    </r>
  </si>
  <si>
    <r>
      <t>W</t>
    </r>
    <r>
      <rPr>
        <vertAlign val="subscript"/>
        <sz val="11"/>
        <color theme="1"/>
        <rFont val="Calibri"/>
        <family val="2"/>
        <scheme val="minor"/>
      </rPr>
      <t>transfer_corner</t>
    </r>
  </si>
  <si>
    <r>
      <t>s</t>
    </r>
    <r>
      <rPr>
        <vertAlign val="subscript"/>
        <sz val="11"/>
        <color theme="1"/>
        <rFont val="Calibri"/>
        <family val="2"/>
        <scheme val="minor"/>
      </rPr>
      <t>max_turn_tip_mps</t>
    </r>
  </si>
  <si>
    <t>Lateral Acceleration &amp; Weight Transfer due to Cornering</t>
  </si>
  <si>
    <t>Weight Transfer due to Longitudinal Acceleration</t>
  </si>
  <si>
    <t>Front Roll Couple</t>
  </si>
  <si>
    <t>Front Roll Stiffness</t>
  </si>
  <si>
    <t>Rear Roll Stiffness</t>
  </si>
  <si>
    <t>Total Roll Stiffness</t>
  </si>
  <si>
    <t>Rear Roll Couple</t>
  </si>
  <si>
    <t>Total Roll Couple</t>
  </si>
  <si>
    <t>Front Weight Transfer due to Body Roll</t>
  </si>
  <si>
    <t>Front Trackwidth</t>
  </si>
  <si>
    <t>Rear Trackwidth</t>
  </si>
  <si>
    <t>Trackwidth (avg)</t>
  </si>
  <si>
    <t>Rear Weight Transfer due to Body Roll</t>
  </si>
  <si>
    <t>Centrifugal Force on Front Roll Center</t>
  </si>
  <si>
    <t>Centrifugal Force on Rear Roll Center</t>
  </si>
  <si>
    <t>Sprung Weight</t>
  </si>
  <si>
    <t>Unsprung Weight</t>
  </si>
  <si>
    <t>Centrifugal Force due to Sprung Weight Cornering</t>
  </si>
  <si>
    <t>Center of Gravity of Sprung Weight from Rear Axle</t>
  </si>
  <si>
    <t>Ratio of Sprung to Unsprung Weight</t>
  </si>
  <si>
    <t>Ratio of Sprung to Total Weight</t>
  </si>
  <si>
    <r>
      <t>L</t>
    </r>
    <r>
      <rPr>
        <vertAlign val="subscript"/>
        <sz val="11"/>
        <color theme="1"/>
        <rFont val="Calibri"/>
        <family val="2"/>
        <scheme val="minor"/>
      </rPr>
      <t>wb</t>
    </r>
  </si>
  <si>
    <r>
      <t>L</t>
    </r>
    <r>
      <rPr>
        <vertAlign val="subscript"/>
        <sz val="11"/>
        <color theme="1"/>
        <rFont val="Calibri"/>
        <family val="2"/>
        <scheme val="minor"/>
      </rPr>
      <t>tw</t>
    </r>
  </si>
  <si>
    <r>
      <t>L</t>
    </r>
    <r>
      <rPr>
        <vertAlign val="subscript"/>
        <sz val="11"/>
        <color theme="1"/>
        <rFont val="Calibri"/>
        <family val="2"/>
        <scheme val="minor"/>
      </rPr>
      <t>tw_rear</t>
    </r>
  </si>
  <si>
    <r>
      <t>L</t>
    </r>
    <r>
      <rPr>
        <vertAlign val="subscript"/>
        <sz val="11"/>
        <color theme="1"/>
        <rFont val="Calibri"/>
        <family val="2"/>
        <scheme val="minor"/>
      </rPr>
      <t>tw_front</t>
    </r>
  </si>
  <si>
    <t>Front Weight Transfer due to Roll-Center Height</t>
  </si>
  <si>
    <t>Front Roll Center Height</t>
  </si>
  <si>
    <t>Rear Roll Center Height</t>
  </si>
  <si>
    <t>Rear Weight Transfer due to Roll-Center Height</t>
  </si>
  <si>
    <t>Centrifugal Force on Unsprung Front Components</t>
  </si>
  <si>
    <t>Centrifugal Force on Unsprung Rear Components</t>
  </si>
  <si>
    <t>Rear Unsprung Weight</t>
  </si>
  <si>
    <t>Front Unsprung Weight</t>
  </si>
  <si>
    <t>Front Weight Transfer due to Unsprung Mass</t>
  </si>
  <si>
    <t>Front Unsprung Mass Center of Gravity Height</t>
  </si>
  <si>
    <t>Rear Unsprung Mass Center of Gravity Height</t>
  </si>
  <si>
    <t>Rear Total Weight Transfer</t>
  </si>
  <si>
    <t>Front Total Weight Transfer</t>
  </si>
  <si>
    <t>Rear Weight Transfer due to Unsprung Mass</t>
  </si>
  <si>
    <t>N*mm/deg</t>
  </si>
  <si>
    <t>lbf*in/deg</t>
  </si>
  <si>
    <t>Weight on Rear Tires during Acceleration</t>
  </si>
  <si>
    <t>Topic</t>
  </si>
  <si>
    <t>Bump Steer</t>
  </si>
  <si>
    <t>Change in toe/tire direction through suspension travel range.</t>
  </si>
  <si>
    <t>Sprung Weight Front</t>
  </si>
  <si>
    <t>Sprung Weight Rear</t>
  </si>
  <si>
    <t>Front Spring Rate</t>
  </si>
  <si>
    <t>N/mm</t>
  </si>
  <si>
    <t>Rear Spring Rate</t>
  </si>
  <si>
    <t>Hz</t>
  </si>
  <si>
    <t>Natural Frequency of Suspension</t>
  </si>
  <si>
    <t>Front Suspension Natural Frequency</t>
  </si>
  <si>
    <t>Rear Suspension Natural Frequency</t>
  </si>
  <si>
    <t>Ratio of Sprung to Unsprung Weight of Rear</t>
  </si>
  <si>
    <t>Ratio of Sprung to Unsprung Weight of Front</t>
  </si>
  <si>
    <t>-</t>
  </si>
  <si>
    <t>lbf/in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</si>
</sst>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1" xfId="0" applyFill="1" applyBorder="1"/>
    <xf numFmtId="0" fontId="0" fillId="2" borderId="2" xfId="0" applyFill="1" applyBorder="1"/>
    <xf numFmtId="0" fontId="0" fillId="2" borderId="1" xfId="0" applyFill="1" applyBorder="1"/>
    <xf numFmtId="0" fontId="4" fillId="0" borderId="1" xfId="0" applyFont="1" applyBorder="1"/>
    <xf numFmtId="0" fontId="0" fillId="0" borderId="6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2" xfId="0" applyFill="1" applyBorder="1"/>
    <xf numFmtId="0" fontId="0" fillId="0" borderId="13" xfId="0" applyFill="1" applyBorder="1"/>
    <xf numFmtId="0" fontId="0" fillId="0" borderId="15" xfId="0" applyBorder="1"/>
    <xf numFmtId="0" fontId="0" fillId="0" borderId="14" xfId="0" applyBorder="1"/>
    <xf numFmtId="0" fontId="0" fillId="0" borderId="16" xfId="0" applyBorder="1"/>
    <xf numFmtId="2" fontId="0" fillId="0" borderId="1" xfId="0" applyNumberFormat="1" applyBorder="1"/>
    <xf numFmtId="164" fontId="0" fillId="0" borderId="1" xfId="0" applyNumberFormat="1" applyBorder="1"/>
    <xf numFmtId="2" fontId="0" fillId="0" borderId="15" xfId="0" applyNumberFormat="1" applyBorder="1"/>
    <xf numFmtId="165" fontId="0" fillId="0" borderId="1" xfId="0" applyNumberFormat="1" applyBorder="1"/>
    <xf numFmtId="166" fontId="0" fillId="0" borderId="1" xfId="0" applyNumberFormat="1" applyBorder="1"/>
    <xf numFmtId="2" fontId="0" fillId="0" borderId="2" xfId="0" applyNumberFormat="1" applyBorder="1"/>
    <xf numFmtId="0" fontId="0" fillId="0" borderId="17" xfId="0" applyFill="1" applyBorder="1"/>
    <xf numFmtId="0" fontId="0" fillId="0" borderId="18" xfId="0" applyFill="1" applyBorder="1"/>
    <xf numFmtId="0" fontId="0" fillId="0" borderId="18" xfId="0" applyBorder="1"/>
    <xf numFmtId="0" fontId="0" fillId="0" borderId="19" xfId="0" applyFill="1" applyBorder="1"/>
    <xf numFmtId="165" fontId="0" fillId="2" borderId="1" xfId="0" applyNumberFormat="1" applyFill="1" applyBorder="1"/>
    <xf numFmtId="0" fontId="0" fillId="0" borderId="20" xfId="0" applyBorder="1"/>
    <xf numFmtId="0" fontId="0" fillId="0" borderId="21" xfId="0" applyBorder="1"/>
    <xf numFmtId="2" fontId="0" fillId="0" borderId="21" xfId="0" applyNumberFormat="1" applyBorder="1"/>
    <xf numFmtId="0" fontId="0" fillId="0" borderId="22" xfId="0" applyBorder="1"/>
    <xf numFmtId="0" fontId="2" fillId="0" borderId="0" xfId="0" applyFont="1" applyBorder="1" applyAlignment="1">
      <alignment horizontal="center" vertical="center" wrapText="1"/>
    </xf>
    <xf numFmtId="165" fontId="0" fillId="2" borderId="2" xfId="0" applyNumberFormat="1" applyFill="1" applyBorder="1"/>
    <xf numFmtId="165" fontId="0" fillId="2" borderId="21" xfId="0" applyNumberFormat="1" applyFill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3" xfId="0" applyBorder="1" applyAlignment="1">
      <alignment horizontal="center"/>
    </xf>
    <xf numFmtId="165" fontId="0" fillId="0" borderId="1" xfId="0" applyNumberFormat="1" applyFill="1" applyBorder="1"/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0" fillId="2" borderId="21" xfId="0" applyFill="1" applyBorder="1"/>
    <xf numFmtId="0" fontId="0" fillId="0" borderId="14" xfId="0" applyFill="1" applyBorder="1"/>
    <xf numFmtId="0" fontId="0" fillId="0" borderId="15" xfId="0" applyFill="1" applyBorder="1"/>
    <xf numFmtId="0" fontId="0" fillId="0" borderId="17" xfId="0" applyBorder="1"/>
    <xf numFmtId="165" fontId="0" fillId="0" borderId="18" xfId="0" applyNumberFormat="1" applyBorder="1"/>
    <xf numFmtId="0" fontId="0" fillId="0" borderId="19" xfId="0" applyBorder="1"/>
    <xf numFmtId="0" fontId="0" fillId="0" borderId="10" xfId="0" applyFill="1" applyBorder="1"/>
    <xf numFmtId="0" fontId="0" fillId="0" borderId="2" xfId="0" applyFill="1" applyBorder="1"/>
    <xf numFmtId="0" fontId="0" fillId="0" borderId="22" xfId="0" applyFill="1" applyBorder="1"/>
    <xf numFmtId="0" fontId="0" fillId="0" borderId="1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AB6C2-5882-4350-8C98-A75721D4BA64}">
  <dimension ref="B1:AB53"/>
  <sheetViews>
    <sheetView tabSelected="1" workbookViewId="0">
      <selection activeCell="A4" sqref="A4"/>
    </sheetView>
  </sheetViews>
  <sheetFormatPr defaultRowHeight="15" x14ac:dyDescent="0.25"/>
  <cols>
    <col min="2" max="2" width="58.7109375" bestFit="1" customWidth="1"/>
    <col min="9" max="9" width="34.42578125" bestFit="1" customWidth="1"/>
    <col min="10" max="10" width="12.7109375" customWidth="1"/>
    <col min="14" max="14" width="10.28515625" bestFit="1" customWidth="1"/>
    <col min="16" max="16" width="58.7109375" bestFit="1" customWidth="1"/>
    <col min="17" max="17" width="18.42578125" bestFit="1" customWidth="1"/>
    <col min="20" max="20" width="10.5703125" bestFit="1" customWidth="1"/>
  </cols>
  <sheetData>
    <row r="1" spans="2:28" ht="15.75" thickBot="1" x14ac:dyDescent="0.3">
      <c r="B1" s="42" t="s">
        <v>135</v>
      </c>
      <c r="C1" s="42"/>
      <c r="D1" s="42"/>
      <c r="E1" s="42"/>
      <c r="F1" s="42"/>
      <c r="G1" s="42"/>
      <c r="I1" s="39" t="s">
        <v>84</v>
      </c>
      <c r="J1" s="40"/>
      <c r="K1" s="40"/>
      <c r="L1" s="40"/>
      <c r="M1" s="40"/>
      <c r="N1" s="41"/>
      <c r="P1" s="39" t="s">
        <v>85</v>
      </c>
      <c r="Q1" s="40"/>
      <c r="R1" s="40"/>
      <c r="S1" s="40"/>
      <c r="T1" s="40"/>
      <c r="U1" s="41"/>
    </row>
    <row r="2" spans="2:28" ht="30.75" thickBot="1" x14ac:dyDescent="0.3">
      <c r="B2" s="44" t="s">
        <v>18</v>
      </c>
      <c r="C2" s="45" t="s">
        <v>19</v>
      </c>
      <c r="D2" s="45" t="s">
        <v>20</v>
      </c>
      <c r="E2" s="45" t="s">
        <v>21</v>
      </c>
      <c r="F2" s="45" t="s">
        <v>22</v>
      </c>
      <c r="G2" s="46" t="s">
        <v>23</v>
      </c>
      <c r="I2" s="4" t="s">
        <v>18</v>
      </c>
      <c r="J2" s="5" t="s">
        <v>19</v>
      </c>
      <c r="K2" s="5" t="s">
        <v>20</v>
      </c>
      <c r="L2" s="5" t="s">
        <v>21</v>
      </c>
      <c r="M2" s="5" t="s">
        <v>22</v>
      </c>
      <c r="N2" s="6" t="s">
        <v>23</v>
      </c>
      <c r="P2" s="4" t="s">
        <v>18</v>
      </c>
      <c r="Q2" s="5" t="s">
        <v>19</v>
      </c>
      <c r="R2" s="5" t="s">
        <v>20</v>
      </c>
      <c r="S2" s="5" t="s">
        <v>21</v>
      </c>
      <c r="T2" s="5" t="s">
        <v>22</v>
      </c>
      <c r="U2" s="6" t="s">
        <v>23</v>
      </c>
      <c r="W2" s="4" t="s">
        <v>18</v>
      </c>
      <c r="X2" s="5" t="s">
        <v>19</v>
      </c>
      <c r="Y2" s="5" t="s">
        <v>20</v>
      </c>
      <c r="Z2" s="5" t="s">
        <v>21</v>
      </c>
      <c r="AA2" s="5" t="s">
        <v>22</v>
      </c>
      <c r="AB2" s="6" t="s">
        <v>23</v>
      </c>
    </row>
    <row r="3" spans="2:28" ht="18" x14ac:dyDescent="0.35">
      <c r="B3" s="32" t="s">
        <v>0</v>
      </c>
      <c r="C3" s="33" t="s">
        <v>55</v>
      </c>
      <c r="D3" s="47">
        <v>550</v>
      </c>
      <c r="E3" s="33" t="s">
        <v>1</v>
      </c>
      <c r="F3" s="33">
        <f>CONVERT(D3,"kg","lbm")</f>
        <v>1212.5424420168267</v>
      </c>
      <c r="G3" s="35" t="s">
        <v>2</v>
      </c>
      <c r="I3" s="12" t="s">
        <v>0</v>
      </c>
      <c r="J3" s="3" t="s">
        <v>55</v>
      </c>
      <c r="K3" s="8">
        <f>100*1000/980.665</f>
        <v>101.97162129779282</v>
      </c>
      <c r="L3" s="3" t="s">
        <v>1</v>
      </c>
      <c r="M3" s="3">
        <f>CONVERT(K3,"kg","lbm")</f>
        <v>224.80894309971046</v>
      </c>
      <c r="N3" s="13" t="s">
        <v>2</v>
      </c>
      <c r="P3" s="12" t="s">
        <v>0</v>
      </c>
      <c r="Q3" s="3" t="s">
        <v>55</v>
      </c>
      <c r="R3" s="8">
        <f>100*1000/980.665</f>
        <v>101.97162129779282</v>
      </c>
      <c r="S3" s="3" t="s">
        <v>1</v>
      </c>
      <c r="T3" s="26">
        <f>CONVERT(R3,"kg","lbm")</f>
        <v>224.80894309971046</v>
      </c>
      <c r="U3" s="13" t="s">
        <v>2</v>
      </c>
      <c r="W3" s="36"/>
    </row>
    <row r="4" spans="2:28" x14ac:dyDescent="0.25">
      <c r="B4" s="14" t="s">
        <v>3</v>
      </c>
      <c r="C4" s="2" t="s">
        <v>26</v>
      </c>
      <c r="D4" s="2">
        <v>9.8066499999999994</v>
      </c>
      <c r="E4" s="2" t="s">
        <v>4</v>
      </c>
      <c r="F4" s="2">
        <f>CONVERT(D4,"m","ft")</f>
        <v>32.174048556430449</v>
      </c>
      <c r="G4" s="15" t="s">
        <v>5</v>
      </c>
      <c r="I4" s="14" t="s">
        <v>3</v>
      </c>
      <c r="J4" s="2" t="s">
        <v>26</v>
      </c>
      <c r="K4" s="2">
        <v>9.8066499999999994</v>
      </c>
      <c r="L4" s="2" t="s">
        <v>4</v>
      </c>
      <c r="M4" s="2">
        <f>CONVERT(K4,"m","ft")</f>
        <v>32.174048556430449</v>
      </c>
      <c r="N4" s="15" t="s">
        <v>5</v>
      </c>
      <c r="P4" s="14" t="s">
        <v>3</v>
      </c>
      <c r="Q4" s="2" t="s">
        <v>26</v>
      </c>
      <c r="R4" s="2">
        <v>9.8066499999999994</v>
      </c>
      <c r="S4" s="2" t="s">
        <v>4</v>
      </c>
      <c r="T4" s="25">
        <f>CONVERT(R4,"m","ft")</f>
        <v>32.174048556430449</v>
      </c>
      <c r="U4" s="15" t="s">
        <v>5</v>
      </c>
      <c r="W4" s="36"/>
    </row>
    <row r="5" spans="2:28" ht="18" x14ac:dyDescent="0.35">
      <c r="B5" s="14" t="s">
        <v>13</v>
      </c>
      <c r="C5" s="2" t="s">
        <v>56</v>
      </c>
      <c r="D5" s="2">
        <f>D3*D4</f>
        <v>5393.6574999999993</v>
      </c>
      <c r="E5" s="2" t="s">
        <v>15</v>
      </c>
      <c r="F5" s="2">
        <f>CONVERT(D5,"N","lbf")</f>
        <v>1212.5424420168265</v>
      </c>
      <c r="G5" s="15" t="s">
        <v>14</v>
      </c>
      <c r="I5" s="14" t="s">
        <v>13</v>
      </c>
      <c r="J5" s="2" t="s">
        <v>56</v>
      </c>
      <c r="K5" s="2">
        <f>K3*K4</f>
        <v>999.99999999999989</v>
      </c>
      <c r="L5" s="2" t="s">
        <v>15</v>
      </c>
      <c r="M5" s="2">
        <f>CONVERT(K5,"N","lbf")</f>
        <v>224.80894309971043</v>
      </c>
      <c r="N5" s="15" t="s">
        <v>14</v>
      </c>
      <c r="P5" s="14" t="s">
        <v>13</v>
      </c>
      <c r="Q5" s="2" t="s">
        <v>56</v>
      </c>
      <c r="R5" s="21">
        <f>R4*R3</f>
        <v>999.99999999999989</v>
      </c>
      <c r="S5" s="2" t="s">
        <v>15</v>
      </c>
      <c r="T5" s="24">
        <f>CONVERT(R5,"N","lbf")</f>
        <v>224.80894309971043</v>
      </c>
      <c r="U5" s="15" t="s">
        <v>14</v>
      </c>
    </row>
    <row r="6" spans="2:28" ht="18" x14ac:dyDescent="0.35">
      <c r="B6" s="16" t="s">
        <v>131</v>
      </c>
      <c r="C6" s="2"/>
      <c r="D6" s="9">
        <v>24.52</v>
      </c>
      <c r="E6" s="7" t="s">
        <v>132</v>
      </c>
      <c r="F6" s="2">
        <f>CONVERT(CONVERT(D6,"N","lbf"),"in","mm")</f>
        <v>140.01280823404446</v>
      </c>
      <c r="G6" s="15" t="s">
        <v>141</v>
      </c>
      <c r="I6" s="14" t="s">
        <v>6</v>
      </c>
      <c r="J6" s="2" t="s">
        <v>57</v>
      </c>
      <c r="K6" s="9">
        <v>48.3</v>
      </c>
      <c r="L6" s="2" t="s">
        <v>7</v>
      </c>
      <c r="M6" s="2">
        <f>CONVERT(K6,"km","mi")</f>
        <v>30.012228585063234</v>
      </c>
      <c r="N6" s="15" t="s">
        <v>8</v>
      </c>
      <c r="P6" s="14" t="s">
        <v>44</v>
      </c>
      <c r="Q6" s="2" t="s">
        <v>45</v>
      </c>
      <c r="R6" s="31">
        <v>2540</v>
      </c>
      <c r="S6" s="2" t="s">
        <v>47</v>
      </c>
      <c r="T6" s="21">
        <f>CONVERT(R6,"mm","in")</f>
        <v>100</v>
      </c>
      <c r="U6" s="15" t="s">
        <v>46</v>
      </c>
    </row>
    <row r="7" spans="2:28" ht="18" x14ac:dyDescent="0.35">
      <c r="B7" s="16" t="s">
        <v>133</v>
      </c>
      <c r="C7" s="2"/>
      <c r="D7" s="9">
        <v>40.299999999999997</v>
      </c>
      <c r="E7" s="7" t="s">
        <v>132</v>
      </c>
      <c r="F7" s="2">
        <f>CONVERT(CONVERT(D7,"N","lbf"),"in","mm")</f>
        <v>230.11893033572559</v>
      </c>
      <c r="G7" s="15" t="s">
        <v>141</v>
      </c>
      <c r="I7" s="14" t="s">
        <v>6</v>
      </c>
      <c r="J7" s="2" t="s">
        <v>58</v>
      </c>
      <c r="K7" s="2">
        <f>CONVERT(CONVERT(K6,"km","m"),"s","hr")</f>
        <v>13.416666666666666</v>
      </c>
      <c r="L7" s="2" t="s">
        <v>27</v>
      </c>
      <c r="M7" s="2">
        <f>CONVERT(K7,"m","ft")</f>
        <v>44.017935258092734</v>
      </c>
      <c r="N7" s="15" t="s">
        <v>28</v>
      </c>
      <c r="P7" s="14" t="s">
        <v>48</v>
      </c>
      <c r="Q7" s="2" t="s">
        <v>65</v>
      </c>
      <c r="R7" s="31">
        <v>508.1</v>
      </c>
      <c r="S7" s="2" t="s">
        <v>47</v>
      </c>
      <c r="T7" s="21">
        <f>CONVERT(R7,"mm","in")</f>
        <v>20.003937007874015</v>
      </c>
      <c r="U7" s="15" t="s">
        <v>46</v>
      </c>
    </row>
    <row r="8" spans="2:28" ht="18" x14ac:dyDescent="0.35">
      <c r="B8" s="14" t="s">
        <v>44</v>
      </c>
      <c r="C8" s="2" t="s">
        <v>45</v>
      </c>
      <c r="D8" s="31">
        <v>1669</v>
      </c>
      <c r="E8" s="2" t="s">
        <v>47</v>
      </c>
      <c r="F8" s="21">
        <f>CONVERT(D8,"mm","in")</f>
        <v>65.70866141732283</v>
      </c>
      <c r="G8" s="15" t="s">
        <v>46</v>
      </c>
      <c r="I8" s="14" t="s">
        <v>9</v>
      </c>
      <c r="J8" s="2" t="s">
        <v>59</v>
      </c>
      <c r="K8" s="9">
        <v>60.65</v>
      </c>
      <c r="L8" s="2" t="s">
        <v>10</v>
      </c>
      <c r="M8" s="2">
        <f>CONVERT(K8,"m","ft")</f>
        <v>198.98293963254594</v>
      </c>
      <c r="N8" s="15" t="s">
        <v>11</v>
      </c>
      <c r="P8" s="14" t="s">
        <v>49</v>
      </c>
      <c r="Q8" s="2" t="s">
        <v>66</v>
      </c>
      <c r="R8" s="24">
        <v>1270</v>
      </c>
      <c r="S8" s="2" t="s">
        <v>47</v>
      </c>
      <c r="T8" s="21">
        <f>CONVERT(R8,"mm","in")</f>
        <v>50</v>
      </c>
      <c r="U8" s="15" t="s">
        <v>46</v>
      </c>
    </row>
    <row r="9" spans="2:28" ht="18" x14ac:dyDescent="0.35">
      <c r="B9" s="16" t="s">
        <v>102</v>
      </c>
      <c r="C9" s="7"/>
      <c r="D9" s="9">
        <v>800</v>
      </c>
      <c r="E9" s="7" t="s">
        <v>47</v>
      </c>
      <c r="F9" s="21">
        <f>CONVERT(D9,"mm","in")</f>
        <v>31.496062992125985</v>
      </c>
      <c r="G9" s="15" t="s">
        <v>46</v>
      </c>
      <c r="I9" s="14" t="s">
        <v>16</v>
      </c>
      <c r="J9" s="10" t="s">
        <v>60</v>
      </c>
      <c r="K9" s="2">
        <f>CONVERT(CONVERT(K6,"km","m"),"s","hr")/K8</f>
        <v>0.22121461940093431</v>
      </c>
      <c r="L9" s="2" t="s">
        <v>17</v>
      </c>
      <c r="M9" s="2">
        <f>K9</f>
        <v>0.22121461940093431</v>
      </c>
      <c r="N9" s="15" t="s">
        <v>17</v>
      </c>
      <c r="P9" s="14" t="s">
        <v>50</v>
      </c>
      <c r="Q9" s="2" t="s">
        <v>67</v>
      </c>
      <c r="R9" s="24">
        <v>-50</v>
      </c>
      <c r="S9" s="2" t="s">
        <v>47</v>
      </c>
      <c r="T9" s="21">
        <f>CONVERT(R9,"mm","in")</f>
        <v>-1.9685039370078741</v>
      </c>
      <c r="U9" s="15" t="s">
        <v>46</v>
      </c>
    </row>
    <row r="10" spans="2:28" ht="18" x14ac:dyDescent="0.35">
      <c r="B10" s="16" t="s">
        <v>116</v>
      </c>
      <c r="C10" s="2"/>
      <c r="D10" s="31">
        <v>85</v>
      </c>
      <c r="E10" s="7" t="s">
        <v>15</v>
      </c>
      <c r="F10" s="2">
        <f>CONVERT(D10,"N","lbf")</f>
        <v>19.108760163475392</v>
      </c>
      <c r="G10" s="17" t="s">
        <v>14</v>
      </c>
      <c r="I10" s="14" t="s">
        <v>12</v>
      </c>
      <c r="J10" s="2" t="s">
        <v>61</v>
      </c>
      <c r="K10" s="2">
        <f>K3*K9^2*K8</f>
        <v>302.6479797174232</v>
      </c>
      <c r="L10" s="2" t="s">
        <v>15</v>
      </c>
      <c r="M10" s="2">
        <f>CONVERT(K10,"N","lbf")</f>
        <v>68.037972451536518</v>
      </c>
      <c r="N10" s="15" t="s">
        <v>14</v>
      </c>
      <c r="P10" s="14" t="s">
        <v>51</v>
      </c>
      <c r="Q10" s="2" t="s">
        <v>68</v>
      </c>
      <c r="R10" s="24">
        <f>K5*R8/R6</f>
        <v>499.99999999999989</v>
      </c>
      <c r="S10" s="2" t="s">
        <v>15</v>
      </c>
      <c r="T10" s="24">
        <f>CONVERT(R10,"N","lbf")</f>
        <v>112.4044715498552</v>
      </c>
      <c r="U10" s="15" t="s">
        <v>14</v>
      </c>
    </row>
    <row r="11" spans="2:28" ht="18" x14ac:dyDescent="0.35">
      <c r="B11" s="16" t="s">
        <v>115</v>
      </c>
      <c r="C11" s="2"/>
      <c r="D11" s="31">
        <v>1036</v>
      </c>
      <c r="E11" s="7" t="s">
        <v>15</v>
      </c>
      <c r="F11" s="2">
        <f>CONVERT(D11,"N","lbf")</f>
        <v>232.90206505130004</v>
      </c>
      <c r="G11" s="17" t="s">
        <v>14</v>
      </c>
      <c r="I11" s="16" t="s">
        <v>24</v>
      </c>
      <c r="J11" s="7" t="s">
        <v>62</v>
      </c>
      <c r="K11" s="2">
        <f>K10/4</f>
        <v>75.661994929355799</v>
      </c>
      <c r="L11" s="7" t="s">
        <v>15</v>
      </c>
      <c r="M11" s="2">
        <f>CONVERT(K11,"N","lbf")</f>
        <v>17.00949311288413</v>
      </c>
      <c r="N11" s="15" t="s">
        <v>14</v>
      </c>
      <c r="P11" s="14" t="s">
        <v>52</v>
      </c>
      <c r="Q11" s="2" t="s">
        <v>69</v>
      </c>
      <c r="R11" s="24">
        <f>K5*(R6-R8)/R6</f>
        <v>499.99999999999989</v>
      </c>
      <c r="S11" s="2" t="s">
        <v>15</v>
      </c>
      <c r="T11" s="24">
        <f>CONVERT(R11,"N","lbf")</f>
        <v>112.4044715498552</v>
      </c>
      <c r="U11" s="15" t="s">
        <v>14</v>
      </c>
    </row>
    <row r="12" spans="2:28" ht="18" x14ac:dyDescent="0.35">
      <c r="B12" s="14" t="s">
        <v>100</v>
      </c>
      <c r="C12" s="2"/>
      <c r="D12" s="43">
        <f>D10+D11</f>
        <v>1121</v>
      </c>
      <c r="E12" s="2" t="s">
        <v>15</v>
      </c>
      <c r="F12" s="2">
        <f>CONVERT(D12,"N","lbf")</f>
        <v>252.01082521477545</v>
      </c>
      <c r="G12" s="17" t="s">
        <v>14</v>
      </c>
      <c r="I12" s="16" t="s">
        <v>25</v>
      </c>
      <c r="J12" s="7" t="s">
        <v>63</v>
      </c>
      <c r="K12" s="2">
        <f>CONVERT(CONVERT(K6,"km","m"),"s","hr")^2/K8</f>
        <v>2.9679628102958686</v>
      </c>
      <c r="L12" s="7" t="s">
        <v>4</v>
      </c>
      <c r="M12" s="2">
        <f>CONVERT(K12,"m","ft")</f>
        <v>9.7374107949339521</v>
      </c>
      <c r="N12" s="17" t="s">
        <v>5</v>
      </c>
      <c r="P12" s="14" t="s">
        <v>73</v>
      </c>
      <c r="Q12" s="2" t="s">
        <v>72</v>
      </c>
      <c r="R12" s="22">
        <v>4.9000000000000004</v>
      </c>
      <c r="S12" s="2" t="s">
        <v>4</v>
      </c>
      <c r="T12" s="2">
        <f>CONVERT(R12,"m","ft")</f>
        <v>16.076115485564305</v>
      </c>
      <c r="U12" s="15" t="s">
        <v>5</v>
      </c>
    </row>
    <row r="13" spans="2:28" ht="18.75" thickBot="1" x14ac:dyDescent="0.4">
      <c r="B13" s="14" t="s">
        <v>99</v>
      </c>
      <c r="C13" s="2"/>
      <c r="D13" s="24">
        <f>D5-D12</f>
        <v>4272.6574999999993</v>
      </c>
      <c r="E13" s="2" t="s">
        <v>15</v>
      </c>
      <c r="F13" s="2">
        <f>CONVERT(D13,"N","lbf")</f>
        <v>960.53161680205108</v>
      </c>
      <c r="G13" s="17" t="s">
        <v>14</v>
      </c>
      <c r="I13" s="27" t="s">
        <v>25</v>
      </c>
      <c r="J13" s="28" t="s">
        <v>64</v>
      </c>
      <c r="K13" s="29">
        <f>K10/K5</f>
        <v>0.30264797971742324</v>
      </c>
      <c r="L13" s="28" t="s">
        <v>26</v>
      </c>
      <c r="M13" s="29">
        <f>K10/K5</f>
        <v>0.30264797971742324</v>
      </c>
      <c r="N13" s="30" t="s">
        <v>26</v>
      </c>
      <c r="P13" s="14" t="s">
        <v>42</v>
      </c>
      <c r="Q13" s="2" t="s">
        <v>76</v>
      </c>
      <c r="R13" s="21">
        <f>(K5*R12)/K4</f>
        <v>499.6609443591849</v>
      </c>
      <c r="S13" s="2" t="s">
        <v>15</v>
      </c>
      <c r="T13" s="21">
        <f>CONVERT(R13,"N","lbf")</f>
        <v>112.3282488095916</v>
      </c>
      <c r="U13" s="15" t="s">
        <v>14</v>
      </c>
    </row>
    <row r="14" spans="2:28" ht="18" x14ac:dyDescent="0.35">
      <c r="B14" s="14" t="s">
        <v>129</v>
      </c>
      <c r="C14" s="2"/>
      <c r="D14" s="24">
        <f>D13*D9/D8</f>
        <v>2048.0083882564409</v>
      </c>
      <c r="E14" s="2" t="s">
        <v>15</v>
      </c>
      <c r="F14" s="24">
        <f>CONVERT(D14,"N","lbf")</f>
        <v>460.41060122327195</v>
      </c>
      <c r="G14" s="15" t="s">
        <v>14</v>
      </c>
      <c r="I14" s="32" t="s">
        <v>48</v>
      </c>
      <c r="J14" s="33" t="s">
        <v>65</v>
      </c>
      <c r="K14" s="38">
        <v>1219</v>
      </c>
      <c r="L14" s="33" t="s">
        <v>47</v>
      </c>
      <c r="M14" s="34">
        <f>CONVERT(K14,"mm","in")</f>
        <v>47.99212598425197</v>
      </c>
      <c r="N14" s="35" t="s">
        <v>46</v>
      </c>
      <c r="P14" s="14" t="s">
        <v>43</v>
      </c>
      <c r="Q14" s="2" t="s">
        <v>75</v>
      </c>
      <c r="R14" s="21">
        <f>R13*R7/R6</f>
        <v>99.951860562559787</v>
      </c>
      <c r="S14" s="2" t="s">
        <v>15</v>
      </c>
      <c r="T14" s="21">
        <f>CONVERT(R14,"N","lbf")</f>
        <v>22.470072133918702</v>
      </c>
      <c r="U14" s="15" t="s">
        <v>14</v>
      </c>
    </row>
    <row r="15" spans="2:28" ht="18.75" thickBot="1" x14ac:dyDescent="0.4">
      <c r="B15" s="50" t="s">
        <v>130</v>
      </c>
      <c r="C15" s="29"/>
      <c r="D15" s="51">
        <f>D13*(D8-D9)/D8</f>
        <v>2224.6491117435585</v>
      </c>
      <c r="E15" s="29" t="s">
        <v>15</v>
      </c>
      <c r="F15" s="51">
        <f>CONVERT(D15,"N","lbf")</f>
        <v>500.12101557877907</v>
      </c>
      <c r="G15" s="52" t="s">
        <v>14</v>
      </c>
      <c r="I15" s="12" t="s">
        <v>93</v>
      </c>
      <c r="J15" s="3" t="s">
        <v>108</v>
      </c>
      <c r="K15" s="37">
        <v>1525</v>
      </c>
      <c r="L15" s="2" t="s">
        <v>47</v>
      </c>
      <c r="M15" s="26">
        <f t="shared" ref="M15:M16" si="0">CONVERT(K15,"mm","in")</f>
        <v>60.039370078740156</v>
      </c>
      <c r="N15" s="13" t="s">
        <v>46</v>
      </c>
      <c r="P15" s="14" t="s">
        <v>74</v>
      </c>
      <c r="Q15" s="2" t="s">
        <v>77</v>
      </c>
      <c r="R15" s="21">
        <f>R10-R14</f>
        <v>400.04813943744011</v>
      </c>
      <c r="S15" s="2" t="s">
        <v>15</v>
      </c>
      <c r="T15" s="21">
        <f>CONVERT(R15,"N","lbf")</f>
        <v>89.934399415936511</v>
      </c>
      <c r="U15" s="15" t="s">
        <v>14</v>
      </c>
    </row>
    <row r="16" spans="2:28" ht="18.75" thickBot="1" x14ac:dyDescent="0.4">
      <c r="B16" s="32" t="s">
        <v>103</v>
      </c>
      <c r="C16" s="33"/>
      <c r="D16" s="33">
        <f>D13/D12</f>
        <v>3.811469669937555</v>
      </c>
      <c r="E16" s="33" t="s">
        <v>140</v>
      </c>
      <c r="F16" s="33"/>
      <c r="G16" s="55"/>
      <c r="I16" s="12" t="s">
        <v>94</v>
      </c>
      <c r="J16" s="3" t="s">
        <v>107</v>
      </c>
      <c r="K16" s="37">
        <v>1525</v>
      </c>
      <c r="L16" s="2" t="s">
        <v>47</v>
      </c>
      <c r="M16" s="26">
        <f t="shared" si="0"/>
        <v>60.039370078740156</v>
      </c>
      <c r="N16" s="13" t="s">
        <v>46</v>
      </c>
      <c r="P16" s="19" t="s">
        <v>125</v>
      </c>
      <c r="Q16" s="18" t="s">
        <v>78</v>
      </c>
      <c r="R16" s="23">
        <f>R11+R14</f>
        <v>599.95186056255966</v>
      </c>
      <c r="S16" s="18" t="s">
        <v>15</v>
      </c>
      <c r="T16" s="23">
        <f>CONVERT(R16,"N","lbf")</f>
        <v>134.87454368377391</v>
      </c>
      <c r="U16" s="20" t="s">
        <v>14</v>
      </c>
    </row>
    <row r="17" spans="2:16" ht="18" x14ac:dyDescent="0.35">
      <c r="B17" s="14" t="s">
        <v>104</v>
      </c>
      <c r="C17" s="2"/>
      <c r="D17" s="2">
        <f>D13/D5</f>
        <v>0.79216329550031683</v>
      </c>
      <c r="E17" s="2" t="s">
        <v>140</v>
      </c>
      <c r="F17" s="2"/>
      <c r="G17" s="17"/>
      <c r="I17" s="14" t="s">
        <v>95</v>
      </c>
      <c r="J17" s="2" t="s">
        <v>106</v>
      </c>
      <c r="K17" s="24">
        <f>AVERAGE(K15:K16)</f>
        <v>1525</v>
      </c>
      <c r="L17" s="2" t="s">
        <v>47</v>
      </c>
      <c r="M17" s="21">
        <f>CONVERT(K17,"mm","in")</f>
        <v>60.039370078740156</v>
      </c>
      <c r="N17" s="15" t="s">
        <v>46</v>
      </c>
      <c r="P17" s="11"/>
    </row>
    <row r="18" spans="2:16" ht="18" x14ac:dyDescent="0.35">
      <c r="B18" s="14" t="s">
        <v>139</v>
      </c>
      <c r="C18" s="2"/>
      <c r="D18" s="2">
        <f>D14/D10</f>
        <v>24.094216332428715</v>
      </c>
      <c r="E18" s="2" t="s">
        <v>140</v>
      </c>
      <c r="F18" s="2"/>
      <c r="G18" s="17"/>
      <c r="I18" s="14" t="s">
        <v>53</v>
      </c>
      <c r="J18" s="2" t="s">
        <v>70</v>
      </c>
      <c r="K18" s="24">
        <f>((K17/2-R9)/K17)*K5</f>
        <v>532.78688524590166</v>
      </c>
      <c r="L18" s="2" t="s">
        <v>15</v>
      </c>
      <c r="M18" s="24">
        <f>CONVERT(K18,"N","lbf")</f>
        <v>119.77525656951788</v>
      </c>
      <c r="N18" s="15" t="s">
        <v>14</v>
      </c>
    </row>
    <row r="19" spans="2:16" ht="18.75" thickBot="1" x14ac:dyDescent="0.4">
      <c r="B19" s="19" t="s">
        <v>138</v>
      </c>
      <c r="C19" s="18"/>
      <c r="D19" s="18">
        <f>D15/D11</f>
        <v>2.1473447024551722</v>
      </c>
      <c r="E19" s="18" t="s">
        <v>140</v>
      </c>
      <c r="F19" s="18"/>
      <c r="G19" s="56"/>
      <c r="I19" s="14" t="s">
        <v>54</v>
      </c>
      <c r="J19" s="2" t="s">
        <v>71</v>
      </c>
      <c r="K19" s="24">
        <f>((K17/2+R9)/K17)*K5</f>
        <v>467.21311475409834</v>
      </c>
      <c r="L19" s="2" t="s">
        <v>15</v>
      </c>
      <c r="M19" s="21">
        <f>CONVERT(K19,"N","lbf")</f>
        <v>105.0336865301926</v>
      </c>
      <c r="N19" s="15" t="s">
        <v>14</v>
      </c>
    </row>
    <row r="20" spans="2:16" ht="18" x14ac:dyDescent="0.35">
      <c r="B20" s="53" t="s">
        <v>136</v>
      </c>
      <c r="C20" s="3"/>
      <c r="D20" s="3">
        <f>(1/(2*PI()))*SQRT(CONVERT(D6,"m","mm")/(D14/D4))</f>
        <v>1.7245462132892337</v>
      </c>
      <c r="E20" s="54" t="s">
        <v>134</v>
      </c>
      <c r="F20" s="3"/>
      <c r="G20" s="13"/>
      <c r="I20" s="16" t="s">
        <v>79</v>
      </c>
      <c r="J20" s="7" t="s">
        <v>81</v>
      </c>
      <c r="K20" s="2">
        <f>CONVERT(CONVERT(SQRT(K8*K4*(K17/2)/K14),"m","km"),"hr","s")</f>
        <v>69.437857517053715</v>
      </c>
      <c r="L20" s="7" t="s">
        <v>7</v>
      </c>
      <c r="M20" s="21">
        <f>CONVERT(K20,"km","mi")</f>
        <v>43.14668431177779</v>
      </c>
      <c r="N20" s="17" t="s">
        <v>8</v>
      </c>
    </row>
    <row r="21" spans="2:16" ht="18.75" thickBot="1" x14ac:dyDescent="0.4">
      <c r="B21" s="48" t="s">
        <v>137</v>
      </c>
      <c r="C21" s="18"/>
      <c r="D21" s="18">
        <f>(1/(2*PI()))*SQRT(CONVERT(D7,"m","mm")/(D15/D4))</f>
        <v>2.1213006851020917</v>
      </c>
      <c r="E21" s="49" t="s">
        <v>134</v>
      </c>
      <c r="F21" s="18"/>
      <c r="G21" s="20"/>
      <c r="I21" s="16" t="s">
        <v>79</v>
      </c>
      <c r="J21" s="7" t="s">
        <v>83</v>
      </c>
      <c r="K21" s="2">
        <f>SQRT(K8*K4*(K17/2)/K14)</f>
        <v>19.288293754737143</v>
      </c>
      <c r="L21" s="7" t="s">
        <v>27</v>
      </c>
      <c r="M21" s="2">
        <f>CONVERT(K21,"m","ft")</f>
        <v>63.281803657274089</v>
      </c>
      <c r="N21" s="17" t="s">
        <v>28</v>
      </c>
    </row>
    <row r="22" spans="2:16" ht="18.75" thickBot="1" x14ac:dyDescent="0.4">
      <c r="I22" s="27" t="s">
        <v>80</v>
      </c>
      <c r="J22" s="28" t="s">
        <v>82</v>
      </c>
      <c r="K22" s="29">
        <f>K10*K14/K17</f>
        <v>241.91992608232059</v>
      </c>
      <c r="L22" s="28" t="s">
        <v>15</v>
      </c>
      <c r="M22" s="29">
        <f>CONVERT(K22,"N","lbf")</f>
        <v>54.385762897326572</v>
      </c>
      <c r="N22" s="30" t="s">
        <v>14</v>
      </c>
    </row>
    <row r="23" spans="2:16" ht="18" x14ac:dyDescent="0.35">
      <c r="I23" s="32" t="s">
        <v>44</v>
      </c>
      <c r="J23" s="33" t="s">
        <v>105</v>
      </c>
      <c r="K23" s="38">
        <v>2540</v>
      </c>
      <c r="L23" s="33" t="s">
        <v>47</v>
      </c>
      <c r="M23" s="34">
        <f>CONVERT(K23,"mm","in")</f>
        <v>100</v>
      </c>
      <c r="N23" s="35" t="s">
        <v>46</v>
      </c>
    </row>
    <row r="24" spans="2:16" x14ac:dyDescent="0.25">
      <c r="I24" s="16" t="s">
        <v>116</v>
      </c>
      <c r="J24" s="2"/>
      <c r="K24" s="31">
        <v>400</v>
      </c>
      <c r="L24" s="7" t="s">
        <v>15</v>
      </c>
      <c r="M24" s="2">
        <f>CONVERT(K24,"N","lbf")</f>
        <v>89.923577239884196</v>
      </c>
      <c r="N24" s="17" t="s">
        <v>14</v>
      </c>
    </row>
    <row r="25" spans="2:16" x14ac:dyDescent="0.25">
      <c r="I25" s="16" t="s">
        <v>115</v>
      </c>
      <c r="J25" s="2"/>
      <c r="K25" s="31">
        <v>600</v>
      </c>
      <c r="L25" s="7" t="s">
        <v>15</v>
      </c>
      <c r="M25" s="2">
        <f>CONVERT(K25,"N","lbf")</f>
        <v>134.88536585982629</v>
      </c>
      <c r="N25" s="17" t="s">
        <v>14</v>
      </c>
    </row>
    <row r="26" spans="2:16" x14ac:dyDescent="0.25">
      <c r="I26" s="14" t="s">
        <v>100</v>
      </c>
      <c r="J26" s="2"/>
      <c r="K26" s="31">
        <f>K24+K25</f>
        <v>1000</v>
      </c>
      <c r="L26" s="2" t="s">
        <v>15</v>
      </c>
      <c r="M26" s="2">
        <f>CONVERT(K26,"N","lbf")</f>
        <v>224.80894309971049</v>
      </c>
      <c r="N26" s="17" t="s">
        <v>14</v>
      </c>
    </row>
    <row r="27" spans="2:16" x14ac:dyDescent="0.25">
      <c r="I27" s="14" t="s">
        <v>99</v>
      </c>
      <c r="J27" s="2"/>
      <c r="K27" s="2">
        <f>K5-K26</f>
        <v>0</v>
      </c>
      <c r="L27" s="2" t="s">
        <v>15</v>
      </c>
      <c r="M27" s="2">
        <f>CONVERT(K27,"N","lbf")</f>
        <v>0</v>
      </c>
      <c r="N27" s="17" t="s">
        <v>14</v>
      </c>
    </row>
    <row r="28" spans="2:16" x14ac:dyDescent="0.25">
      <c r="I28" s="14" t="s">
        <v>103</v>
      </c>
      <c r="J28" s="2"/>
      <c r="K28" s="2">
        <f>K27/K26</f>
        <v>0</v>
      </c>
      <c r="L28" s="2" t="s">
        <v>140</v>
      </c>
      <c r="M28" s="2"/>
      <c r="N28" s="17"/>
    </row>
    <row r="29" spans="2:16" x14ac:dyDescent="0.25">
      <c r="I29" s="14" t="s">
        <v>104</v>
      </c>
      <c r="J29" s="2"/>
      <c r="K29" s="2">
        <f>K27/K5</f>
        <v>0</v>
      </c>
      <c r="L29" s="2" t="s">
        <v>140</v>
      </c>
      <c r="M29" s="2"/>
      <c r="N29" s="17"/>
    </row>
    <row r="30" spans="2:16" x14ac:dyDescent="0.25">
      <c r="I30" s="14" t="s">
        <v>118</v>
      </c>
      <c r="J30" s="2"/>
      <c r="K30" s="9">
        <v>30</v>
      </c>
      <c r="L30" s="2" t="s">
        <v>47</v>
      </c>
      <c r="M30" s="2">
        <f>CONVERT(K30,"mm","in")</f>
        <v>1.1811023622047243</v>
      </c>
      <c r="N30" s="17" t="s">
        <v>46</v>
      </c>
    </row>
    <row r="31" spans="2:16" x14ac:dyDescent="0.25">
      <c r="I31" s="14" t="s">
        <v>119</v>
      </c>
      <c r="J31" s="2"/>
      <c r="K31" s="9">
        <v>42</v>
      </c>
      <c r="L31" s="2" t="s">
        <v>47</v>
      </c>
      <c r="M31" s="2">
        <f>CONVERT(K31,"mm","in")</f>
        <v>1.6535433070866143</v>
      </c>
      <c r="N31" s="17" t="s">
        <v>46</v>
      </c>
    </row>
    <row r="32" spans="2:16" x14ac:dyDescent="0.25">
      <c r="I32" s="16" t="s">
        <v>102</v>
      </c>
      <c r="J32" s="7"/>
      <c r="K32" s="9">
        <v>1400</v>
      </c>
      <c r="L32" s="7" t="s">
        <v>47</v>
      </c>
      <c r="M32" s="2"/>
      <c r="N32" s="17"/>
    </row>
    <row r="33" spans="9:25" x14ac:dyDescent="0.25">
      <c r="I33" s="14" t="s">
        <v>101</v>
      </c>
      <c r="J33" s="2"/>
      <c r="K33" s="2">
        <f>K3*K29*K9^2*K8</f>
        <v>0</v>
      </c>
      <c r="L33" s="2" t="s">
        <v>15</v>
      </c>
      <c r="M33" s="2"/>
      <c r="N33" s="17"/>
    </row>
    <row r="34" spans="9:25" x14ac:dyDescent="0.25">
      <c r="I34" s="16" t="s">
        <v>97</v>
      </c>
      <c r="J34" s="7"/>
      <c r="K34" s="2">
        <f>K33*K32/K23</f>
        <v>0</v>
      </c>
      <c r="L34" s="7" t="s">
        <v>15</v>
      </c>
      <c r="M34" s="2">
        <f>CONVERT(K34,"N","lbf")</f>
        <v>0</v>
      </c>
      <c r="N34" s="17" t="s">
        <v>14</v>
      </c>
    </row>
    <row r="35" spans="9:25" x14ac:dyDescent="0.25">
      <c r="I35" s="16" t="s">
        <v>98</v>
      </c>
      <c r="J35" s="7"/>
      <c r="K35" s="2">
        <f>K33*(1-K32/K23)</f>
        <v>0</v>
      </c>
      <c r="L35" s="7" t="s">
        <v>15</v>
      </c>
      <c r="M35" s="2">
        <f>CONVERT(K35,"N","lbf")</f>
        <v>0</v>
      </c>
      <c r="N35" s="17" t="s">
        <v>14</v>
      </c>
    </row>
    <row r="36" spans="9:25" x14ac:dyDescent="0.25">
      <c r="I36" s="16" t="s">
        <v>113</v>
      </c>
      <c r="J36" s="7"/>
      <c r="K36" s="2">
        <f>K3*((K24/K26)*(1-K29))*K9^2*K8</f>
        <v>121.0591918869693</v>
      </c>
      <c r="L36" s="7" t="s">
        <v>15</v>
      </c>
      <c r="M36" s="2">
        <f>CONVERT(K36,"N","lbf")</f>
        <v>27.215188980614613</v>
      </c>
      <c r="N36" s="17" t="s">
        <v>14</v>
      </c>
      <c r="V36" s="1"/>
    </row>
    <row r="37" spans="9:25" x14ac:dyDescent="0.25">
      <c r="I37" s="16" t="s">
        <v>114</v>
      </c>
      <c r="J37" s="7"/>
      <c r="K37" s="2">
        <f>K3*((K25/K26)*(1-K29))*K9^2*K8</f>
        <v>181.58878783045392</v>
      </c>
      <c r="L37" s="7" t="s">
        <v>15</v>
      </c>
      <c r="M37" s="2">
        <f>CONVERT(K37,"N","lbf")</f>
        <v>40.822783470921912</v>
      </c>
      <c r="N37" s="17" t="s">
        <v>14</v>
      </c>
      <c r="Y37" s="1"/>
    </row>
    <row r="38" spans="9:25" x14ac:dyDescent="0.25">
      <c r="I38" s="14" t="s">
        <v>89</v>
      </c>
      <c r="J38" s="2"/>
      <c r="K38" s="2"/>
      <c r="L38" s="2" t="s">
        <v>123</v>
      </c>
      <c r="M38" s="2">
        <f>CONVERT(CONVERT(K38,"N","lbf"),"in","mm")</f>
        <v>0</v>
      </c>
      <c r="N38" s="15" t="s">
        <v>124</v>
      </c>
      <c r="W38" s="1"/>
    </row>
    <row r="39" spans="9:25" x14ac:dyDescent="0.25">
      <c r="I39" s="14" t="s">
        <v>87</v>
      </c>
      <c r="J39" s="2"/>
      <c r="K39" s="2"/>
      <c r="L39" s="2" t="s">
        <v>123</v>
      </c>
      <c r="M39" s="2">
        <f>CONVERT(CONVERT(K39,"N","lbf"),"in","mm")</f>
        <v>0</v>
      </c>
      <c r="N39" s="15" t="s">
        <v>124</v>
      </c>
    </row>
    <row r="40" spans="9:25" x14ac:dyDescent="0.25">
      <c r="I40" s="14" t="s">
        <v>88</v>
      </c>
      <c r="J40" s="2"/>
      <c r="K40" s="2"/>
      <c r="L40" s="2" t="s">
        <v>123</v>
      </c>
      <c r="M40" s="2">
        <f>CONVERT(CONVERT(K40,"N","lbf"),"in","mm")</f>
        <v>0</v>
      </c>
      <c r="N40" s="15" t="s">
        <v>124</v>
      </c>
    </row>
    <row r="41" spans="9:25" x14ac:dyDescent="0.25">
      <c r="I41" s="14" t="s">
        <v>91</v>
      </c>
      <c r="J41" s="2"/>
      <c r="K41" s="2"/>
      <c r="L41" s="2"/>
      <c r="M41" s="2"/>
      <c r="N41" s="15"/>
    </row>
    <row r="42" spans="9:25" x14ac:dyDescent="0.25">
      <c r="I42" s="14" t="s">
        <v>86</v>
      </c>
      <c r="J42" s="2"/>
      <c r="K42" s="2" t="e">
        <f>K39/K38*K41</f>
        <v>#DIV/0!</v>
      </c>
      <c r="L42" s="2"/>
      <c r="M42" s="2"/>
      <c r="N42" s="15"/>
    </row>
    <row r="43" spans="9:25" x14ac:dyDescent="0.25">
      <c r="I43" s="14" t="s">
        <v>90</v>
      </c>
      <c r="J43" s="2"/>
      <c r="K43" s="2" t="e">
        <f>K40/K38*K41</f>
        <v>#DIV/0!</v>
      </c>
      <c r="L43" s="2"/>
      <c r="M43" s="2"/>
      <c r="N43" s="15"/>
    </row>
    <row r="44" spans="9:25" x14ac:dyDescent="0.25">
      <c r="I44" s="14" t="s">
        <v>110</v>
      </c>
      <c r="J44" s="2"/>
      <c r="K44" s="9">
        <v>120</v>
      </c>
      <c r="L44" s="2" t="s">
        <v>47</v>
      </c>
      <c r="M44" s="21">
        <f>CONVERT(K44,"mm","in")</f>
        <v>4.7244094488188972</v>
      </c>
      <c r="N44" s="15" t="s">
        <v>46</v>
      </c>
    </row>
    <row r="45" spans="9:25" x14ac:dyDescent="0.25">
      <c r="I45" s="14" t="s">
        <v>111</v>
      </c>
      <c r="J45" s="2"/>
      <c r="K45" s="9">
        <v>120</v>
      </c>
      <c r="L45" s="2" t="s">
        <v>47</v>
      </c>
      <c r="M45" s="21">
        <f>CONVERT(K45,"mm","in")</f>
        <v>4.7244094488188972</v>
      </c>
      <c r="N45" s="15" t="s">
        <v>46</v>
      </c>
    </row>
    <row r="46" spans="9:25" x14ac:dyDescent="0.25">
      <c r="I46" s="14" t="s">
        <v>92</v>
      </c>
      <c r="J46" s="2"/>
      <c r="K46" s="2" t="e">
        <f>K42/K15</f>
        <v>#DIV/0!</v>
      </c>
      <c r="L46" s="2" t="s">
        <v>15</v>
      </c>
      <c r="M46" s="2" t="e">
        <f t="shared" ref="M46:M47" si="1">CONVERT(K46,"N","lbf")</f>
        <v>#DIV/0!</v>
      </c>
      <c r="N46" s="15" t="s">
        <v>14</v>
      </c>
    </row>
    <row r="47" spans="9:25" x14ac:dyDescent="0.25">
      <c r="I47" s="14" t="s">
        <v>96</v>
      </c>
      <c r="J47" s="2"/>
      <c r="K47" s="2" t="e">
        <f>K43/K16</f>
        <v>#DIV/0!</v>
      </c>
      <c r="L47" s="2" t="s">
        <v>15</v>
      </c>
      <c r="M47" s="2" t="e">
        <f t="shared" si="1"/>
        <v>#DIV/0!</v>
      </c>
      <c r="N47" s="15" t="s">
        <v>14</v>
      </c>
    </row>
    <row r="48" spans="9:25" x14ac:dyDescent="0.25">
      <c r="I48" s="14" t="s">
        <v>109</v>
      </c>
      <c r="J48" s="2"/>
      <c r="K48" s="2">
        <f>K34*K44/K15</f>
        <v>0</v>
      </c>
      <c r="L48" s="2" t="s">
        <v>15</v>
      </c>
      <c r="M48" s="2">
        <f t="shared" ref="M48:M49" si="2">CONVERT(K48,"N","lbf")</f>
        <v>0</v>
      </c>
      <c r="N48" s="15" t="s">
        <v>14</v>
      </c>
    </row>
    <row r="49" spans="9:14" x14ac:dyDescent="0.25">
      <c r="I49" s="14" t="s">
        <v>112</v>
      </c>
      <c r="J49" s="2"/>
      <c r="K49" s="2">
        <f>K35*K45/K16</f>
        <v>0</v>
      </c>
      <c r="L49" s="2" t="s">
        <v>15</v>
      </c>
      <c r="M49" s="2">
        <f t="shared" si="2"/>
        <v>0</v>
      </c>
      <c r="N49" s="15" t="s">
        <v>14</v>
      </c>
    </row>
    <row r="50" spans="9:14" x14ac:dyDescent="0.25">
      <c r="I50" s="14" t="s">
        <v>117</v>
      </c>
      <c r="J50" s="2"/>
      <c r="K50" s="2">
        <f>K36*K30/K15</f>
        <v>2.3814922994157897</v>
      </c>
      <c r="L50" s="2" t="s">
        <v>15</v>
      </c>
      <c r="M50" s="2">
        <f>CONVERT(K50,"N","lbf")</f>
        <v>0.53538076683176294</v>
      </c>
      <c r="N50" s="15" t="s">
        <v>14</v>
      </c>
    </row>
    <row r="51" spans="9:14" x14ac:dyDescent="0.25">
      <c r="I51" s="14" t="s">
        <v>122</v>
      </c>
      <c r="J51" s="2"/>
      <c r="K51" s="2">
        <f>K37*K31/K16</f>
        <v>5.001133828773157</v>
      </c>
      <c r="L51" s="2" t="s">
        <v>15</v>
      </c>
      <c r="M51" s="2">
        <f>CONVERT(K51,"N","lbf")</f>
        <v>1.1242996103467018</v>
      </c>
      <c r="N51" s="15" t="s">
        <v>14</v>
      </c>
    </row>
    <row r="52" spans="9:14" x14ac:dyDescent="0.25">
      <c r="I52" s="14" t="s">
        <v>121</v>
      </c>
      <c r="J52" s="2"/>
      <c r="K52" s="2" t="e">
        <f>K50+K48+K46</f>
        <v>#DIV/0!</v>
      </c>
      <c r="L52" s="2" t="s">
        <v>15</v>
      </c>
      <c r="M52" s="2" t="e">
        <f>CONVERT(K52,"N","lbf")</f>
        <v>#DIV/0!</v>
      </c>
      <c r="N52" s="15" t="s">
        <v>14</v>
      </c>
    </row>
    <row r="53" spans="9:14" ht="15.75" thickBot="1" x14ac:dyDescent="0.3">
      <c r="I53" s="19" t="s">
        <v>120</v>
      </c>
      <c r="J53" s="18"/>
      <c r="K53" s="18" t="e">
        <f>K51+K49+K47</f>
        <v>#DIV/0!</v>
      </c>
      <c r="L53" s="18" t="s">
        <v>15</v>
      </c>
      <c r="M53" s="18" t="e">
        <f>CONVERT(K53,"N","lbf")</f>
        <v>#DIV/0!</v>
      </c>
      <c r="N53" s="20" t="s">
        <v>14</v>
      </c>
    </row>
  </sheetData>
  <mergeCells count="3">
    <mergeCell ref="I1:N1"/>
    <mergeCell ref="P1:U1"/>
    <mergeCell ref="B1:G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44D8B-81AD-4FC0-94F4-836922D49D39}">
  <dimension ref="B1:E12"/>
  <sheetViews>
    <sheetView workbookViewId="0">
      <selection activeCell="C13" sqref="C13"/>
    </sheetView>
  </sheetViews>
  <sheetFormatPr defaultRowHeight="15" x14ac:dyDescent="0.25"/>
  <cols>
    <col min="2" max="2" width="4.5703125" bestFit="1" customWidth="1"/>
    <col min="3" max="3" width="16.28515625" bestFit="1" customWidth="1"/>
    <col min="4" max="4" width="8.85546875" bestFit="1" customWidth="1"/>
  </cols>
  <sheetData>
    <row r="1" spans="2:5" x14ac:dyDescent="0.25">
      <c r="B1" t="s">
        <v>32</v>
      </c>
      <c r="C1" t="s">
        <v>33</v>
      </c>
      <c r="D1" t="s">
        <v>34</v>
      </c>
    </row>
    <row r="2" spans="2:5" x14ac:dyDescent="0.25">
      <c r="B2" t="s">
        <v>29</v>
      </c>
      <c r="C2" t="s">
        <v>30</v>
      </c>
      <c r="D2" t="s">
        <v>31</v>
      </c>
      <c r="E2" t="s">
        <v>37</v>
      </c>
    </row>
    <row r="3" spans="2:5" x14ac:dyDescent="0.25">
      <c r="B3" t="s">
        <v>29</v>
      </c>
      <c r="C3" t="s">
        <v>35</v>
      </c>
      <c r="D3" t="s">
        <v>36</v>
      </c>
    </row>
    <row r="4" spans="2:5" x14ac:dyDescent="0.25">
      <c r="B4" t="s">
        <v>29</v>
      </c>
      <c r="C4" t="s">
        <v>38</v>
      </c>
      <c r="D4" t="s">
        <v>39</v>
      </c>
    </row>
    <row r="5" spans="2:5" x14ac:dyDescent="0.25">
      <c r="B5" t="s">
        <v>29</v>
      </c>
      <c r="C5" t="s">
        <v>40</v>
      </c>
      <c r="D5" t="s">
        <v>41</v>
      </c>
    </row>
    <row r="11" spans="2:5" x14ac:dyDescent="0.25">
      <c r="C11" t="s">
        <v>126</v>
      </c>
      <c r="D11" t="s">
        <v>18</v>
      </c>
    </row>
    <row r="12" spans="2:5" x14ac:dyDescent="0.25">
      <c r="C12" t="s">
        <v>127</v>
      </c>
      <c r="D12" t="s"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Williams, Justin</dc:creator>
  <cp:lastModifiedBy>Williams, Justin</cp:lastModifiedBy>
  <dcterms:created xsi:type="dcterms:W3CDTF">2022-05-06T19:21:12Z</dcterms:created>
  <dcterms:modified xsi:type="dcterms:W3CDTF">2022-05-16T21:04:24Z</dcterms:modified>
</cp:coreProperties>
</file>