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https://ontextron-my.sharepoint.com/personal/jwilli42_txt_textron_com/Documents/Desktop/Temp folder to place stuff in then delete/to Github/"/>
    </mc:Choice>
  </mc:AlternateContent>
  <xr:revisionPtr revIDLastSave="0" documentId="8_{4574A7C7-5FAF-4F3E-9F50-BCA611F1D182}" xr6:coauthVersionLast="46" xr6:coauthVersionMax="47" xr10:uidLastSave="{00000000-0000-0000-0000-000000000000}"/>
  <bookViews>
    <workbookView xWindow="-120" yWindow="-120" windowWidth="29040" windowHeight="15840" activeTab="2" xr2:uid="{04A79667-6018-424B-B86F-81BB0AF6D10B}"/>
  </bookViews>
  <sheets>
    <sheet name="Reference" sheetId="2" r:id="rId1"/>
    <sheet name="Pinion Calcs" sheetId="1" r:id="rId2"/>
    <sheet name="GearTrain Force" sheetId="17" r:id="rId3"/>
  </sheets>
  <definedNames>
    <definedName name="Angular_Direction">Reference!$AB$5:$AC$5</definedName>
    <definedName name="Gear_Condition">Reference!$AB$8:$AF$8</definedName>
    <definedName name="Gear_External_or_Internal">Reference!$AB$9:$AC$9</definedName>
    <definedName name="Left_Right">Reference!$AB$4:$AC$4</definedName>
    <definedName name="Letters">Reference!$AC$2:$AH$2</definedName>
    <definedName name="Number_Gears">Reference!$AB$3:$AH$3</definedName>
    <definedName name="Shaping_Process">Reference!$AB$6:$AI$6</definedName>
    <definedName name="Tooth_Form">Reference!$AB$10:$AC$10</definedName>
    <definedName name="Yes_No">Reference!$AB$7:$AC$7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0" i="1" l="1"/>
  <c r="I12" i="17"/>
  <c r="I11" i="17"/>
  <c r="G12" i="17"/>
  <c r="H12" i="17"/>
  <c r="BC1746" i="17" l="1"/>
  <c r="BC1745" i="17"/>
  <c r="BC1744" i="17"/>
  <c r="BC1743" i="17"/>
  <c r="BC1742" i="17"/>
  <c r="BC1741" i="17"/>
  <c r="BC1740" i="17"/>
  <c r="D826" i="17"/>
  <c r="D825" i="17"/>
  <c r="D824" i="17"/>
  <c r="D823" i="17"/>
  <c r="D822" i="17"/>
  <c r="D821" i="17"/>
  <c r="D820" i="17"/>
  <c r="D819" i="17"/>
  <c r="D818" i="17"/>
  <c r="D817" i="17"/>
  <c r="D816" i="17"/>
  <c r="D815" i="17"/>
  <c r="D814" i="17"/>
  <c r="D813" i="17"/>
  <c r="O804" i="17"/>
  <c r="M804" i="17"/>
  <c r="K804" i="17"/>
  <c r="I804" i="17"/>
  <c r="G804" i="17"/>
  <c r="E804" i="17"/>
  <c r="Q803" i="17"/>
  <c r="O803" i="17"/>
  <c r="M803" i="17"/>
  <c r="K803" i="17"/>
  <c r="I803" i="17"/>
  <c r="G803" i="17"/>
  <c r="O802" i="17"/>
  <c r="M802" i="17"/>
  <c r="K802" i="17"/>
  <c r="I802" i="17"/>
  <c r="G802" i="17"/>
  <c r="E802" i="17"/>
  <c r="Q801" i="17"/>
  <c r="O801" i="17"/>
  <c r="M801" i="17"/>
  <c r="K801" i="17"/>
  <c r="I801" i="17"/>
  <c r="G801" i="17"/>
  <c r="O800" i="17"/>
  <c r="M800" i="17"/>
  <c r="K800" i="17"/>
  <c r="I800" i="17"/>
  <c r="G800" i="17"/>
  <c r="E800" i="17"/>
  <c r="Q799" i="17"/>
  <c r="O799" i="17"/>
  <c r="M799" i="17"/>
  <c r="K799" i="17"/>
  <c r="I799" i="17"/>
  <c r="G799" i="17"/>
  <c r="S782" i="17"/>
  <c r="Q782" i="17"/>
  <c r="F782" i="17"/>
  <c r="E782" i="17"/>
  <c r="S781" i="17"/>
  <c r="Q781" i="17"/>
  <c r="F781" i="17"/>
  <c r="E781" i="17"/>
  <c r="S780" i="17"/>
  <c r="Q780" i="17"/>
  <c r="F780" i="17"/>
  <c r="E780" i="17"/>
  <c r="S779" i="17"/>
  <c r="Q779" i="17"/>
  <c r="F779" i="17"/>
  <c r="E779" i="17"/>
  <c r="S778" i="17"/>
  <c r="Q778" i="17"/>
  <c r="F778" i="17"/>
  <c r="E778" i="17"/>
  <c r="S777" i="17"/>
  <c r="Q777" i="17"/>
  <c r="F777" i="17"/>
  <c r="E777" i="17"/>
  <c r="U776" i="17"/>
  <c r="T776" i="17"/>
  <c r="V776" i="17" s="1"/>
  <c r="N11" i="17" s="1"/>
  <c r="O776" i="17"/>
  <c r="P776" i="17" s="1"/>
  <c r="R776" i="17" s="1"/>
  <c r="I776" i="17"/>
  <c r="F776" i="17"/>
  <c r="E776" i="17"/>
  <c r="G773" i="17"/>
  <c r="T772" i="17"/>
  <c r="G772" i="17"/>
  <c r="G771" i="17"/>
  <c r="H786" i="17" s="1"/>
  <c r="G770" i="17"/>
  <c r="Q35" i="17"/>
  <c r="O35" i="17"/>
  <c r="S21" i="17"/>
  <c r="R21" i="17"/>
  <c r="N21" i="17"/>
  <c r="P21" i="17" s="1"/>
  <c r="M21" i="17"/>
  <c r="O21" i="17" s="1"/>
  <c r="Q21" i="17" s="1"/>
  <c r="K21" i="17"/>
  <c r="J21" i="17"/>
  <c r="I21" i="17"/>
  <c r="H21" i="17"/>
  <c r="F21" i="17"/>
  <c r="E21" i="17"/>
  <c r="C21" i="17"/>
  <c r="P20" i="17"/>
  <c r="N20" i="17"/>
  <c r="L20" i="17"/>
  <c r="J20" i="17"/>
  <c r="H20" i="17"/>
  <c r="R19" i="17"/>
  <c r="D19" i="17"/>
  <c r="Q11" i="17"/>
  <c r="Q10" i="17"/>
  <c r="Q9" i="17"/>
  <c r="I786" i="17" l="1"/>
  <c r="E22" i="17" s="1"/>
  <c r="I813" i="17"/>
  <c r="Q813" i="17" s="1"/>
  <c r="AA813" i="17" s="1"/>
  <c r="AH813" i="17" s="1"/>
  <c r="P813" i="17"/>
  <c r="Z813" i="17"/>
  <c r="I826" i="17"/>
  <c r="J826" i="17" s="1"/>
  <c r="P826" i="17"/>
  <c r="Z826" i="17"/>
  <c r="P798" i="17"/>
  <c r="N813" i="17"/>
  <c r="N821" i="17"/>
  <c r="P30" i="17" s="1"/>
  <c r="N814" i="17"/>
  <c r="N822" i="17"/>
  <c r="N815" i="17"/>
  <c r="N824" i="17"/>
  <c r="N816" i="17"/>
  <c r="N825" i="17"/>
  <c r="N818" i="17"/>
  <c r="N819" i="17"/>
  <c r="P28" i="17" s="1"/>
  <c r="N817" i="17"/>
  <c r="P26" i="17" s="1"/>
  <c r="N826" i="17"/>
  <c r="N823" i="17"/>
  <c r="N820" i="17"/>
  <c r="P33" i="17"/>
  <c r="M813" i="17"/>
  <c r="AQ813" i="17" s="1"/>
  <c r="L813" i="17"/>
  <c r="AO813" i="17" s="1"/>
  <c r="K798" i="17"/>
  <c r="M798" i="17"/>
  <c r="H798" i="17"/>
  <c r="BS1757" i="17"/>
  <c r="D22" i="17"/>
  <c r="N798" i="17"/>
  <c r="E798" i="17"/>
  <c r="O798" i="17"/>
  <c r="F798" i="17"/>
  <c r="L798" i="17"/>
  <c r="D798" i="17"/>
  <c r="D778" i="17"/>
  <c r="R798" i="17"/>
  <c r="J798" i="17"/>
  <c r="D780" i="17"/>
  <c r="D776" i="17"/>
  <c r="D786" i="17" s="1"/>
  <c r="D777" i="17"/>
  <c r="G798" i="17"/>
  <c r="Q798" i="17"/>
  <c r="D779" i="17"/>
  <c r="D781" i="17"/>
  <c r="D782" i="17"/>
  <c r="I798" i="17"/>
  <c r="M826" i="17"/>
  <c r="L826" i="17"/>
  <c r="Q826" i="17" l="1"/>
  <c r="AA826" i="17" s="1"/>
  <c r="J813" i="17"/>
  <c r="Y813" i="17" s="1"/>
  <c r="H22" i="17" s="1"/>
  <c r="AF813" i="17"/>
  <c r="X813" i="17"/>
  <c r="V813" i="17"/>
  <c r="N35" i="17"/>
  <c r="N22" i="17"/>
  <c r="L35" i="17"/>
  <c r="P24" i="17"/>
  <c r="P31" i="17"/>
  <c r="P34" i="17"/>
  <c r="P23" i="17"/>
  <c r="P27" i="17"/>
  <c r="O826" i="17"/>
  <c r="J35" i="17" s="1"/>
  <c r="Y826" i="17"/>
  <c r="H35" i="17" s="1"/>
  <c r="W813" i="17"/>
  <c r="L22" i="17"/>
  <c r="C15" i="17"/>
  <c r="D790" i="17"/>
  <c r="C17" i="17"/>
  <c r="D792" i="17"/>
  <c r="C13" i="17"/>
  <c r="D788" i="17"/>
  <c r="C14" i="17"/>
  <c r="D789" i="17"/>
  <c r="C12" i="17"/>
  <c r="D787" i="17"/>
  <c r="C16" i="17"/>
  <c r="D791" i="17"/>
  <c r="AE813" i="17"/>
  <c r="AG813" i="17"/>
  <c r="C11" i="17"/>
  <c r="G11" i="17"/>
  <c r="H776" i="17" s="1"/>
  <c r="U813" i="17"/>
  <c r="P22" i="17"/>
  <c r="AE826" i="17"/>
  <c r="U826" i="17"/>
  <c r="AO826" i="17"/>
  <c r="E792" i="17"/>
  <c r="C792" i="17"/>
  <c r="B782" i="17"/>
  <c r="G792" i="17"/>
  <c r="P32" i="17"/>
  <c r="H787" i="17"/>
  <c r="H788" i="17" s="1"/>
  <c r="H789" i="17" s="1"/>
  <c r="H790" i="17" s="1"/>
  <c r="E787" i="17"/>
  <c r="F13" i="17" s="1"/>
  <c r="G778" i="17" s="1"/>
  <c r="B777" i="17"/>
  <c r="G787" i="17"/>
  <c r="P25" i="17"/>
  <c r="BT1757" i="17"/>
  <c r="E788" i="17"/>
  <c r="B778" i="17"/>
  <c r="G788" i="17"/>
  <c r="P35" i="17"/>
  <c r="B781" i="17"/>
  <c r="G791" i="17"/>
  <c r="E791" i="17"/>
  <c r="AL826" i="17"/>
  <c r="AB826" i="17"/>
  <c r="I35" i="17"/>
  <c r="AL813" i="17"/>
  <c r="AB813" i="17"/>
  <c r="I22" i="17"/>
  <c r="B779" i="17"/>
  <c r="G789" i="17"/>
  <c r="E789" i="17"/>
  <c r="BD1742" i="17"/>
  <c r="H826" i="17"/>
  <c r="BA825" i="17" s="1"/>
  <c r="F824" i="17"/>
  <c r="BD1745" i="17"/>
  <c r="BD1740" i="17"/>
  <c r="BD1743" i="17"/>
  <c r="BD1746" i="17"/>
  <c r="BD1744" i="17"/>
  <c r="H825" i="17"/>
  <c r="F823" i="17"/>
  <c r="H822" i="17"/>
  <c r="F820" i="17"/>
  <c r="H817" i="17"/>
  <c r="BD1741" i="17"/>
  <c r="F825" i="17"/>
  <c r="F822" i="17"/>
  <c r="F817" i="17"/>
  <c r="F821" i="17"/>
  <c r="H813" i="17"/>
  <c r="E786" i="17"/>
  <c r="H820" i="17"/>
  <c r="H819" i="17"/>
  <c r="H815" i="17"/>
  <c r="H814" i="17"/>
  <c r="F813" i="17"/>
  <c r="F819" i="17"/>
  <c r="H816" i="17"/>
  <c r="F814" i="17"/>
  <c r="H823" i="17"/>
  <c r="H818" i="17"/>
  <c r="F816" i="17"/>
  <c r="F815" i="17"/>
  <c r="H824" i="17"/>
  <c r="F826" i="17"/>
  <c r="G786" i="17"/>
  <c r="C786" i="17"/>
  <c r="F11" i="17"/>
  <c r="G776" i="17" s="1"/>
  <c r="B776" i="17"/>
  <c r="H821" i="17"/>
  <c r="F818" i="17"/>
  <c r="J786" i="17"/>
  <c r="F22" i="17" s="1"/>
  <c r="S813" i="17"/>
  <c r="AN813" i="17" s="1"/>
  <c r="T813" i="17"/>
  <c r="AJ813" i="17"/>
  <c r="R813" i="17"/>
  <c r="AM813" i="17" s="1"/>
  <c r="AK813" i="17" s="1"/>
  <c r="AI813" i="17" s="1"/>
  <c r="K22" i="17"/>
  <c r="E790" i="17"/>
  <c r="B780" i="17"/>
  <c r="G790" i="17"/>
  <c r="W826" i="17"/>
  <c r="AG826" i="17"/>
  <c r="AQ826" i="17"/>
  <c r="AJ826" i="17"/>
  <c r="R826" i="17"/>
  <c r="AM826" i="17" s="1"/>
  <c r="T826" i="17"/>
  <c r="S826" i="17"/>
  <c r="AN826" i="17" s="1"/>
  <c r="P29" i="17"/>
  <c r="V826" i="17" l="1"/>
  <c r="X826" i="17"/>
  <c r="O813" i="17"/>
  <c r="J22" i="17" s="1"/>
  <c r="F14" i="17"/>
  <c r="G779" i="17" s="1"/>
  <c r="F15" i="17" s="1"/>
  <c r="G780" i="17" s="1"/>
  <c r="F16" i="17" s="1"/>
  <c r="G781" i="17" s="1"/>
  <c r="AS823" i="17"/>
  <c r="R32" i="17" s="1"/>
  <c r="AS825" i="17"/>
  <c r="R34" i="17" s="1"/>
  <c r="I787" i="17"/>
  <c r="I788" i="17" s="1"/>
  <c r="I789" i="17" s="1"/>
  <c r="I790" i="17" s="1"/>
  <c r="I791" i="17" s="1"/>
  <c r="I792" i="17" s="1"/>
  <c r="AS817" i="17"/>
  <c r="R26" i="17" s="1"/>
  <c r="AS821" i="17"/>
  <c r="R30" i="17" s="1"/>
  <c r="AS815" i="17"/>
  <c r="R24" i="17" s="1"/>
  <c r="AS813" i="17"/>
  <c r="R22" i="17" s="1"/>
  <c r="AS819" i="17"/>
  <c r="R28" i="17" s="1"/>
  <c r="C791" i="17"/>
  <c r="H777" i="17"/>
  <c r="G13" i="17" s="1"/>
  <c r="C787" i="17"/>
  <c r="F12" i="17"/>
  <c r="G777" i="17" s="1"/>
  <c r="J776" i="17"/>
  <c r="K813" i="17" s="1"/>
  <c r="BG1745" i="17"/>
  <c r="AF826" i="17"/>
  <c r="AH826" i="17"/>
  <c r="BA821" i="17"/>
  <c r="C28" i="17"/>
  <c r="AD813" i="17"/>
  <c r="AC813" i="17"/>
  <c r="C32" i="17"/>
  <c r="O22" i="17"/>
  <c r="Q22" i="17"/>
  <c r="M22" i="17"/>
  <c r="BA813" i="17"/>
  <c r="BG1746" i="17"/>
  <c r="C26" i="17"/>
  <c r="C24" i="17"/>
  <c r="AK826" i="17"/>
  <c r="AI826" i="17" s="1"/>
  <c r="BG1741" i="17"/>
  <c r="AR813" i="17"/>
  <c r="AP813" i="17"/>
  <c r="BA823" i="17"/>
  <c r="BG1743" i="17"/>
  <c r="BG1742" i="17"/>
  <c r="BW1757" i="17"/>
  <c r="D26" i="17"/>
  <c r="C788" i="17"/>
  <c r="C30" i="17"/>
  <c r="AC826" i="17"/>
  <c r="AD826" i="17"/>
  <c r="BU1757" i="17"/>
  <c r="D24" i="17"/>
  <c r="BA817" i="17"/>
  <c r="BG1744" i="17"/>
  <c r="C790" i="17"/>
  <c r="C821" i="17"/>
  <c r="E821" i="17" s="1"/>
  <c r="G30" i="17" s="1"/>
  <c r="C818" i="17"/>
  <c r="E818" i="17" s="1"/>
  <c r="G27" i="17" s="1"/>
  <c r="C820" i="17"/>
  <c r="E820" i="17" s="1"/>
  <c r="G29" i="17" s="1"/>
  <c r="C815" i="17"/>
  <c r="E815" i="17" s="1"/>
  <c r="G24" i="17" s="1"/>
  <c r="C816" i="17"/>
  <c r="E816" i="17" s="1"/>
  <c r="G25" i="17" s="1"/>
  <c r="C822" i="17"/>
  <c r="E822" i="17" s="1"/>
  <c r="G31" i="17" s="1"/>
  <c r="C814" i="17"/>
  <c r="E814" i="17" s="1"/>
  <c r="G23" i="17" s="1"/>
  <c r="C813" i="17"/>
  <c r="E813" i="17" s="1"/>
  <c r="G22" i="17" s="1"/>
  <c r="C819" i="17"/>
  <c r="E819" i="17" s="1"/>
  <c r="G28" i="17" s="1"/>
  <c r="C817" i="17"/>
  <c r="E817" i="17" s="1"/>
  <c r="G26" i="17" s="1"/>
  <c r="C22" i="17"/>
  <c r="BA815" i="17"/>
  <c r="BA819" i="17"/>
  <c r="BG1740" i="17"/>
  <c r="C789" i="17"/>
  <c r="J787" i="17"/>
  <c r="CA1757" i="17"/>
  <c r="D30" i="17"/>
  <c r="BY1757" i="17"/>
  <c r="D28" i="17"/>
  <c r="H791" i="17"/>
  <c r="C824" i="17" s="1"/>
  <c r="E824" i="17" s="1"/>
  <c r="G33" i="17" s="1"/>
  <c r="K792" i="17"/>
  <c r="C34" i="17"/>
  <c r="E24" i="17" l="1"/>
  <c r="F17" i="17"/>
  <c r="G782" i="17" s="1"/>
  <c r="K786" i="17"/>
  <c r="N776" i="17"/>
  <c r="M776" i="17"/>
  <c r="BE1740" i="17"/>
  <c r="BD1785" i="17" s="1"/>
  <c r="K814" i="17"/>
  <c r="C823" i="17"/>
  <c r="E823" i="17" s="1"/>
  <c r="G32" i="17" s="1"/>
  <c r="N792" i="17"/>
  <c r="L792" i="17"/>
  <c r="M792" i="17"/>
  <c r="O792" i="17"/>
  <c r="I777" i="17"/>
  <c r="F24" i="17"/>
  <c r="J788" i="17"/>
  <c r="BX1757" i="17"/>
  <c r="BV1757" i="17"/>
  <c r="BZ1757" i="17"/>
  <c r="AR826" i="17"/>
  <c r="AP826" i="17"/>
  <c r="CB1757" i="17"/>
  <c r="CC1757" i="17"/>
  <c r="D32" i="17"/>
  <c r="H792" i="17"/>
  <c r="E26" i="17"/>
  <c r="H778" i="17" l="1"/>
  <c r="G14" i="17" s="1"/>
  <c r="Z814" i="17"/>
  <c r="Z815" i="17" s="1"/>
  <c r="I24" i="17" s="1"/>
  <c r="F800" i="17"/>
  <c r="H799" i="17" s="1"/>
  <c r="H808" i="17" s="1"/>
  <c r="M786" i="17"/>
  <c r="F804" i="17" s="1"/>
  <c r="H803" i="17" s="1"/>
  <c r="L786" i="17"/>
  <c r="BD1765" i="17"/>
  <c r="BD1793" i="17"/>
  <c r="BD1777" i="17"/>
  <c r="BD1767" i="17"/>
  <c r="BD1770" i="17"/>
  <c r="BD1769" i="17"/>
  <c r="BD1762" i="17"/>
  <c r="BD1764" i="17"/>
  <c r="BD1784" i="17"/>
  <c r="BD1776" i="17"/>
  <c r="BD1772" i="17"/>
  <c r="BD1774" i="17"/>
  <c r="BD1782" i="17"/>
  <c r="BD1771" i="17"/>
  <c r="BD1758" i="17"/>
  <c r="BD1791" i="17"/>
  <c r="BD1789" i="17"/>
  <c r="BD1778" i="17"/>
  <c r="BD1775" i="17"/>
  <c r="BD1768" i="17"/>
  <c r="BD1790" i="17"/>
  <c r="BD1783" i="17"/>
  <c r="BD1761" i="17"/>
  <c r="BD1786" i="17"/>
  <c r="BD1779" i="17"/>
  <c r="BD1760" i="17"/>
  <c r="BD1763" i="17"/>
  <c r="BD1759" i="17"/>
  <c r="BD1792" i="17"/>
  <c r="BD1787" i="17"/>
  <c r="BD1780" i="17"/>
  <c r="BD1766" i="17"/>
  <c r="BD1781" i="17"/>
  <c r="BD1794" i="17"/>
  <c r="BD1788" i="17"/>
  <c r="BD1773" i="17"/>
  <c r="E28" i="17"/>
  <c r="I13" i="17"/>
  <c r="J777" i="17"/>
  <c r="CE1757" i="17"/>
  <c r="D34" i="17"/>
  <c r="C825" i="17"/>
  <c r="E825" i="17" s="1"/>
  <c r="G34" i="17" s="1"/>
  <c r="C826" i="17"/>
  <c r="E826" i="17" s="1"/>
  <c r="G35" i="17" s="1"/>
  <c r="CD1757" i="17"/>
  <c r="F26" i="17"/>
  <c r="J789" i="17"/>
  <c r="C58" i="1"/>
  <c r="C45" i="1"/>
  <c r="C71" i="1"/>
  <c r="H779" i="17" l="1"/>
  <c r="G15" i="17" s="1"/>
  <c r="N786" i="17"/>
  <c r="O786" i="17" s="1"/>
  <c r="P814" i="17"/>
  <c r="K23" i="17" s="1"/>
  <c r="I23" i="17"/>
  <c r="AB814" i="17"/>
  <c r="F802" i="17"/>
  <c r="H801" i="17" s="1"/>
  <c r="H807" i="17" s="1"/>
  <c r="H809" i="17" s="1"/>
  <c r="F808" i="17"/>
  <c r="C72" i="1"/>
  <c r="BD1754" i="17"/>
  <c r="BD1755" i="17"/>
  <c r="M777" i="17"/>
  <c r="K816" i="17"/>
  <c r="BE1741" i="17"/>
  <c r="K815" i="17"/>
  <c r="AB815" i="17" s="1"/>
  <c r="K787" i="17"/>
  <c r="Z816" i="17" s="1"/>
  <c r="Z817" i="17" s="1"/>
  <c r="I778" i="17"/>
  <c r="F28" i="17"/>
  <c r="J790" i="17"/>
  <c r="CF1757" i="17"/>
  <c r="E34" i="17"/>
  <c r="E30" i="17"/>
  <c r="C12" i="1"/>
  <c r="C100" i="1" s="1"/>
  <c r="C99" i="1"/>
  <c r="C97" i="1"/>
  <c r="C95" i="1"/>
  <c r="C93" i="1"/>
  <c r="C83" i="1"/>
  <c r="C88" i="1"/>
  <c r="C86" i="1"/>
  <c r="C85" i="1"/>
  <c r="C84" i="1"/>
  <c r="C81" i="1"/>
  <c r="C79" i="1"/>
  <c r="C78" i="1" s="1"/>
  <c r="C68" i="1"/>
  <c r="C59" i="1"/>
  <c r="C64" i="1" s="1"/>
  <c r="C56" i="1"/>
  <c r="C57" i="1" s="1"/>
  <c r="C55" i="1"/>
  <c r="C54" i="1"/>
  <c r="C43" i="1"/>
  <c r="C46" i="1"/>
  <c r="C67" i="1" s="1"/>
  <c r="C82" i="1"/>
  <c r="C44" i="1"/>
  <c r="C49" i="1" s="1"/>
  <c r="C32" i="1" s="1"/>
  <c r="F807" i="17" l="1"/>
  <c r="F809" i="17" s="1"/>
  <c r="H780" i="17"/>
  <c r="G16" i="17" s="1"/>
  <c r="AJ814" i="17"/>
  <c r="P815" i="17"/>
  <c r="N24" i="17" s="1"/>
  <c r="N23" i="17"/>
  <c r="T814" i="17"/>
  <c r="AL814" i="17" s="1"/>
  <c r="O777" i="17"/>
  <c r="T777" i="17" s="1"/>
  <c r="F30" i="17"/>
  <c r="J791" i="17"/>
  <c r="H800" i="17"/>
  <c r="J799" i="17" s="1"/>
  <c r="M787" i="17"/>
  <c r="H804" i="17" s="1"/>
  <c r="J803" i="17" s="1"/>
  <c r="L787" i="17"/>
  <c r="E32" i="17"/>
  <c r="BF1793" i="17"/>
  <c r="BF1789" i="17"/>
  <c r="BF1785" i="17"/>
  <c r="BF1781" i="17"/>
  <c r="BF1777" i="17"/>
  <c r="BF1794" i="17"/>
  <c r="BF1790" i="17"/>
  <c r="BF1786" i="17"/>
  <c r="BF1782" i="17"/>
  <c r="BF1778" i="17"/>
  <c r="BF1791" i="17"/>
  <c r="BF1787" i="17"/>
  <c r="BF1783" i="17"/>
  <c r="BF1779" i="17"/>
  <c r="BF1775" i="17"/>
  <c r="BF1771" i="17"/>
  <c r="BF1767" i="17"/>
  <c r="BF1792" i="17"/>
  <c r="BF1788" i="17"/>
  <c r="BF1784" i="17"/>
  <c r="BF1780" i="17"/>
  <c r="BF1776" i="17"/>
  <c r="BF1772" i="17"/>
  <c r="BF1768" i="17"/>
  <c r="CJ1765" i="17"/>
  <c r="BV1765" i="17" s="1"/>
  <c r="CJ1764" i="17"/>
  <c r="BV1764" i="17" s="1"/>
  <c r="CJ1763" i="17"/>
  <c r="BV1763" i="17" s="1"/>
  <c r="CJ1762" i="17"/>
  <c r="BV1762" i="17" s="1"/>
  <c r="CJ1761" i="17"/>
  <c r="BV1761" i="17" s="1"/>
  <c r="BF1764" i="17"/>
  <c r="CX1763" i="17"/>
  <c r="CJ1760" i="17"/>
  <c r="BF1766" i="17"/>
  <c r="BF1763" i="17"/>
  <c r="CX1762" i="17"/>
  <c r="BF1762" i="17"/>
  <c r="CX1760" i="17"/>
  <c r="CX1759" i="17"/>
  <c r="BF1758" i="17"/>
  <c r="BF1773" i="17"/>
  <c r="BF1765" i="17"/>
  <c r="CX1764" i="17"/>
  <c r="CX1765" i="17" s="1"/>
  <c r="CX1761" i="17"/>
  <c r="BF1761" i="17"/>
  <c r="BF1760" i="17"/>
  <c r="BF1759" i="17"/>
  <c r="BF1774" i="17"/>
  <c r="BF1770" i="17"/>
  <c r="BF1769" i="17"/>
  <c r="Q23" i="17"/>
  <c r="O23" i="17"/>
  <c r="M23" i="17"/>
  <c r="J778" i="17"/>
  <c r="N777" i="17" s="1"/>
  <c r="H14" i="17"/>
  <c r="I14" i="17" s="1"/>
  <c r="C98" i="1"/>
  <c r="C87" i="1"/>
  <c r="C89" i="1" s="1"/>
  <c r="C94" i="1"/>
  <c r="C47" i="1"/>
  <c r="C60" i="1"/>
  <c r="C61" i="1" s="1"/>
  <c r="C62" i="1"/>
  <c r="C66" i="1"/>
  <c r="C69" i="1"/>
  <c r="C76" i="1" s="1"/>
  <c r="C63" i="1"/>
  <c r="C48" i="1"/>
  <c r="H781" i="17" l="1"/>
  <c r="G17" i="17" s="1"/>
  <c r="K24" i="17"/>
  <c r="Q24" i="17" s="1"/>
  <c r="AJ815" i="17"/>
  <c r="F32" i="17"/>
  <c r="J792" i="17"/>
  <c r="F34" i="17" s="1"/>
  <c r="T815" i="17"/>
  <c r="AL815" i="17" s="1"/>
  <c r="N787" i="17"/>
  <c r="O787" i="17" s="1"/>
  <c r="P816" i="17"/>
  <c r="U777" i="17"/>
  <c r="V777" i="17" s="1"/>
  <c r="N12" i="17" s="1"/>
  <c r="P777" i="17"/>
  <c r="R777" i="17" s="1"/>
  <c r="I779" i="17"/>
  <c r="AB816" i="17"/>
  <c r="I25" i="17"/>
  <c r="BF1754" i="17"/>
  <c r="BF1755" i="17"/>
  <c r="H802" i="17"/>
  <c r="J801" i="17" s="1"/>
  <c r="K817" i="17"/>
  <c r="BE1742" i="17"/>
  <c r="K818" i="17"/>
  <c r="K788" i="17"/>
  <c r="Z818" i="17" s="1"/>
  <c r="Z819" i="17" s="1"/>
  <c r="CJ1759" i="17"/>
  <c r="BV1759" i="17" s="1"/>
  <c r="BV1760" i="17"/>
  <c r="C73" i="1"/>
  <c r="C51" i="1"/>
  <c r="C90" i="1" s="1"/>
  <c r="C91" i="1" s="1"/>
  <c r="C80" i="1"/>
  <c r="C74" i="1"/>
  <c r="C77" i="1"/>
  <c r="C65" i="1"/>
  <c r="C52" i="1"/>
  <c r="C53" i="1"/>
  <c r="C50" i="1"/>
  <c r="C92" i="1" l="1"/>
  <c r="C96" i="1" s="1"/>
  <c r="H782" i="17"/>
  <c r="M24" i="17"/>
  <c r="O24" i="17"/>
  <c r="P817" i="17"/>
  <c r="N26" i="17" s="1"/>
  <c r="N25" i="17"/>
  <c r="W777" i="17"/>
  <c r="O12" i="17" s="1"/>
  <c r="AJ816" i="17"/>
  <c r="T816" i="17"/>
  <c r="AL816" i="17" s="1"/>
  <c r="K25" i="17"/>
  <c r="AB817" i="17"/>
  <c r="I26" i="17"/>
  <c r="J800" i="17"/>
  <c r="L788" i="17"/>
  <c r="P818" i="17" s="1"/>
  <c r="M788" i="17"/>
  <c r="J804" i="17" s="1"/>
  <c r="L803" i="17" s="1"/>
  <c r="BH1794" i="17"/>
  <c r="BH1790" i="17"/>
  <c r="BH1786" i="17"/>
  <c r="BH1782" i="17"/>
  <c r="BH1778" i="17"/>
  <c r="BH1774" i="17"/>
  <c r="BH1791" i="17"/>
  <c r="BH1787" i="17"/>
  <c r="BH1783" i="17"/>
  <c r="BH1779" i="17"/>
  <c r="BH1792" i="17"/>
  <c r="BH1788" i="17"/>
  <c r="BH1784" i="17"/>
  <c r="BH1780" i="17"/>
  <c r="BH1776" i="17"/>
  <c r="BH1772" i="17"/>
  <c r="BH1768" i="17"/>
  <c r="CL1765" i="17"/>
  <c r="CL1764" i="17"/>
  <c r="CL1763" i="17"/>
  <c r="BH1793" i="17"/>
  <c r="BH1789" i="17"/>
  <c r="BH1785" i="17"/>
  <c r="BH1781" i="17"/>
  <c r="BH1777" i="17"/>
  <c r="BH1773" i="17"/>
  <c r="BH1769" i="17"/>
  <c r="CZ1764" i="17"/>
  <c r="CZ1763" i="17"/>
  <c r="CZ1762" i="17"/>
  <c r="CZ1761" i="17"/>
  <c r="BH1775" i="17"/>
  <c r="BH1767" i="17"/>
  <c r="BH1766" i="17"/>
  <c r="BH1763" i="17"/>
  <c r="BH1762" i="17"/>
  <c r="CZ1760" i="17"/>
  <c r="CZ1759" i="17"/>
  <c r="BH1758" i="17"/>
  <c r="BH1765" i="17"/>
  <c r="BH1761" i="17"/>
  <c r="BH1760" i="17"/>
  <c r="BH1759" i="17"/>
  <c r="CL1762" i="17"/>
  <c r="BH1771" i="17"/>
  <c r="BH1770" i="17"/>
  <c r="BH1764" i="17"/>
  <c r="CL1761" i="17"/>
  <c r="CL1760" i="17"/>
  <c r="CL1759" i="17" s="1"/>
  <c r="H15" i="17"/>
  <c r="I15" i="17" s="1"/>
  <c r="J779" i="17"/>
  <c r="C101" i="1"/>
  <c r="C102" i="1" s="1"/>
  <c r="C103" i="1" s="1"/>
  <c r="C75" i="1"/>
  <c r="BX1759" i="17" l="1"/>
  <c r="BX1761" i="17"/>
  <c r="BX1762" i="17"/>
  <c r="BX1763" i="17"/>
  <c r="BX1760" i="17"/>
  <c r="M778" i="17"/>
  <c r="O778" i="17" s="1"/>
  <c r="U778" i="17" s="1"/>
  <c r="N778" i="17"/>
  <c r="L799" i="17"/>
  <c r="L808" i="17" s="1"/>
  <c r="J808" i="17"/>
  <c r="P819" i="17"/>
  <c r="N28" i="17" s="1"/>
  <c r="N27" i="17"/>
  <c r="BE1743" i="17"/>
  <c r="K819" i="17"/>
  <c r="K820" i="17"/>
  <c r="K789" i="17"/>
  <c r="Z820" i="17" s="1"/>
  <c r="Z821" i="17" s="1"/>
  <c r="BH1754" i="17"/>
  <c r="BH1755" i="17"/>
  <c r="CZ1765" i="17"/>
  <c r="BX1765" i="17" s="1"/>
  <c r="BX1764" i="17"/>
  <c r="J802" i="17"/>
  <c r="I780" i="17"/>
  <c r="N788" i="17"/>
  <c r="O788" i="17" s="1"/>
  <c r="AJ817" i="17"/>
  <c r="T817" i="17"/>
  <c r="AL817" i="17" s="1"/>
  <c r="K26" i="17"/>
  <c r="O25" i="17"/>
  <c r="M25" i="17"/>
  <c r="Q25" i="17"/>
  <c r="AB818" i="17"/>
  <c r="I27" i="17"/>
  <c r="P778" i="17" l="1"/>
  <c r="R778" i="17" s="1"/>
  <c r="T778" i="17"/>
  <c r="V778" i="17" s="1"/>
  <c r="N13" i="17" s="1"/>
  <c r="L801" i="17"/>
  <c r="L807" i="17" s="1"/>
  <c r="L809" i="17" s="1"/>
  <c r="J807" i="17"/>
  <c r="J809" i="17" s="1"/>
  <c r="W778" i="17"/>
  <c r="O13" i="17" s="1"/>
  <c r="M789" i="17"/>
  <c r="L804" i="17" s="1"/>
  <c r="N803" i="17" s="1"/>
  <c r="L789" i="17"/>
  <c r="P820" i="17" s="1"/>
  <c r="L800" i="17"/>
  <c r="N799" i="17" s="1"/>
  <c r="N808" i="17" s="1"/>
  <c r="J780" i="17"/>
  <c r="H16" i="17"/>
  <c r="I16" i="17" s="1"/>
  <c r="I28" i="17"/>
  <c r="AB819" i="17"/>
  <c r="BJ1791" i="17"/>
  <c r="BJ1787" i="17"/>
  <c r="BJ1783" i="17"/>
  <c r="BJ1779" i="17"/>
  <c r="BJ1775" i="17"/>
  <c r="BJ1792" i="17"/>
  <c r="BJ1788" i="17"/>
  <c r="BJ1784" i="17"/>
  <c r="BJ1780" i="17"/>
  <c r="BJ1793" i="17"/>
  <c r="BJ1789" i="17"/>
  <c r="BJ1785" i="17"/>
  <c r="BJ1781" i="17"/>
  <c r="BJ1777" i="17"/>
  <c r="BJ1773" i="17"/>
  <c r="BJ1769" i="17"/>
  <c r="DB1764" i="17"/>
  <c r="DB1765" i="17" s="1"/>
  <c r="DB1763" i="17"/>
  <c r="DB1762" i="17"/>
  <c r="BJ1794" i="17"/>
  <c r="BJ1790" i="17"/>
  <c r="BJ1786" i="17"/>
  <c r="BJ1782" i="17"/>
  <c r="BJ1778" i="17"/>
  <c r="BJ1774" i="17"/>
  <c r="BJ1770" i="17"/>
  <c r="BJ1766" i="17"/>
  <c r="BJ1765" i="17"/>
  <c r="BJ1764" i="17"/>
  <c r="BJ1763" i="17"/>
  <c r="BJ1762" i="17"/>
  <c r="BJ1761" i="17"/>
  <c r="CN1765" i="17"/>
  <c r="BZ1765" i="17" s="1"/>
  <c r="BJ1760" i="17"/>
  <c r="BJ1759" i="17"/>
  <c r="BJ1776" i="17"/>
  <c r="DB1761" i="17"/>
  <c r="BJ1772" i="17"/>
  <c r="BJ1771" i="17"/>
  <c r="CN1762" i="17"/>
  <c r="CN1764" i="17"/>
  <c r="BZ1764" i="17" s="1"/>
  <c r="CN1761" i="17"/>
  <c r="CN1760" i="17"/>
  <c r="BJ1768" i="17"/>
  <c r="BJ1767" i="17"/>
  <c r="CN1763" i="17"/>
  <c r="BJ1758" i="17"/>
  <c r="DB1759" i="17"/>
  <c r="DB1760" i="17"/>
  <c r="O26" i="17"/>
  <c r="Q26" i="17"/>
  <c r="M26" i="17"/>
  <c r="AJ818" i="17"/>
  <c r="T818" i="17"/>
  <c r="AL818" i="17" s="1"/>
  <c r="K27" i="17"/>
  <c r="BZ1763" i="17" l="1"/>
  <c r="M779" i="17"/>
  <c r="O779" i="17" s="1"/>
  <c r="P779" i="17" s="1"/>
  <c r="R779" i="17" s="1"/>
  <c r="N779" i="17"/>
  <c r="P821" i="17"/>
  <c r="N30" i="17" s="1"/>
  <c r="N29" i="17"/>
  <c r="BZ1761" i="17"/>
  <c r="BZ1762" i="17"/>
  <c r="G813" i="17"/>
  <c r="G814" i="17"/>
  <c r="BF1740" i="17"/>
  <c r="Q27" i="17"/>
  <c r="O27" i="17"/>
  <c r="M27" i="17"/>
  <c r="BJ1755" i="17"/>
  <c r="BJ1754" i="17"/>
  <c r="L802" i="17"/>
  <c r="N801" i="17" s="1"/>
  <c r="N807" i="17" s="1"/>
  <c r="N809" i="17" s="1"/>
  <c r="CN1759" i="17"/>
  <c r="BZ1759" i="17" s="1"/>
  <c r="BZ1760" i="17"/>
  <c r="AJ819" i="17"/>
  <c r="T819" i="17"/>
  <c r="AL819" i="17" s="1"/>
  <c r="K28" i="17"/>
  <c r="I781" i="17"/>
  <c r="N789" i="17"/>
  <c r="O789" i="17" s="1"/>
  <c r="K821" i="17"/>
  <c r="BE1744" i="17"/>
  <c r="K822" i="17"/>
  <c r="K790" i="17"/>
  <c r="Z822" i="17" s="1"/>
  <c r="Z823" i="17" s="1"/>
  <c r="AB820" i="17"/>
  <c r="I29" i="17"/>
  <c r="T779" i="17" l="1"/>
  <c r="U779" i="17"/>
  <c r="BC1780" i="17"/>
  <c r="CU1762" i="17"/>
  <c r="BS1762" i="17" s="1"/>
  <c r="CH1763" i="17"/>
  <c r="CV1760" i="17"/>
  <c r="BT1760" i="17" s="1"/>
  <c r="CH1762" i="17"/>
  <c r="CV1761" i="17"/>
  <c r="BT1761" i="17" s="1"/>
  <c r="CU1761" i="17"/>
  <c r="BS1761" i="17" s="1"/>
  <c r="CG1761" i="17"/>
  <c r="CV1759" i="17"/>
  <c r="BT1759" i="17" s="1"/>
  <c r="BC1772" i="17"/>
  <c r="BC1767" i="17"/>
  <c r="BC1790" i="17"/>
  <c r="BC1766" i="17"/>
  <c r="BC1791" i="17"/>
  <c r="CV1762" i="17"/>
  <c r="BT1762" i="17" s="1"/>
  <c r="BC1788" i="17"/>
  <c r="BC1782" i="17"/>
  <c r="BC1783" i="17"/>
  <c r="BC1765" i="17"/>
  <c r="BC1784" i="17"/>
  <c r="BC1778" i="17"/>
  <c r="CH1765" i="17"/>
  <c r="CU1759" i="17"/>
  <c r="BS1759" i="17" s="1"/>
  <c r="BC1785" i="17"/>
  <c r="BC1775" i="17"/>
  <c r="CU1764" i="17"/>
  <c r="BC1789" i="17"/>
  <c r="BC1760" i="17"/>
  <c r="BC1763" i="17"/>
  <c r="BC1758" i="17"/>
  <c r="CG1760" i="17"/>
  <c r="CG1759" i="17" s="1"/>
  <c r="BC1786" i="17"/>
  <c r="CG1765" i="17"/>
  <c r="BC1773" i="17"/>
  <c r="CH1764" i="17"/>
  <c r="CH1760" i="17"/>
  <c r="CH1759" i="17" s="1"/>
  <c r="BC1787" i="17"/>
  <c r="BC1764" i="17"/>
  <c r="BC1770" i="17"/>
  <c r="CU1760" i="17"/>
  <c r="BS1760" i="17" s="1"/>
  <c r="CU1763" i="17"/>
  <c r="BS1763" i="17" s="1"/>
  <c r="BC1768" i="17"/>
  <c r="CG1763" i="17"/>
  <c r="CG1764" i="17"/>
  <c r="BC1774" i="17"/>
  <c r="BC1769" i="17"/>
  <c r="BC1762" i="17"/>
  <c r="BC1793" i="17"/>
  <c r="BC1761" i="17"/>
  <c r="CH1761" i="17"/>
  <c r="BC1776" i="17"/>
  <c r="BC1792" i="17"/>
  <c r="CG1762" i="17"/>
  <c r="BC1771" i="17"/>
  <c r="CV1763" i="17"/>
  <c r="BT1763" i="17" s="1"/>
  <c r="BC1794" i="17"/>
  <c r="BC1781" i="17"/>
  <c r="BC1779" i="17"/>
  <c r="BC1759" i="17"/>
  <c r="CV1764" i="17"/>
  <c r="BC1777" i="17"/>
  <c r="AY813" i="17"/>
  <c r="AJ820" i="17"/>
  <c r="T820" i="17"/>
  <c r="AL820" i="17" s="1"/>
  <c r="K29" i="17"/>
  <c r="AB821" i="17"/>
  <c r="I30" i="17"/>
  <c r="Q28" i="17"/>
  <c r="M28" i="17"/>
  <c r="O28" i="17"/>
  <c r="L790" i="17"/>
  <c r="P822" i="17" s="1"/>
  <c r="M790" i="17"/>
  <c r="N804" i="17" s="1"/>
  <c r="P803" i="17" s="1"/>
  <c r="N800" i="17"/>
  <c r="P799" i="17" s="1"/>
  <c r="P808" i="17" s="1"/>
  <c r="BL1792" i="17"/>
  <c r="BL1788" i="17"/>
  <c r="BL1784" i="17"/>
  <c r="BL1780" i="17"/>
  <c r="BL1776" i="17"/>
  <c r="BL1793" i="17"/>
  <c r="BL1789" i="17"/>
  <c r="BL1785" i="17"/>
  <c r="BL1781" i="17"/>
  <c r="BL1777" i="17"/>
  <c r="BL1794" i="17"/>
  <c r="BL1790" i="17"/>
  <c r="BL1786" i="17"/>
  <c r="BL1782" i="17"/>
  <c r="BL1778" i="17"/>
  <c r="BL1774" i="17"/>
  <c r="BL1770" i="17"/>
  <c r="BL1766" i="17"/>
  <c r="BL1765" i="17"/>
  <c r="BL1764" i="17"/>
  <c r="BL1763" i="17"/>
  <c r="BL1791" i="17"/>
  <c r="BL1787" i="17"/>
  <c r="BL1783" i="17"/>
  <c r="BL1779" i="17"/>
  <c r="BL1775" i="17"/>
  <c r="BL1771" i="17"/>
  <c r="BL1767" i="17"/>
  <c r="DD1762" i="17"/>
  <c r="BL1761" i="17"/>
  <c r="BL1773" i="17"/>
  <c r="BL1772" i="17"/>
  <c r="CP1762" i="17"/>
  <c r="DD1761" i="17"/>
  <c r="DD1764" i="17"/>
  <c r="CP1764" i="17"/>
  <c r="CP1761" i="17"/>
  <c r="CP1760" i="17"/>
  <c r="CP1759" i="17" s="1"/>
  <c r="BL1769" i="17"/>
  <c r="BL1768" i="17"/>
  <c r="DD1763" i="17"/>
  <c r="CP1763" i="17"/>
  <c r="DD1760" i="17"/>
  <c r="DD1759" i="17"/>
  <c r="BL1758" i="17"/>
  <c r="BL1762" i="17"/>
  <c r="BL1760" i="17"/>
  <c r="CP1765" i="17"/>
  <c r="BL1759" i="17"/>
  <c r="J781" i="17"/>
  <c r="H17" i="17"/>
  <c r="I17" i="17" s="1"/>
  <c r="W779" i="17" l="1"/>
  <c r="O14" i="17" s="1"/>
  <c r="V779" i="17"/>
  <c r="N14" i="17" s="1"/>
  <c r="CB1760" i="17"/>
  <c r="N780" i="17"/>
  <c r="M780" i="17"/>
  <c r="O780" i="17" s="1"/>
  <c r="U780" i="17" s="1"/>
  <c r="CB1759" i="17"/>
  <c r="CB1761" i="17"/>
  <c r="CB1763" i="17"/>
  <c r="CB1762" i="17"/>
  <c r="P823" i="17"/>
  <c r="N32" i="17" s="1"/>
  <c r="N31" i="17"/>
  <c r="BC1752" i="17"/>
  <c r="G815" i="17"/>
  <c r="BF1741" i="17"/>
  <c r="G816" i="17"/>
  <c r="BC1753" i="17"/>
  <c r="CV1765" i="17"/>
  <c r="BT1765" i="17" s="1"/>
  <c r="BT1764" i="17"/>
  <c r="CU1765" i="17"/>
  <c r="BS1765" i="17" s="1"/>
  <c r="BS1764" i="17"/>
  <c r="I782" i="17"/>
  <c r="J782" i="17" s="1"/>
  <c r="N781" i="17" s="1"/>
  <c r="BE1745" i="17"/>
  <c r="K824" i="17"/>
  <c r="K823" i="17"/>
  <c r="K791" i="17"/>
  <c r="Z824" i="17" s="1"/>
  <c r="Z825" i="17" s="1"/>
  <c r="DD1765" i="17"/>
  <c r="CB1765" i="17" s="1"/>
  <c r="CB1764" i="17"/>
  <c r="AB822" i="17"/>
  <c r="I31" i="17"/>
  <c r="AJ821" i="17"/>
  <c r="T821" i="17"/>
  <c r="AL821" i="17" s="1"/>
  <c r="K30" i="17"/>
  <c r="BL1754" i="17"/>
  <c r="BL1755" i="17"/>
  <c r="N802" i="17"/>
  <c r="P801" i="17" s="1"/>
  <c r="P807" i="17" s="1"/>
  <c r="P809" i="17" s="1"/>
  <c r="N790" i="17"/>
  <c r="O790" i="17" s="1"/>
  <c r="O29" i="17"/>
  <c r="M29" i="17"/>
  <c r="Q29" i="17"/>
  <c r="M781" i="17" l="1"/>
  <c r="O781" i="17" s="1"/>
  <c r="P780" i="17"/>
  <c r="R780" i="17" s="1"/>
  <c r="G822" i="17" s="1"/>
  <c r="AY821" i="17" s="1"/>
  <c r="T780" i="17"/>
  <c r="W780" i="17" s="1"/>
  <c r="O15" i="17" s="1"/>
  <c r="G821" i="17"/>
  <c r="BF1744" i="17"/>
  <c r="BK1773" i="17" s="1"/>
  <c r="AY815" i="17"/>
  <c r="CW1761" i="17"/>
  <c r="BE1766" i="17"/>
  <c r="BE1759" i="17"/>
  <c r="BE1788" i="17"/>
  <c r="BE1762" i="17"/>
  <c r="CI1763" i="17"/>
  <c r="BU1763" i="17" s="1"/>
  <c r="BE1763" i="17"/>
  <c r="BE1793" i="17"/>
  <c r="BE1775" i="17"/>
  <c r="BE1776" i="17"/>
  <c r="BE1772" i="17"/>
  <c r="CW1763" i="17"/>
  <c r="CW1762" i="17"/>
  <c r="BE1770" i="17"/>
  <c r="BE1785" i="17"/>
  <c r="BE1791" i="17"/>
  <c r="BE1771" i="17"/>
  <c r="BE1767" i="17"/>
  <c r="CI1762" i="17"/>
  <c r="BU1762" i="17" s="1"/>
  <c r="CW1759" i="17"/>
  <c r="BE1781" i="17"/>
  <c r="CI1765" i="17"/>
  <c r="BU1765" i="17" s="1"/>
  <c r="CI1761" i="17"/>
  <c r="BU1761" i="17" s="1"/>
  <c r="BE1779" i="17"/>
  <c r="BE1794" i="17"/>
  <c r="CI1764" i="17"/>
  <c r="BU1764" i="17" s="1"/>
  <c r="BE1777" i="17"/>
  <c r="BE1782" i="17"/>
  <c r="BE1784" i="17"/>
  <c r="BE1774" i="17"/>
  <c r="BE1765" i="17"/>
  <c r="BE1786" i="17"/>
  <c r="BE1761" i="17"/>
  <c r="BE1790" i="17"/>
  <c r="BE1778" i="17"/>
  <c r="BE1768" i="17"/>
  <c r="BE1760" i="17"/>
  <c r="CI1760" i="17"/>
  <c r="BE1764" i="17"/>
  <c r="BE1792" i="17"/>
  <c r="BE1787" i="17"/>
  <c r="BE1783" i="17"/>
  <c r="CW1760" i="17"/>
  <c r="BE1789" i="17"/>
  <c r="BE1773" i="17"/>
  <c r="BE1780" i="17"/>
  <c r="CW1764" i="17"/>
  <c r="CW1765" i="17" s="1"/>
  <c r="BE1769" i="17"/>
  <c r="BE1758" i="17"/>
  <c r="I814" i="17"/>
  <c r="I815" i="17"/>
  <c r="M782" i="17"/>
  <c r="N782" i="17"/>
  <c r="K826" i="17"/>
  <c r="K825" i="17"/>
  <c r="BE1746" i="17"/>
  <c r="P800" i="17"/>
  <c r="R799" i="17" s="1"/>
  <c r="R808" i="17" s="1"/>
  <c r="L791" i="17"/>
  <c r="M791" i="17"/>
  <c r="P804" i="17" s="1"/>
  <c r="R803" i="17" s="1"/>
  <c r="AB823" i="17"/>
  <c r="I32" i="17"/>
  <c r="BN1793" i="17"/>
  <c r="BN1789" i="17"/>
  <c r="BN1785" i="17"/>
  <c r="BN1781" i="17"/>
  <c r="BN1777" i="17"/>
  <c r="BN1773" i="17"/>
  <c r="BN1794" i="17"/>
  <c r="BN1790" i="17"/>
  <c r="BN1786" i="17"/>
  <c r="BN1782" i="17"/>
  <c r="BN1778" i="17"/>
  <c r="BN1791" i="17"/>
  <c r="BN1787" i="17"/>
  <c r="BN1783" i="17"/>
  <c r="BN1779" i="17"/>
  <c r="BN1775" i="17"/>
  <c r="BN1771" i="17"/>
  <c r="BN1767" i="17"/>
  <c r="BN1792" i="17"/>
  <c r="BN1788" i="17"/>
  <c r="BN1784" i="17"/>
  <c r="BN1780" i="17"/>
  <c r="BN1776" i="17"/>
  <c r="BN1772" i="17"/>
  <c r="BN1768" i="17"/>
  <c r="CR1765" i="17"/>
  <c r="CR1764" i="17"/>
  <c r="CR1763" i="17"/>
  <c r="CR1762" i="17"/>
  <c r="CR1761" i="17"/>
  <c r="BN1765" i="17"/>
  <c r="DF1764" i="17"/>
  <c r="DF1765" i="17" s="1"/>
  <c r="CR1760" i="17"/>
  <c r="BN1770" i="17"/>
  <c r="BN1769" i="17"/>
  <c r="BN1774" i="17"/>
  <c r="BN1764" i="17"/>
  <c r="DF1763" i="17"/>
  <c r="DF1760" i="17"/>
  <c r="DF1759" i="17"/>
  <c r="BN1758" i="17"/>
  <c r="BN1766" i="17"/>
  <c r="BN1762" i="17"/>
  <c r="BN1760" i="17"/>
  <c r="BN1759" i="17"/>
  <c r="BN1763" i="17"/>
  <c r="DF1762" i="17"/>
  <c r="DF1761" i="17"/>
  <c r="BN1761" i="17"/>
  <c r="O30" i="17"/>
  <c r="M30" i="17"/>
  <c r="Q30" i="17"/>
  <c r="AJ822" i="17"/>
  <c r="K31" i="17"/>
  <c r="T822" i="17"/>
  <c r="AL822" i="17" s="1"/>
  <c r="P781" i="17" l="1"/>
  <c r="R781" i="17" s="1"/>
  <c r="V780" i="17"/>
  <c r="N15" i="17" s="1"/>
  <c r="CD1764" i="17"/>
  <c r="N791" i="17"/>
  <c r="O791" i="17" s="1"/>
  <c r="P824" i="17"/>
  <c r="CD1765" i="17"/>
  <c r="CD1761" i="17"/>
  <c r="BK1760" i="17"/>
  <c r="DC1760" i="17"/>
  <c r="BK1781" i="17"/>
  <c r="BK1784" i="17"/>
  <c r="BK1775" i="17"/>
  <c r="BK1788" i="17"/>
  <c r="BK1787" i="17"/>
  <c r="CO1760" i="17"/>
  <c r="CO1759" i="17" s="1"/>
  <c r="BK1778" i="17"/>
  <c r="BK1779" i="17"/>
  <c r="BK1771" i="17"/>
  <c r="BK1758" i="17"/>
  <c r="BK1782" i="17"/>
  <c r="CO1761" i="17"/>
  <c r="BK1774" i="17"/>
  <c r="DC1763" i="17"/>
  <c r="CO1762" i="17"/>
  <c r="BK1794" i="17"/>
  <c r="BK1785" i="17"/>
  <c r="BK1791" i="17"/>
  <c r="BK1759" i="17"/>
  <c r="DC1759" i="17"/>
  <c r="BK1762" i="17"/>
  <c r="BK1780" i="17"/>
  <c r="BK1776" i="17"/>
  <c r="BK1790" i="17"/>
  <c r="BK1764" i="17"/>
  <c r="CO1765" i="17"/>
  <c r="BK1766" i="17"/>
  <c r="BK1786" i="17"/>
  <c r="BK1792" i="17"/>
  <c r="BK1783" i="17"/>
  <c r="BK1767" i="17"/>
  <c r="DC1762" i="17"/>
  <c r="BK1763" i="17"/>
  <c r="BK1761" i="17"/>
  <c r="BK1777" i="17"/>
  <c r="T781" i="17"/>
  <c r="BK1765" i="17"/>
  <c r="DC1761" i="17"/>
  <c r="BK1789" i="17"/>
  <c r="BK1793" i="17"/>
  <c r="DC1764" i="17"/>
  <c r="BK1769" i="17"/>
  <c r="CO1763" i="17"/>
  <c r="BK1768" i="17"/>
  <c r="BK1772" i="17"/>
  <c r="CO1764" i="17"/>
  <c r="BK1770" i="17"/>
  <c r="U781" i="17"/>
  <c r="O782" i="17"/>
  <c r="CD1762" i="17"/>
  <c r="CD1763" i="17"/>
  <c r="BF1742" i="17"/>
  <c r="G818" i="17"/>
  <c r="G817" i="17"/>
  <c r="CI1759" i="17"/>
  <c r="BU1759" i="17" s="1"/>
  <c r="BU1760" i="17"/>
  <c r="J815" i="17"/>
  <c r="Q815" i="17"/>
  <c r="BE1753" i="17"/>
  <c r="BE1752" i="17"/>
  <c r="Q814" i="17"/>
  <c r="J814" i="17"/>
  <c r="AB824" i="17"/>
  <c r="I33" i="17"/>
  <c r="AJ823" i="17"/>
  <c r="T823" i="17"/>
  <c r="AL823" i="17" s="1"/>
  <c r="K32" i="17"/>
  <c r="BP1794" i="17"/>
  <c r="BP1790" i="17"/>
  <c r="BP1786" i="17"/>
  <c r="BP1782" i="17"/>
  <c r="BP1778" i="17"/>
  <c r="BP1774" i="17"/>
  <c r="BP1791" i="17"/>
  <c r="BP1787" i="17"/>
  <c r="BP1783" i="17"/>
  <c r="BP1779" i="17"/>
  <c r="BP1792" i="17"/>
  <c r="BP1788" i="17"/>
  <c r="BP1784" i="17"/>
  <c r="BP1780" i="17"/>
  <c r="BP1776" i="17"/>
  <c r="BP1772" i="17"/>
  <c r="BP1768" i="17"/>
  <c r="CT1765" i="17"/>
  <c r="CT1764" i="17"/>
  <c r="CT1763" i="17"/>
  <c r="BP1793" i="17"/>
  <c r="BP1789" i="17"/>
  <c r="BP1785" i="17"/>
  <c r="BP1781" i="17"/>
  <c r="BP1777" i="17"/>
  <c r="BP1773" i="17"/>
  <c r="BP1769" i="17"/>
  <c r="DH1764" i="17"/>
  <c r="DH1763" i="17"/>
  <c r="DH1762" i="17"/>
  <c r="DH1761" i="17"/>
  <c r="BP1771" i="17"/>
  <c r="BP1770" i="17"/>
  <c r="CT1761" i="17"/>
  <c r="BP1764" i="17"/>
  <c r="DH1760" i="17"/>
  <c r="DH1759" i="17"/>
  <c r="BP1758" i="17"/>
  <c r="BP1767" i="17"/>
  <c r="BP1766" i="17"/>
  <c r="BP1762" i="17"/>
  <c r="BP1760" i="17"/>
  <c r="BP1759" i="17"/>
  <c r="BP1763" i="17"/>
  <c r="BP1775" i="17"/>
  <c r="BP1761" i="17"/>
  <c r="BP1765" i="17"/>
  <c r="CT1762" i="17"/>
  <c r="CT1760" i="17"/>
  <c r="CT1759" i="17" s="1"/>
  <c r="Q31" i="17"/>
  <c r="O31" i="17"/>
  <c r="M31" i="17"/>
  <c r="P802" i="17"/>
  <c r="R801" i="17" s="1"/>
  <c r="R807" i="17" s="1"/>
  <c r="R809" i="17" s="1"/>
  <c r="CR1759" i="17"/>
  <c r="CD1759" i="17" s="1"/>
  <c r="CD1760" i="17"/>
  <c r="G823" i="17"/>
  <c r="G824" i="17"/>
  <c r="BF1745" i="17"/>
  <c r="BN1754" i="17"/>
  <c r="BN1755" i="17"/>
  <c r="P782" i="17" l="1"/>
  <c r="R782" i="17" s="1"/>
  <c r="CA1764" i="17"/>
  <c r="CF1763" i="17"/>
  <c r="CA1762" i="17"/>
  <c r="CF1759" i="17"/>
  <c r="CF1762" i="17"/>
  <c r="CA1761" i="17"/>
  <c r="CA1763" i="17"/>
  <c r="CA1760" i="17"/>
  <c r="CA1759" i="17"/>
  <c r="CF1760" i="17"/>
  <c r="CF1761" i="17"/>
  <c r="P825" i="17"/>
  <c r="N34" i="17" s="1"/>
  <c r="N33" i="17"/>
  <c r="O815" i="17"/>
  <c r="J24" i="17" s="1"/>
  <c r="Y815" i="17"/>
  <c r="H24" i="17" s="1"/>
  <c r="O814" i="17"/>
  <c r="J23" i="17" s="1"/>
  <c r="Y814" i="17"/>
  <c r="H23" i="17" s="1"/>
  <c r="W781" i="17"/>
  <c r="O16" i="17" s="1"/>
  <c r="BK1753" i="17"/>
  <c r="DC1765" i="17"/>
  <c r="CA1765" i="17" s="1"/>
  <c r="BK1752" i="17"/>
  <c r="V781" i="17"/>
  <c r="N16" i="17" s="1"/>
  <c r="T782" i="17"/>
  <c r="U782" i="17"/>
  <c r="G819" i="17"/>
  <c r="I819" i="17" s="1"/>
  <c r="G820" i="17"/>
  <c r="AY819" i="17" s="1"/>
  <c r="BF1743" i="17"/>
  <c r="I816" i="17"/>
  <c r="I817" i="17"/>
  <c r="AY817" i="17"/>
  <c r="BG1766" i="17"/>
  <c r="BG1785" i="17"/>
  <c r="BG1762" i="17"/>
  <c r="BG1772" i="17"/>
  <c r="CK1763" i="17"/>
  <c r="BG1781" i="17"/>
  <c r="BG1777" i="17"/>
  <c r="BG1767" i="17"/>
  <c r="BG1791" i="17"/>
  <c r="BG1763" i="17"/>
  <c r="CY1762" i="17"/>
  <c r="BG1759" i="17"/>
  <c r="BG1774" i="17"/>
  <c r="BG1758" i="17"/>
  <c r="CY1761" i="17"/>
  <c r="BG1789" i="17"/>
  <c r="BG1770" i="17"/>
  <c r="CY1763" i="17"/>
  <c r="BG1794" i="17"/>
  <c r="BG1761" i="17"/>
  <c r="BG1760" i="17"/>
  <c r="BG1769" i="17"/>
  <c r="BG1775" i="17"/>
  <c r="CY1764" i="17"/>
  <c r="CK1762" i="17"/>
  <c r="BG1780" i="17"/>
  <c r="CY1760" i="17"/>
  <c r="CK1765" i="17"/>
  <c r="BG1768" i="17"/>
  <c r="BG1764" i="17"/>
  <c r="BG1778" i="17"/>
  <c r="CY1759" i="17"/>
  <c r="CK1760" i="17"/>
  <c r="CK1759" i="17" s="1"/>
  <c r="BG1790" i="17"/>
  <c r="BG1783" i="17"/>
  <c r="BG1771" i="17"/>
  <c r="BG1792" i="17"/>
  <c r="BG1776" i="17"/>
  <c r="CK1761" i="17"/>
  <c r="BG1786" i="17"/>
  <c r="BG1782" i="17"/>
  <c r="BG1779" i="17"/>
  <c r="BG1765" i="17"/>
  <c r="BG1793" i="17"/>
  <c r="BG1787" i="17"/>
  <c r="BG1784" i="17"/>
  <c r="BG1773" i="17"/>
  <c r="BG1788" i="17"/>
  <c r="CK1764" i="17"/>
  <c r="S815" i="17"/>
  <c r="AA815" i="17"/>
  <c r="R815" i="17"/>
  <c r="M815" i="17"/>
  <c r="L24" i="17" s="1"/>
  <c r="L815" i="17"/>
  <c r="M814" i="17"/>
  <c r="L23" i="17" s="1"/>
  <c r="L814" i="17"/>
  <c r="S814" i="17"/>
  <c r="AA814" i="17"/>
  <c r="R814" i="17"/>
  <c r="T824" i="17"/>
  <c r="AL824" i="17" s="1"/>
  <c r="AJ824" i="17"/>
  <c r="K33" i="17"/>
  <c r="BM1789" i="17"/>
  <c r="BM1766" i="17"/>
  <c r="BM1779" i="17"/>
  <c r="BM1773" i="17"/>
  <c r="DE1764" i="17"/>
  <c r="DE1765" i="17" s="1"/>
  <c r="BM1792" i="17"/>
  <c r="BM1785" i="17"/>
  <c r="BM1794" i="17"/>
  <c r="BM1765" i="17"/>
  <c r="BM1775" i="17"/>
  <c r="BM1772" i="17"/>
  <c r="CQ1764" i="17"/>
  <c r="BM1767" i="17"/>
  <c r="DE1762" i="17"/>
  <c r="BM1769" i="17"/>
  <c r="BM1768" i="17"/>
  <c r="BM1781" i="17"/>
  <c r="BM1790" i="17"/>
  <c r="BM1764" i="17"/>
  <c r="DE1763" i="17"/>
  <c r="BM1777" i="17"/>
  <c r="BM1786" i="17"/>
  <c r="BM1763" i="17"/>
  <c r="BM1788" i="17"/>
  <c r="CQ1763" i="17"/>
  <c r="CQ1765" i="17"/>
  <c r="BM1782" i="17"/>
  <c r="BM1762" i="17"/>
  <c r="CQ1762" i="17"/>
  <c r="DE1760" i="17"/>
  <c r="BM1778" i="17"/>
  <c r="BM1761" i="17"/>
  <c r="BM1791" i="17"/>
  <c r="DE1761" i="17"/>
  <c r="DE1759" i="17"/>
  <c r="BM1774" i="17"/>
  <c r="BM1787" i="17"/>
  <c r="BM1780" i="17"/>
  <c r="BM1784" i="17"/>
  <c r="CQ1761" i="17"/>
  <c r="BM1758" i="17"/>
  <c r="BM1760" i="17"/>
  <c r="BM1793" i="17"/>
  <c r="BM1770" i="17"/>
  <c r="BM1783" i="17"/>
  <c r="BM1776" i="17"/>
  <c r="BM1771" i="17"/>
  <c r="CQ1760" i="17"/>
  <c r="BM1759" i="17"/>
  <c r="AB825" i="17"/>
  <c r="I34" i="17"/>
  <c r="AY823" i="17"/>
  <c r="I822" i="17"/>
  <c r="Q32" i="17"/>
  <c r="M32" i="17"/>
  <c r="O32" i="17"/>
  <c r="BP1754" i="17"/>
  <c r="BD1749" i="17" s="1" a="1"/>
  <c r="BD1749" i="17" s="1"/>
  <c r="BP1755" i="17"/>
  <c r="BE1749" i="17" s="1" a="1"/>
  <c r="BE1749" i="17" s="1"/>
  <c r="DH1765" i="17"/>
  <c r="CF1765" i="17" s="1"/>
  <c r="CF1764" i="17"/>
  <c r="G826" i="17"/>
  <c r="G825" i="17"/>
  <c r="BF1746" i="17"/>
  <c r="BW1763" i="17" l="1"/>
  <c r="BW1760" i="17"/>
  <c r="BW1762" i="17"/>
  <c r="BW1759" i="17"/>
  <c r="BW1761" i="17"/>
  <c r="CC1763" i="17"/>
  <c r="V782" i="17"/>
  <c r="N17" i="17" s="1"/>
  <c r="W782" i="17"/>
  <c r="O17" i="17" s="1"/>
  <c r="CC1761" i="17"/>
  <c r="CC1765" i="17"/>
  <c r="CC1764" i="17"/>
  <c r="CC1762" i="17"/>
  <c r="I818" i="17"/>
  <c r="Q818" i="17" s="1"/>
  <c r="DA1764" i="17"/>
  <c r="DA1765" i="17" s="1"/>
  <c r="BI1793" i="17"/>
  <c r="BI1775" i="17"/>
  <c r="BI1786" i="17"/>
  <c r="BI1770" i="17"/>
  <c r="BI1766" i="17"/>
  <c r="CM1761" i="17"/>
  <c r="DA1762" i="17"/>
  <c r="BI1794" i="17"/>
  <c r="BI1773" i="17"/>
  <c r="BI1782" i="17"/>
  <c r="BI1761" i="17"/>
  <c r="BI1791" i="17"/>
  <c r="BI1767" i="17"/>
  <c r="CM1760" i="17"/>
  <c r="BI1776" i="17"/>
  <c r="BI1765" i="17"/>
  <c r="BI1772" i="17"/>
  <c r="CM1763" i="17"/>
  <c r="BI1762" i="17"/>
  <c r="DA1763" i="17"/>
  <c r="BI1778" i="17"/>
  <c r="BI1792" i="17"/>
  <c r="DA1759" i="17"/>
  <c r="DA1761" i="17"/>
  <c r="CM1762" i="17"/>
  <c r="BI1774" i="17"/>
  <c r="BI1779" i="17"/>
  <c r="BI1769" i="17"/>
  <c r="CM1765" i="17"/>
  <c r="CM1764" i="17"/>
  <c r="BI1787" i="17"/>
  <c r="BI1783" i="17"/>
  <c r="BI1790" i="17"/>
  <c r="BI1771" i="17"/>
  <c r="BI1780" i="17"/>
  <c r="BI1758" i="17"/>
  <c r="BI1789" i="17"/>
  <c r="BI1785" i="17"/>
  <c r="BI1788" i="17"/>
  <c r="BI1784" i="17"/>
  <c r="BI1768" i="17"/>
  <c r="DA1760" i="17"/>
  <c r="BI1764" i="17"/>
  <c r="BI1760" i="17"/>
  <c r="BI1759" i="17"/>
  <c r="BI1781" i="17"/>
  <c r="BI1777" i="17"/>
  <c r="BI1763" i="17"/>
  <c r="I820" i="17"/>
  <c r="I821" i="17"/>
  <c r="Q816" i="17"/>
  <c r="J816" i="17"/>
  <c r="Q817" i="17"/>
  <c r="J817" i="17"/>
  <c r="BW1764" i="17"/>
  <c r="CY1765" i="17"/>
  <c r="BW1765" i="17" s="1"/>
  <c r="BG1752" i="17"/>
  <c r="BG1753" i="17"/>
  <c r="J819" i="17"/>
  <c r="Q819" i="17"/>
  <c r="W815" i="17"/>
  <c r="X815" i="17" s="1"/>
  <c r="AG815" i="17"/>
  <c r="AH815" i="17" s="1"/>
  <c r="AQ815" i="17"/>
  <c r="BG1749" i="17"/>
  <c r="AD815" i="17"/>
  <c r="AN815" i="17" s="1"/>
  <c r="AC815" i="17"/>
  <c r="AM815" i="17" s="1"/>
  <c r="U814" i="17"/>
  <c r="V814" i="17" s="1"/>
  <c r="AO814" i="17"/>
  <c r="AE814" i="17"/>
  <c r="AF814" i="17" s="1"/>
  <c r="AQ814" i="17"/>
  <c r="AG814" i="17"/>
  <c r="AH814" i="17" s="1"/>
  <c r="W814" i="17"/>
  <c r="X814" i="17" s="1"/>
  <c r="AC814" i="17"/>
  <c r="AM814" i="17" s="1"/>
  <c r="AD814" i="17"/>
  <c r="AN814" i="17" s="1"/>
  <c r="AU813" i="17" s="1"/>
  <c r="U815" i="17"/>
  <c r="V815" i="17" s="1"/>
  <c r="AO815" i="17"/>
  <c r="AE815" i="17"/>
  <c r="AF815" i="17" s="1"/>
  <c r="BJ1749" i="17"/>
  <c r="BO1775" i="17"/>
  <c r="BO1780" i="17"/>
  <c r="CS1764" i="17"/>
  <c r="DG1759" i="17"/>
  <c r="BO1766" i="17"/>
  <c r="BO1763" i="17"/>
  <c r="BO1785" i="17"/>
  <c r="BO1771" i="17"/>
  <c r="BO1776" i="17"/>
  <c r="BO1758" i="17"/>
  <c r="DG1762" i="17"/>
  <c r="BO1765" i="17"/>
  <c r="BO1767" i="17"/>
  <c r="CS1760" i="17"/>
  <c r="CS1759" i="17" s="1"/>
  <c r="BO1762" i="17"/>
  <c r="DG1764" i="17"/>
  <c r="BO1794" i="17"/>
  <c r="BO1793" i="17"/>
  <c r="BO1774" i="17"/>
  <c r="BO1760" i="17"/>
  <c r="BO1781" i="17"/>
  <c r="CS1762" i="17"/>
  <c r="BO1790" i="17"/>
  <c r="BO1791" i="17"/>
  <c r="BO1770" i="17"/>
  <c r="BO1768" i="17"/>
  <c r="CS1763" i="17"/>
  <c r="BO1759" i="17"/>
  <c r="BO1773" i="17"/>
  <c r="BO1786" i="17"/>
  <c r="BO1787" i="17"/>
  <c r="BO1792" i="17"/>
  <c r="BO1789" i="17"/>
  <c r="BO1769" i="17"/>
  <c r="BO1764" i="17"/>
  <c r="BO1777" i="17"/>
  <c r="BO1772" i="17"/>
  <c r="DG1761" i="17"/>
  <c r="BO1782" i="17"/>
  <c r="BO1783" i="17"/>
  <c r="BO1788" i="17"/>
  <c r="DG1763" i="17"/>
  <c r="BO1778" i="17"/>
  <c r="BO1779" i="17"/>
  <c r="BO1784" i="17"/>
  <c r="CS1761" i="17"/>
  <c r="DG1760" i="17"/>
  <c r="CS1765" i="17"/>
  <c r="BO1761" i="17"/>
  <c r="I824" i="17"/>
  <c r="AY825" i="17"/>
  <c r="I823" i="17"/>
  <c r="I825" i="17"/>
  <c r="BM1752" i="17"/>
  <c r="BM1753" i="17"/>
  <c r="CQ1759" i="17"/>
  <c r="CC1759" i="17" s="1"/>
  <c r="CC1760" i="17"/>
  <c r="AJ825" i="17"/>
  <c r="T825" i="17"/>
  <c r="AL825" i="17" s="1"/>
  <c r="K34" i="17"/>
  <c r="Q822" i="17"/>
  <c r="J822" i="17"/>
  <c r="O33" i="17"/>
  <c r="M33" i="17"/>
  <c r="Q33" i="17"/>
  <c r="CE1760" i="17" l="1"/>
  <c r="CE1759" i="17"/>
  <c r="CE1762" i="17"/>
  <c r="BY1764" i="17"/>
  <c r="CE1761" i="17"/>
  <c r="BY1763" i="17"/>
  <c r="CE1763" i="17"/>
  <c r="BY1761" i="17"/>
  <c r="O817" i="17"/>
  <c r="J26" i="17" s="1"/>
  <c r="Y817" i="17"/>
  <c r="H26" i="17" s="1"/>
  <c r="Y822" i="17"/>
  <c r="H31" i="17" s="1"/>
  <c r="O822" i="17"/>
  <c r="J31" i="17" s="1"/>
  <c r="O816" i="17"/>
  <c r="J25" i="17" s="1"/>
  <c r="Y816" i="17"/>
  <c r="H25" i="17" s="1"/>
  <c r="Y819" i="17"/>
  <c r="H28" i="17" s="1"/>
  <c r="O819" i="17"/>
  <c r="J28" i="17" s="1"/>
  <c r="BY1762" i="17"/>
  <c r="BY1765" i="17"/>
  <c r="J818" i="17"/>
  <c r="AK815" i="17"/>
  <c r="AT813" i="17"/>
  <c r="AV813" i="17" s="1"/>
  <c r="AK814" i="17"/>
  <c r="CM1759" i="17"/>
  <c r="BY1759" i="17" s="1"/>
  <c r="BY1760" i="17"/>
  <c r="Q821" i="17"/>
  <c r="J821" i="17"/>
  <c r="BI1752" i="17"/>
  <c r="BI1753" i="17"/>
  <c r="J820" i="17"/>
  <c r="Q820" i="17"/>
  <c r="AA819" i="17"/>
  <c r="S819" i="17"/>
  <c r="R819" i="17"/>
  <c r="M817" i="17"/>
  <c r="L26" i="17" s="1"/>
  <c r="L817" i="17"/>
  <c r="L819" i="17"/>
  <c r="M819" i="17"/>
  <c r="L28" i="17" s="1"/>
  <c r="AA817" i="17"/>
  <c r="S817" i="17"/>
  <c r="R817" i="17"/>
  <c r="AA818" i="17"/>
  <c r="S818" i="17"/>
  <c r="R818" i="17"/>
  <c r="M816" i="17"/>
  <c r="L25" i="17" s="1"/>
  <c r="L816" i="17"/>
  <c r="S816" i="17"/>
  <c r="R816" i="17"/>
  <c r="AA816" i="17"/>
  <c r="O34" i="17"/>
  <c r="M34" i="17"/>
  <c r="Q34" i="17"/>
  <c r="BO1752" i="17"/>
  <c r="BO1753" i="17"/>
  <c r="Q824" i="17"/>
  <c r="J824" i="17"/>
  <c r="DG1765" i="17"/>
  <c r="CE1765" i="17" s="1"/>
  <c r="CE1764" i="17"/>
  <c r="M822" i="17"/>
  <c r="L31" i="17" s="1"/>
  <c r="L822" i="17"/>
  <c r="Q825" i="17"/>
  <c r="J825" i="17"/>
  <c r="AA822" i="17"/>
  <c r="S822" i="17"/>
  <c r="R822" i="17"/>
  <c r="J823" i="17"/>
  <c r="Q823" i="17"/>
  <c r="O823" i="17" l="1"/>
  <c r="J32" i="17" s="1"/>
  <c r="Y823" i="17"/>
  <c r="H32" i="17" s="1"/>
  <c r="Y824" i="17"/>
  <c r="H33" i="17" s="1"/>
  <c r="O824" i="17"/>
  <c r="J33" i="17" s="1"/>
  <c r="AR814" i="17"/>
  <c r="BB813" i="17" s="1"/>
  <c r="AI814" i="17"/>
  <c r="O825" i="17"/>
  <c r="J34" i="17" s="1"/>
  <c r="Y825" i="17"/>
  <c r="H34" i="17" s="1"/>
  <c r="O820" i="17"/>
  <c r="J29" i="17" s="1"/>
  <c r="Y820" i="17"/>
  <c r="H29" i="17" s="1"/>
  <c r="AP815" i="17"/>
  <c r="AI815" i="17"/>
  <c r="M818" i="17"/>
  <c r="L27" i="17" s="1"/>
  <c r="Y818" i="17"/>
  <c r="H27" i="17" s="1"/>
  <c r="O818" i="17"/>
  <c r="J27" i="17" s="1"/>
  <c r="O821" i="17"/>
  <c r="J30" i="17" s="1"/>
  <c r="Y821" i="17"/>
  <c r="H30" i="17" s="1"/>
  <c r="BB1749" i="17" a="1"/>
  <c r="BB1749" i="17" s="1"/>
  <c r="L818" i="17"/>
  <c r="U818" i="17" s="1"/>
  <c r="V818" i="17" s="1"/>
  <c r="AP814" i="17"/>
  <c r="AZ813" i="17" s="1"/>
  <c r="AR815" i="17"/>
  <c r="AW813" i="17"/>
  <c r="S820" i="17"/>
  <c r="AA820" i="17"/>
  <c r="R820" i="17"/>
  <c r="L820" i="17"/>
  <c r="M820" i="17"/>
  <c r="L29" i="17" s="1"/>
  <c r="L821" i="17"/>
  <c r="M821" i="17"/>
  <c r="L30" i="17" s="1"/>
  <c r="S821" i="17"/>
  <c r="R821" i="17"/>
  <c r="AA821" i="17"/>
  <c r="BC1749" i="17" a="1"/>
  <c r="BC1749" i="17" s="1"/>
  <c r="AD816" i="17"/>
  <c r="AN816" i="17" s="1"/>
  <c r="AU815" i="17" s="1"/>
  <c r="AC816" i="17"/>
  <c r="AM816" i="17" s="1"/>
  <c r="AG817" i="17"/>
  <c r="AH817" i="17" s="1"/>
  <c r="AQ817" i="17"/>
  <c r="W817" i="17"/>
  <c r="X817" i="17" s="1"/>
  <c r="AD818" i="17"/>
  <c r="AN818" i="17" s="1"/>
  <c r="AC818" i="17"/>
  <c r="AM818" i="17" s="1"/>
  <c r="AC819" i="17"/>
  <c r="AM819" i="17" s="1"/>
  <c r="AD819" i="17"/>
  <c r="AN819" i="17" s="1"/>
  <c r="AO816" i="17"/>
  <c r="U816" i="17"/>
  <c r="V816" i="17" s="1"/>
  <c r="AE816" i="17"/>
  <c r="AF816" i="17" s="1"/>
  <c r="AC817" i="17"/>
  <c r="AM817" i="17" s="1"/>
  <c r="AD817" i="17"/>
  <c r="AN817" i="17" s="1"/>
  <c r="AG816" i="17"/>
  <c r="AH816" i="17" s="1"/>
  <c r="W816" i="17"/>
  <c r="X816" i="17" s="1"/>
  <c r="AQ816" i="17"/>
  <c r="W819" i="17"/>
  <c r="X819" i="17" s="1"/>
  <c r="AQ819" i="17"/>
  <c r="AG819" i="17"/>
  <c r="AH819" i="17" s="1"/>
  <c r="AE817" i="17"/>
  <c r="AF817" i="17" s="1"/>
  <c r="AO817" i="17"/>
  <c r="U817" i="17"/>
  <c r="V817" i="17" s="1"/>
  <c r="AO819" i="17"/>
  <c r="AE819" i="17"/>
  <c r="AF819" i="17" s="1"/>
  <c r="U819" i="17"/>
  <c r="V819" i="17" s="1"/>
  <c r="S22" i="17"/>
  <c r="AX813" i="17"/>
  <c r="W822" i="17"/>
  <c r="X822" i="17" s="1"/>
  <c r="AG822" i="17"/>
  <c r="AH822" i="17" s="1"/>
  <c r="AQ822" i="17"/>
  <c r="AC822" i="17"/>
  <c r="AM822" i="17" s="1"/>
  <c r="AD822" i="17"/>
  <c r="AN822" i="17" s="1"/>
  <c r="M823" i="17"/>
  <c r="L32" i="17" s="1"/>
  <c r="L823" i="17"/>
  <c r="L824" i="17"/>
  <c r="M824" i="17"/>
  <c r="L33" i="17" s="1"/>
  <c r="AA823" i="17"/>
  <c r="S823" i="17"/>
  <c r="R823" i="17"/>
  <c r="M825" i="17"/>
  <c r="L34" i="17" s="1"/>
  <c r="L825" i="17"/>
  <c r="AA825" i="17"/>
  <c r="R825" i="17"/>
  <c r="S825" i="17"/>
  <c r="AA824" i="17"/>
  <c r="S824" i="17"/>
  <c r="R824" i="17"/>
  <c r="AE822" i="17"/>
  <c r="AF822" i="17" s="1"/>
  <c r="U822" i="17"/>
  <c r="V822" i="17" s="1"/>
  <c r="AO822" i="17"/>
  <c r="AQ818" i="17" l="1"/>
  <c r="AG818" i="17"/>
  <c r="AH818" i="17" s="1"/>
  <c r="W818" i="17"/>
  <c r="X818" i="17" s="1"/>
  <c r="AO818" i="17"/>
  <c r="AE818" i="17"/>
  <c r="AF818" i="17" s="1"/>
  <c r="BF1749" i="17"/>
  <c r="BK1749" i="17" s="1"/>
  <c r="BL1749" i="17" s="1"/>
  <c r="P773" i="17" s="1"/>
  <c r="R11" i="17" s="1"/>
  <c r="AK818" i="17"/>
  <c r="AK816" i="17"/>
  <c r="AT815" i="17"/>
  <c r="AV815" i="17" s="1"/>
  <c r="AK817" i="17"/>
  <c r="BJ1748" i="17"/>
  <c r="AE821" i="17"/>
  <c r="AF821" i="17" s="1"/>
  <c r="U821" i="17"/>
  <c r="V821" i="17" s="1"/>
  <c r="AO821" i="17"/>
  <c r="W821" i="17"/>
  <c r="X821" i="17" s="1"/>
  <c r="AQ821" i="17"/>
  <c r="AG821" i="17"/>
  <c r="AH821" i="17" s="1"/>
  <c r="AO820" i="17"/>
  <c r="U820" i="17"/>
  <c r="V820" i="17" s="1"/>
  <c r="AE820" i="17"/>
  <c r="AF820" i="17" s="1"/>
  <c r="AG820" i="17"/>
  <c r="AH820" i="17" s="1"/>
  <c r="AQ820" i="17"/>
  <c r="W820" i="17"/>
  <c r="X820" i="17" s="1"/>
  <c r="AD821" i="17"/>
  <c r="AN821" i="17" s="1"/>
  <c r="AU821" i="17" s="1"/>
  <c r="AC821" i="17"/>
  <c r="AM821" i="17" s="1"/>
  <c r="AD820" i="17"/>
  <c r="AN820" i="17" s="1"/>
  <c r="AU819" i="17" s="1"/>
  <c r="AC820" i="17"/>
  <c r="AM820" i="17" s="1"/>
  <c r="AU817" i="17"/>
  <c r="AT817" i="17"/>
  <c r="AK819" i="17"/>
  <c r="AI819" i="17" s="1"/>
  <c r="AQ823" i="17"/>
  <c r="W823" i="17"/>
  <c r="X823" i="17" s="1"/>
  <c r="AG823" i="17"/>
  <c r="AH823" i="17" s="1"/>
  <c r="AD824" i="17"/>
  <c r="AN824" i="17" s="1"/>
  <c r="AC824" i="17"/>
  <c r="AM824" i="17" s="1"/>
  <c r="AC823" i="17"/>
  <c r="AM823" i="17" s="1"/>
  <c r="AD823" i="17"/>
  <c r="AN823" i="17" s="1"/>
  <c r="AD825" i="17"/>
  <c r="AN825" i="17" s="1"/>
  <c r="AU825" i="17" s="1"/>
  <c r="AC825" i="17"/>
  <c r="AM825" i="17" s="1"/>
  <c r="AK822" i="17"/>
  <c r="AI822" i="17" s="1"/>
  <c r="U825" i="17"/>
  <c r="V825" i="17" s="1"/>
  <c r="AO825" i="17"/>
  <c r="AE825" i="17"/>
  <c r="AF825" i="17" s="1"/>
  <c r="AG824" i="17"/>
  <c r="AH824" i="17" s="1"/>
  <c r="W824" i="17"/>
  <c r="X824" i="17" s="1"/>
  <c r="AQ824" i="17"/>
  <c r="AQ825" i="17"/>
  <c r="AG825" i="17"/>
  <c r="AH825" i="17" s="1"/>
  <c r="W825" i="17"/>
  <c r="X825" i="17" s="1"/>
  <c r="AO824" i="17"/>
  <c r="AE824" i="17"/>
  <c r="AF824" i="17" s="1"/>
  <c r="U824" i="17"/>
  <c r="V824" i="17" s="1"/>
  <c r="U823" i="17"/>
  <c r="V823" i="17" s="1"/>
  <c r="AO823" i="17"/>
  <c r="AE823" i="17"/>
  <c r="AF823" i="17" s="1"/>
  <c r="AV817" i="17" l="1"/>
  <c r="AP817" i="17"/>
  <c r="AI817" i="17"/>
  <c r="AR816" i="17"/>
  <c r="BB815" i="17" s="1"/>
  <c r="AI816" i="17"/>
  <c r="AR818" i="17"/>
  <c r="AI818" i="17"/>
  <c r="BK1748" i="17"/>
  <c r="BL1748" i="17" s="1"/>
  <c r="P772" i="17" s="1"/>
  <c r="R10" i="17" s="1"/>
  <c r="AP818" i="17"/>
  <c r="AK823" i="17"/>
  <c r="AW815" i="17"/>
  <c r="AK821" i="17"/>
  <c r="AR817" i="17"/>
  <c r="AK820" i="17"/>
  <c r="AP816" i="17"/>
  <c r="AZ815" i="17" s="1"/>
  <c r="AU823" i="17"/>
  <c r="AT819" i="17"/>
  <c r="AV819" i="17" s="1"/>
  <c r="AT821" i="17"/>
  <c r="AV821" i="17" s="1"/>
  <c r="AP819" i="17"/>
  <c r="AR819" i="17"/>
  <c r="AW817" i="17"/>
  <c r="S24" i="17"/>
  <c r="AX815" i="17"/>
  <c r="AK825" i="17"/>
  <c r="AI825" i="17" s="1"/>
  <c r="AT825" i="17"/>
  <c r="AV825" i="17" s="1"/>
  <c r="AT823" i="17"/>
  <c r="AK824" i="17"/>
  <c r="AI824" i="17" s="1"/>
  <c r="AR822" i="17"/>
  <c r="AP822" i="17"/>
  <c r="BB817" i="17" l="1"/>
  <c r="AZ817" i="17"/>
  <c r="AV823" i="17"/>
  <c r="AR820" i="17"/>
  <c r="BB819" i="17" s="1"/>
  <c r="AI820" i="17"/>
  <c r="AR821" i="17"/>
  <c r="BB821" i="17" s="1"/>
  <c r="AI821" i="17"/>
  <c r="AP823" i="17"/>
  <c r="AI823" i="17"/>
  <c r="AR823" i="17"/>
  <c r="AP821" i="17"/>
  <c r="AZ821" i="17" s="1"/>
  <c r="AW821" i="17"/>
  <c r="AP820" i="17"/>
  <c r="AZ819" i="17" s="1"/>
  <c r="AW819" i="17"/>
  <c r="AX817" i="17"/>
  <c r="S26" i="17"/>
  <c r="S28" i="17"/>
  <c r="AX819" i="17"/>
  <c r="AP824" i="17"/>
  <c r="AR824" i="17"/>
  <c r="AW823" i="17"/>
  <c r="AR825" i="17"/>
  <c r="BB825" i="17" s="1"/>
  <c r="AP825" i="17"/>
  <c r="AZ825" i="17" s="1"/>
  <c r="AW825" i="17"/>
  <c r="AX821" i="17"/>
  <c r="S30" i="17"/>
  <c r="AZ823" i="17" l="1"/>
  <c r="BB823" i="17"/>
  <c r="AX823" i="17"/>
  <c r="S32" i="17"/>
  <c r="AX825" i="17"/>
  <c r="S3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Williams, Justin</author>
  </authors>
  <commentList>
    <comment ref="E6" authorId="0" shapeId="0" xr:uid="{A43AE515-4BD4-4C18-B1FD-2C459D6B9900}">
      <text>
        <r>
          <rPr>
            <b/>
            <sz val="9"/>
            <color indexed="81"/>
            <rFont val="Tahoma"/>
            <family val="2"/>
          </rPr>
          <t>Williams, Justin:</t>
        </r>
        <r>
          <rPr>
            <sz val="9"/>
            <color indexed="81"/>
            <rFont val="Tahoma"/>
            <family val="2"/>
          </rPr>
          <t xml:space="preserve">
Must be same on both gear/pinion set in order to mesh properly. This is normal with respect to the tooth, not the axis of the gear. (Spur gear will be with respect to both).
If unknown, '20' deg is a good starting point as this probably the most common.</t>
        </r>
      </text>
    </comment>
    <comment ref="E7" authorId="0" shapeId="0" xr:uid="{1D6D8C69-6A4A-4186-BABA-31C7D41D3C1C}">
      <text>
        <r>
          <rPr>
            <b/>
            <sz val="9"/>
            <color indexed="81"/>
            <rFont val="Tahoma"/>
            <family val="2"/>
          </rPr>
          <t>Williams, Justin:</t>
        </r>
        <r>
          <rPr>
            <sz val="9"/>
            <color indexed="81"/>
            <rFont val="Tahoma"/>
            <family val="2"/>
          </rPr>
          <t xml:space="preserve">
(At standard pitch diameter)
Note this is '0' for spur gears.</t>
        </r>
      </text>
    </comment>
    <comment ref="E8" authorId="0" shapeId="0" xr:uid="{C9072B18-CFEF-4B96-A8DF-652FECA3DA75}">
      <text>
        <r>
          <rPr>
            <b/>
            <sz val="9"/>
            <color indexed="81"/>
            <rFont val="Tahoma"/>
            <family val="2"/>
          </rPr>
          <t>Williams, Justin:</t>
        </r>
        <r>
          <rPr>
            <sz val="9"/>
            <color indexed="81"/>
            <rFont val="Tahoma"/>
            <family val="2"/>
          </rPr>
          <t xml:space="preserve">
Must be the same on pinion/gear set.</t>
        </r>
      </text>
    </comment>
    <comment ref="E23" authorId="0" shapeId="0" xr:uid="{F975D4AE-B0F7-4E4F-85BE-9B1B0A6EAB68}">
      <text>
        <r>
          <rPr>
            <b/>
            <sz val="9"/>
            <color indexed="81"/>
            <rFont val="Tahoma"/>
            <family val="2"/>
          </rPr>
          <t>Williams, Justin:</t>
        </r>
        <r>
          <rPr>
            <sz val="9"/>
            <color indexed="81"/>
            <rFont val="Tahoma"/>
            <family val="2"/>
          </rPr>
          <t xml:space="preserve">
Grades 1 or Grade 2. Grade 2 can withstand more bending stress at the same hardness.</t>
        </r>
      </text>
    </comment>
    <comment ref="E24" authorId="0" shapeId="0" xr:uid="{72B2F86A-F377-423B-BA1B-5D3BA9D3C156}">
      <text>
        <r>
          <rPr>
            <b/>
            <sz val="9"/>
            <color indexed="81"/>
            <rFont val="Tahoma"/>
            <family val="2"/>
          </rPr>
          <t>Williams, Justin:</t>
        </r>
        <r>
          <rPr>
            <sz val="9"/>
            <color indexed="81"/>
            <rFont val="Tahoma"/>
            <family val="2"/>
          </rPr>
          <t xml:space="preserve">
3-7 are generally commercially available gear quality numbers, 8-12 are geenerally considered precision gears.
This can also be taken as the same as the AGMA transmission accuracy level number.</t>
        </r>
      </text>
    </comment>
    <comment ref="E25" authorId="0" shapeId="0" xr:uid="{D9D5EAFE-17EF-498E-A3C3-6ADECCA4641E}">
      <text>
        <r>
          <rPr>
            <b/>
            <sz val="9"/>
            <color indexed="81"/>
            <rFont val="Tahoma"/>
            <family val="2"/>
          </rPr>
          <t>Williams, Justin:</t>
        </r>
        <r>
          <rPr>
            <sz val="9"/>
            <color indexed="81"/>
            <rFont val="Tahoma"/>
            <family val="2"/>
          </rPr>
          <t xml:space="preserve">
Generally used for when there are transients or spikes in torque being transmitted. Set to '1' assummes steady-state.</t>
        </r>
      </text>
    </comment>
    <comment ref="E26" authorId="0" shapeId="0" xr:uid="{E461EC24-C553-450A-B551-4EF974DBB28F}">
      <text>
        <r>
          <rPr>
            <b/>
            <sz val="9"/>
            <color indexed="81"/>
            <rFont val="Tahoma"/>
            <family val="2"/>
          </rPr>
          <t>Williams, Justin:</t>
        </r>
        <r>
          <rPr>
            <sz val="9"/>
            <color indexed="81"/>
            <rFont val="Tahoma"/>
            <family val="2"/>
          </rPr>
          <t xml:space="preserve">
Shigley's says this is an optional factor.</t>
        </r>
      </text>
    </comment>
    <comment ref="E27" authorId="0" shapeId="0" xr:uid="{A7613B0E-AD1C-419B-9CAA-D34D6120963E}">
      <text>
        <r>
          <rPr>
            <b/>
            <sz val="9"/>
            <color indexed="81"/>
            <rFont val="Tahoma"/>
            <family val="2"/>
          </rPr>
          <t>Williams, Justin:</t>
        </r>
        <r>
          <rPr>
            <sz val="9"/>
            <color indexed="81"/>
            <rFont val="Tahoma"/>
            <family val="2"/>
          </rPr>
          <t xml:space="preserve">
Up to 120 deg C, use K_T=1. See Shigley's 14-15. </t>
        </r>
      </text>
    </comment>
    <comment ref="E28" authorId="0" shapeId="0" xr:uid="{2F2D3EE0-3C1A-41B2-B203-743F0F765718}">
      <text>
        <r>
          <rPr>
            <b/>
            <sz val="9"/>
            <color indexed="81"/>
            <rFont val="Tahoma"/>
            <family val="2"/>
          </rPr>
          <t>Williams, Justin:</t>
        </r>
        <r>
          <rPr>
            <sz val="9"/>
            <color indexed="81"/>
            <rFont val="Tahoma"/>
            <family val="2"/>
          </rPr>
          <t xml:space="preserve">
This allows for factoring in the (usually) harder surface for the pinion rather than the gear mating up against the pinion/gear. If dealing with pinion, typically set this equal to '1'.
</t>
        </r>
      </text>
    </comment>
    <comment ref="E29" authorId="0" shapeId="0" xr:uid="{5C3365BA-0C4F-41D3-B7AC-B74A870B2A00}">
      <text>
        <r>
          <rPr>
            <b/>
            <sz val="9"/>
            <color indexed="81"/>
            <rFont val="Tahoma"/>
            <family val="2"/>
          </rPr>
          <t>Williams, Justin:</t>
        </r>
        <r>
          <rPr>
            <sz val="9"/>
            <color indexed="81"/>
            <rFont val="Tahoma"/>
            <family val="2"/>
          </rPr>
          <t xml:space="preserve">
AGMA standards have no defined formula for this that I know of. Suggest using '1' unless historical evidence supports raising this value. If detrimental surface conditions, will need to raise this value, but I have no way of knowing by how much.</t>
        </r>
      </text>
    </comment>
    <comment ref="E31" authorId="0" shapeId="0" xr:uid="{3D697C4E-A7EC-44F5-8B97-32431C3AF42F}">
      <text>
        <r>
          <rPr>
            <b/>
            <sz val="9"/>
            <color indexed="81"/>
            <rFont val="Tahoma"/>
            <family val="2"/>
          </rPr>
          <t>Williams, Justin:</t>
        </r>
        <r>
          <rPr>
            <sz val="9"/>
            <color indexed="81"/>
            <rFont val="Tahoma"/>
            <family val="2"/>
          </rPr>
          <t xml:space="preserve">
Allows user to input whole depth of pinion. If no input, will assume this is addendum+dedendum
</t>
        </r>
      </text>
    </comment>
    <comment ref="E32" authorId="0" shapeId="0" xr:uid="{17275A59-D742-4F70-B0FB-8EF2780F212A}">
      <text>
        <r>
          <rPr>
            <b/>
            <sz val="9"/>
            <color indexed="81"/>
            <rFont val="Tahoma"/>
            <family val="2"/>
          </rPr>
          <t>Williams, Justin:</t>
        </r>
        <r>
          <rPr>
            <sz val="9"/>
            <color indexed="81"/>
            <rFont val="Tahoma"/>
            <family val="2"/>
          </rPr>
          <t xml:space="preserve">
Allows user to input whole depth of pinion. If no input, will assume this is addendum+dedendum
</t>
        </r>
      </text>
    </comment>
    <comment ref="E34" authorId="0" shapeId="0" xr:uid="{FA2B1183-0E89-42A7-B8B7-1EB60F67BDF1}">
      <text>
        <r>
          <rPr>
            <b/>
            <sz val="9"/>
            <color indexed="81"/>
            <rFont val="Tahoma"/>
            <family val="2"/>
          </rPr>
          <t>Williams, Justin:</t>
        </r>
        <r>
          <rPr>
            <sz val="9"/>
            <color indexed="81"/>
            <rFont val="Tahoma"/>
            <family val="2"/>
          </rPr>
          <t xml:space="preserve">
Minimum number of teeth for full depth is 18, for stub is 14. Controls addendum and dedendum.</t>
        </r>
      </text>
    </comment>
    <comment ref="E35" authorId="0" shapeId="0" xr:uid="{19E32524-C691-48F9-8D1D-592478AD68BD}">
      <text>
        <r>
          <rPr>
            <b/>
            <sz val="9"/>
            <color indexed="81"/>
            <rFont val="Tahoma"/>
            <family val="2"/>
          </rPr>
          <t>Williams, Justin:</t>
        </r>
        <r>
          <rPr>
            <sz val="9"/>
            <color indexed="81"/>
            <rFont val="Tahoma"/>
            <family val="2"/>
          </rPr>
          <t xml:space="preserve">
This is how the gear shapes are made. This is used in the Barth velocity factor, to account for the finish of the gears. 'Unknown' Will assume 'Shaped'/'Hobbed'.</t>
        </r>
      </text>
    </comment>
    <comment ref="E39" authorId="0" shapeId="0" xr:uid="{20D9780B-368D-42FF-BB5F-E0AEF99B716B}">
      <text>
        <r>
          <rPr>
            <b/>
            <sz val="9"/>
            <color indexed="81"/>
            <rFont val="Tahoma"/>
            <family val="2"/>
          </rPr>
          <t>Williams, Justin:</t>
        </r>
        <r>
          <rPr>
            <sz val="9"/>
            <color indexed="81"/>
            <rFont val="Tahoma"/>
            <family val="2"/>
          </rPr>
          <t xml:space="preserve">
Refers to which way teeth are facing. External gears most common, with end of gear tooth facing away from center of gear.</t>
        </r>
      </text>
    </comment>
    <comment ref="E54" authorId="0" shapeId="0" xr:uid="{17248BDD-A0D9-402A-A632-786B559A2A97}">
      <text>
        <r>
          <rPr>
            <b/>
            <sz val="9"/>
            <color indexed="81"/>
            <rFont val="Tahoma"/>
            <family val="2"/>
          </rPr>
          <t>Williams, Justin:</t>
        </r>
        <r>
          <rPr>
            <sz val="9"/>
            <color indexed="81"/>
            <rFont val="Tahoma"/>
            <family val="2"/>
          </rPr>
          <t xml:space="preserve">
Think of how many equivalent teeth if this were a spur gear.
</t>
        </r>
      </text>
    </comment>
    <comment ref="E55" authorId="0" shapeId="0" xr:uid="{02DD55C5-A0B7-4D4D-BCC2-E137499922A1}">
      <text>
        <r>
          <rPr>
            <b/>
            <sz val="9"/>
            <color indexed="81"/>
            <rFont val="Tahoma"/>
            <family val="2"/>
          </rPr>
          <t>Williams, Justin:</t>
        </r>
        <r>
          <rPr>
            <sz val="9"/>
            <color indexed="81"/>
            <rFont val="Tahoma"/>
            <family val="2"/>
          </rPr>
          <t xml:space="preserve">
Think of how many equivalent teeth if this were a spur gear.
</t>
        </r>
      </text>
    </comment>
    <comment ref="E59" authorId="0" shapeId="0" xr:uid="{8F338B01-F201-4ABB-AA72-3B612F648966}">
      <text>
        <r>
          <rPr>
            <b/>
            <sz val="9"/>
            <color indexed="81"/>
            <rFont val="Tahoma"/>
            <family val="2"/>
          </rPr>
          <t>Williams, Justin:</t>
        </r>
        <r>
          <rPr>
            <sz val="9"/>
            <color indexed="81"/>
            <rFont val="Tahoma"/>
            <family val="2"/>
          </rPr>
          <t xml:space="preserve">
Distance from a point on one tooth to the corresponding point on the next tooth, measured along the arc of the pitch circle.</t>
        </r>
      </text>
    </comment>
    <comment ref="E62" authorId="0" shapeId="0" xr:uid="{D752C5C0-037A-4A85-B4BC-F2F0EE158AF0}">
      <text>
        <r>
          <rPr>
            <b/>
            <sz val="9"/>
            <color indexed="81"/>
            <rFont val="Tahoma"/>
            <family val="2"/>
          </rPr>
          <t>Williams, Justin:</t>
        </r>
        <r>
          <rPr>
            <sz val="9"/>
            <color indexed="81"/>
            <rFont val="Tahoma"/>
            <family val="2"/>
          </rPr>
          <t xml:space="preserve">
measured along the pitch circle</t>
        </r>
      </text>
    </comment>
    <comment ref="E64" authorId="0" shapeId="0" xr:uid="{870FD546-3322-4C5F-A9F1-C5E0828D0478}">
      <text>
        <r>
          <rPr>
            <b/>
            <sz val="9"/>
            <color indexed="81"/>
            <rFont val="Tahoma"/>
            <family val="2"/>
          </rPr>
          <t>Williams, Justin:</t>
        </r>
        <r>
          <rPr>
            <sz val="9"/>
            <color indexed="81"/>
            <rFont val="Tahoma"/>
            <family val="2"/>
          </rPr>
          <t xml:space="preserve">
Distance between teeth if measured tangent along the tooth</t>
        </r>
      </text>
    </comment>
    <comment ref="E69" authorId="0" shapeId="0" xr:uid="{8D023885-B776-4084-B901-F4A768AFDCB7}">
      <text>
        <r>
          <rPr>
            <b/>
            <sz val="9"/>
            <color indexed="81"/>
            <rFont val="Tahoma"/>
            <family val="2"/>
          </rPr>
          <t>Williams, Justin:</t>
        </r>
        <r>
          <rPr>
            <sz val="9"/>
            <color indexed="81"/>
            <rFont val="Tahoma"/>
            <family val="2"/>
          </rPr>
          <t xml:space="preserve">
How fast a point is moving along the pressure angle.</t>
        </r>
      </text>
    </comment>
    <comment ref="E74" authorId="0" shapeId="0" xr:uid="{C83A4E31-92F2-4B9F-A0CD-09658612227C}">
      <text>
        <r>
          <rPr>
            <b/>
            <sz val="9"/>
            <color indexed="81"/>
            <rFont val="Tahoma"/>
            <family val="2"/>
          </rPr>
          <t>Williams, Justin:</t>
        </r>
        <r>
          <rPr>
            <sz val="9"/>
            <color indexed="81"/>
            <rFont val="Tahoma"/>
            <family val="2"/>
          </rPr>
          <t xml:space="preserve">
Angle is same as pressure angle line.
</t>
        </r>
      </text>
    </comment>
    <comment ref="E76" authorId="0" shapeId="0" xr:uid="{D2C9F9BF-7B22-4E90-9052-8D7B3165A6BC}">
      <text>
        <r>
          <rPr>
            <b/>
            <sz val="9"/>
            <color indexed="81"/>
            <rFont val="Tahoma"/>
            <family val="2"/>
          </rPr>
          <t>Williams, Justin:</t>
        </r>
        <r>
          <rPr>
            <sz val="9"/>
            <color indexed="81"/>
            <rFont val="Tahoma"/>
            <family val="2"/>
          </rPr>
          <t xml:space="preserve">
Note this is different from the dynamic factor.</t>
        </r>
      </text>
    </comment>
    <comment ref="E77" authorId="0" shapeId="0" xr:uid="{07F61E54-578D-48DF-A156-42706EE2FE12}">
      <text>
        <r>
          <rPr>
            <b/>
            <sz val="9"/>
            <color indexed="81"/>
            <rFont val="Tahoma"/>
            <family val="2"/>
          </rPr>
          <t>Williams, Justin:</t>
        </r>
        <r>
          <rPr>
            <sz val="9"/>
            <color indexed="81"/>
            <rFont val="Tahoma"/>
            <family val="2"/>
          </rPr>
          <t xml:space="preserve">
Should use AGMA method instead, but may be used for comparison purposes at least.</t>
        </r>
      </text>
    </comment>
    <comment ref="E78" authorId="0" shapeId="0" xr:uid="{DCAF760B-F936-416A-9633-976BC0B42A66}">
      <text>
        <r>
          <rPr>
            <b/>
            <sz val="9"/>
            <color indexed="81"/>
            <rFont val="Tahoma"/>
            <family val="2"/>
          </rPr>
          <t>Williams, Justin:</t>
        </r>
        <r>
          <rPr>
            <sz val="9"/>
            <color indexed="81"/>
            <rFont val="Tahoma"/>
            <family val="2"/>
          </rPr>
          <t xml:space="preserve">
Eq 14-28 Shigley's</t>
        </r>
      </text>
    </comment>
    <comment ref="E79" authorId="0" shapeId="0" xr:uid="{D0E2D777-AFC8-43DF-BCC5-88A6AAF1E175}">
      <text>
        <r>
          <rPr>
            <b/>
            <sz val="9"/>
            <color indexed="81"/>
            <rFont val="Tahoma"/>
            <family val="2"/>
          </rPr>
          <t>Williams, Justin:</t>
        </r>
        <r>
          <rPr>
            <sz val="9"/>
            <color indexed="81"/>
            <rFont val="Tahoma"/>
            <family val="2"/>
          </rPr>
          <t xml:space="preserve">
Eq 14-28 Shigley's</t>
        </r>
      </text>
    </comment>
    <comment ref="E80" authorId="0" shapeId="0" xr:uid="{C4B7C4B3-50FD-4995-A675-475BC25C6D42}">
      <text>
        <r>
          <rPr>
            <b/>
            <sz val="9"/>
            <color indexed="81"/>
            <rFont val="Tahoma"/>
            <family val="2"/>
          </rPr>
          <t>Williams, Justin:</t>
        </r>
        <r>
          <rPr>
            <sz val="9"/>
            <color indexed="81"/>
            <rFont val="Tahoma"/>
            <family val="2"/>
          </rPr>
          <t xml:space="preserve">
Note not the same as Barth Velocity Factor.    Dynamic Factor used to account for inaccurracies in manufacturing and meshing of gear teeth. </t>
        </r>
      </text>
    </comment>
    <comment ref="E83" authorId="0" shapeId="0" xr:uid="{76A8ED6C-B90B-48F6-8ED9-F1690FFAC22F}">
      <text>
        <r>
          <rPr>
            <b/>
            <sz val="9"/>
            <color indexed="81"/>
            <rFont val="Tahoma"/>
            <family val="2"/>
          </rPr>
          <t>Williams, Justin:</t>
        </r>
        <r>
          <rPr>
            <sz val="9"/>
            <color indexed="81"/>
            <rFont val="Tahoma"/>
            <family val="2"/>
          </rPr>
          <t xml:space="preserve">
Factors in bearings being too far away from centrally locating gear</t>
        </r>
      </text>
    </comment>
    <comment ref="E84" authorId="0" shapeId="0" xr:uid="{7EEAF727-8617-4380-BEAE-0AC0A34CCB30}">
      <text>
        <r>
          <rPr>
            <b/>
            <sz val="9"/>
            <color indexed="81"/>
            <rFont val="Tahoma"/>
            <family val="2"/>
          </rPr>
          <t>Williams, Justin:</t>
        </r>
        <r>
          <rPr>
            <sz val="9"/>
            <color indexed="81"/>
            <rFont val="Tahoma"/>
            <family val="2"/>
          </rPr>
          <t xml:space="preserve">
See Table 14-9</t>
        </r>
      </text>
    </comment>
    <comment ref="E85" authorId="0" shapeId="0" xr:uid="{B6965B0A-9C44-483D-9150-4912237F1153}">
      <text>
        <r>
          <rPr>
            <b/>
            <sz val="9"/>
            <color indexed="81"/>
            <rFont val="Tahoma"/>
            <family val="2"/>
          </rPr>
          <t>Williams, Justin:</t>
        </r>
        <r>
          <rPr>
            <sz val="9"/>
            <color indexed="81"/>
            <rFont val="Tahoma"/>
            <family val="2"/>
          </rPr>
          <t xml:space="preserve">
See Table 14-9</t>
        </r>
      </text>
    </comment>
    <comment ref="E86" authorId="0" shapeId="0" xr:uid="{F88F0548-7811-4343-943F-4E31BBB1E45A}">
      <text>
        <r>
          <rPr>
            <b/>
            <sz val="9"/>
            <color indexed="81"/>
            <rFont val="Tahoma"/>
            <family val="2"/>
          </rPr>
          <t>Williams, Justin:</t>
        </r>
        <r>
          <rPr>
            <sz val="9"/>
            <color indexed="81"/>
            <rFont val="Tahoma"/>
            <family val="2"/>
          </rPr>
          <t xml:space="preserve">
See Table 14-9</t>
        </r>
      </text>
    </comment>
    <comment ref="E88" authorId="0" shapeId="0" xr:uid="{8C997BAF-343B-4E48-96D1-677316354D45}">
      <text>
        <r>
          <rPr>
            <b/>
            <sz val="9"/>
            <color indexed="81"/>
            <rFont val="Tahoma"/>
            <family val="2"/>
          </rPr>
          <t>Williams, Justin:</t>
        </r>
        <r>
          <rPr>
            <sz val="9"/>
            <color indexed="81"/>
            <rFont val="Tahoma"/>
            <family val="2"/>
          </rPr>
          <t xml:space="preserve">
Used to factor in reduction in stress from lapping gears or precision adjusting during assembly.</t>
        </r>
      </text>
    </comment>
    <comment ref="E89" authorId="0" shapeId="0" xr:uid="{BBF24CEA-C807-4D75-9B47-9B6CC87CE172}">
      <text>
        <r>
          <rPr>
            <b/>
            <sz val="9"/>
            <color indexed="81"/>
            <rFont val="Tahoma"/>
            <family val="2"/>
          </rPr>
          <t>Williams, Justin:</t>
        </r>
        <r>
          <rPr>
            <sz val="9"/>
            <color indexed="81"/>
            <rFont val="Tahoma"/>
            <family val="2"/>
          </rPr>
          <t xml:space="preserve">
Accounts for nonuniform distributon of the load across the line of contact of the teeth. For example, not having centrally located between two bearings.    AGMA standards currently use this same as Face Load Distribution Factor (C_mf).</t>
        </r>
      </text>
    </comment>
    <comment ref="E91" authorId="0" shapeId="0" xr:uid="{5EA15D29-6A22-4342-ACE4-15D323682D08}">
      <text>
        <r>
          <rPr>
            <b/>
            <sz val="9"/>
            <color indexed="81"/>
            <rFont val="Tahoma"/>
            <family val="2"/>
          </rPr>
          <t>Williams, Justin:</t>
        </r>
        <r>
          <rPr>
            <sz val="9"/>
            <color indexed="81"/>
            <rFont val="Tahoma"/>
            <family val="2"/>
          </rPr>
          <t xml:space="preserve">
Useful if rim thickness is small enough that there is a chance of rim fatigue prior to tooth fatigue.</t>
        </r>
      </text>
    </comment>
    <comment ref="E94" authorId="0" shapeId="0" xr:uid="{792ACD06-5806-4000-9F39-8DA1E0266F8F}">
      <text>
        <r>
          <rPr>
            <b/>
            <sz val="9"/>
            <color indexed="81"/>
            <rFont val="Tahoma"/>
            <family val="2"/>
          </rPr>
          <t>Williams, Justin:</t>
        </r>
        <r>
          <rPr>
            <sz val="9"/>
            <color indexed="81"/>
            <rFont val="Tahoma"/>
            <family val="2"/>
          </rPr>
          <t xml:space="preserve">
Accounts for fatigue for bending stress for different amounts of stress cycles. Will use more conservative of curves from figure 14-14 for now.</t>
        </r>
      </text>
    </comment>
    <comment ref="E95" authorId="0" shapeId="0" xr:uid="{C7CD8E66-B6E4-4D02-A880-91E9CDE96A6C}">
      <text>
        <r>
          <rPr>
            <b/>
            <sz val="9"/>
            <color indexed="81"/>
            <rFont val="Tahoma"/>
            <family val="2"/>
          </rPr>
          <t>Williams, Justin:</t>
        </r>
        <r>
          <rPr>
            <sz val="9"/>
            <color indexed="81"/>
            <rFont val="Tahoma"/>
            <family val="2"/>
          </rPr>
          <t xml:space="preserve">
See Table 14-10.    This is a step function at 0.5, 0.9, 0.99, 0.999, and 0.9999</t>
        </r>
      </text>
    </comment>
    <comment ref="E97" authorId="0" shapeId="0" xr:uid="{623D3478-402B-471D-B222-7C8C5AB145BF}">
      <text>
        <r>
          <rPr>
            <b/>
            <sz val="9"/>
            <color indexed="81"/>
            <rFont val="Tahoma"/>
            <family val="2"/>
          </rPr>
          <t>Williams, Justin:</t>
        </r>
        <r>
          <rPr>
            <sz val="9"/>
            <color indexed="81"/>
            <rFont val="Tahoma"/>
            <family val="2"/>
          </rPr>
          <t xml:space="preserve">
sqrt(pressure) units. This takes into acccount the pinion being more elastic than the gear or vice-versa. For steel on steel, these values do not change much from one to the other. See table 14-8 for estimating using tables instead.</t>
        </r>
      </text>
    </comment>
    <comment ref="E99" authorId="0" shapeId="0" xr:uid="{1B306A75-65D6-42FA-9B67-0109332218A3}">
      <text>
        <r>
          <rPr>
            <b/>
            <sz val="9"/>
            <color indexed="81"/>
            <rFont val="Tahoma"/>
            <family val="2"/>
          </rPr>
          <t>Williams, Justin:</t>
        </r>
        <r>
          <rPr>
            <sz val="9"/>
            <color indexed="81"/>
            <rFont val="Tahoma"/>
            <family val="2"/>
          </rPr>
          <t xml:space="preserve">
Figure 14-5.
</t>
        </r>
      </text>
    </comment>
    <comment ref="E100" authorId="0" shapeId="0" xr:uid="{460DC11E-7B20-4242-8013-E684FCBB5E91}">
      <text>
        <r>
          <rPr>
            <b/>
            <sz val="9"/>
            <color indexed="81"/>
            <rFont val="Tahoma"/>
            <family val="2"/>
          </rPr>
          <t>Williams, Justin:</t>
        </r>
        <r>
          <rPr>
            <sz val="9"/>
            <color indexed="81"/>
            <rFont val="Tahoma"/>
            <family val="2"/>
          </rPr>
          <t xml:space="preserve">
Note this is using the more conservative curve of figure 14-15 right now. This may not be valid for nitrided parts at less than 10^7 cycles. Want to add parameter to account for nitriding eventually.</t>
        </r>
      </text>
    </comment>
    <comment ref="E102" authorId="0" shapeId="0" xr:uid="{89C3C34D-1648-4C22-8AB8-9E7C39AD564C}">
      <text>
        <r>
          <rPr>
            <b/>
            <sz val="9"/>
            <color indexed="81"/>
            <rFont val="Tahoma"/>
            <family val="2"/>
          </rPr>
          <t>Williams, Justin:</t>
        </r>
        <r>
          <rPr>
            <sz val="9"/>
            <color indexed="81"/>
            <rFont val="Tahoma"/>
            <family val="2"/>
          </rPr>
          <t xml:space="preserve">
Note this is not linear like S_F is. Instead, see S_H^. See Section 14-17 of Shigley's.</t>
        </r>
      </text>
    </comment>
    <comment ref="E103" authorId="0" shapeId="0" xr:uid="{DA43ED4C-8115-4114-A704-186FBEA7EEF9}">
      <text>
        <r>
          <rPr>
            <b/>
            <sz val="9"/>
            <color indexed="81"/>
            <rFont val="Tahoma"/>
            <family val="2"/>
          </rPr>
          <t>Williams, Justin:</t>
        </r>
        <r>
          <rPr>
            <sz val="9"/>
            <color indexed="81"/>
            <rFont val="Tahoma"/>
            <family val="2"/>
          </rPr>
          <t xml:space="preserve">
See Equation 14-43 and Section 14-17 of Shigley's for more understanding.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Williams, Justin</author>
  </authors>
  <commentList>
    <comment ref="N7" authorId="0" shapeId="0" xr:uid="{40C05443-845E-4AFF-8713-2D95EC791B7C}">
      <text>
        <r>
          <rPr>
            <b/>
            <sz val="9"/>
            <color indexed="81"/>
            <rFont val="Tahoma"/>
            <family val="2"/>
          </rPr>
          <t>Williams, Justin:</t>
        </r>
        <r>
          <rPr>
            <sz val="9"/>
            <color indexed="81"/>
            <rFont val="Tahoma"/>
            <family val="2"/>
          </rPr>
          <t xml:space="preserve">
Does not effect values. Controls the scale of the forces on the gear in the FBD. A ratio of '1' will have the transmitted force size equal to the radius.</t>
        </r>
      </text>
    </comment>
    <comment ref="D9" authorId="0" shapeId="0" xr:uid="{6A023040-30C9-4DDB-A4C3-5CF00B81B799}">
      <text>
        <r>
          <rPr>
            <b/>
            <sz val="9"/>
            <color indexed="81"/>
            <rFont val="Tahoma"/>
            <family val="2"/>
          </rPr>
          <t>Williams, Justin:</t>
        </r>
        <r>
          <rPr>
            <sz val="9"/>
            <color indexed="81"/>
            <rFont val="Tahoma"/>
            <family val="2"/>
          </rPr>
          <t xml:space="preserve">
Uses lowercase letters rather than number to easily distinguish between gear and shaft. Use same letter for both gears if compound.</t>
        </r>
      </text>
    </comment>
    <comment ref="Q9" authorId="0" shapeId="0" xr:uid="{5680709E-3CEB-47C7-AE2E-DC45DCC021CE}">
      <text>
        <r>
          <rPr>
            <b/>
            <sz val="9"/>
            <color indexed="81"/>
            <rFont val="Tahoma"/>
            <family val="2"/>
          </rPr>
          <t>Williams, Justin:</t>
        </r>
        <r>
          <rPr>
            <sz val="9"/>
            <color indexed="81"/>
            <rFont val="Tahoma"/>
            <family val="2"/>
          </rPr>
          <t xml:space="preserve">
Gets close to actual circles if chart is a square.</t>
        </r>
      </text>
    </comment>
    <comment ref="L20" authorId="0" shapeId="0" xr:uid="{CA1495C6-E7FB-467A-9FA3-629E5686D695}">
      <text>
        <r>
          <rPr>
            <b/>
            <sz val="9"/>
            <color indexed="81"/>
            <rFont val="Tahoma"/>
            <family val="2"/>
          </rPr>
          <t>Williams, Justin:</t>
        </r>
        <r>
          <rPr>
            <sz val="9"/>
            <color indexed="81"/>
            <rFont val="Tahoma"/>
            <family val="2"/>
          </rPr>
          <t xml:space="preserve">
Note that the helical forces can cancel themselves out, but they may generate a bending moment on the shaft.</t>
        </r>
      </text>
    </comment>
    <comment ref="N20" authorId="0" shapeId="0" xr:uid="{760BE20F-EC89-4D48-B552-B30CA717A45C}">
      <text>
        <r>
          <rPr>
            <b/>
            <sz val="9"/>
            <color indexed="81"/>
            <rFont val="Tahoma"/>
            <family val="2"/>
          </rPr>
          <t>Williams, Justin:</t>
        </r>
        <r>
          <rPr>
            <sz val="9"/>
            <color indexed="81"/>
            <rFont val="Tahoma"/>
            <family val="2"/>
          </rPr>
          <t xml:space="preserve">
This load is the resultant load of the radial and tangential loads from the mesh, as the shaft will have to resist both.</t>
        </r>
      </text>
    </comment>
    <comment ref="P20" authorId="0" shapeId="0" xr:uid="{D70F04AD-9BB4-4545-BEF4-35298F41965E}">
      <text>
        <r>
          <rPr>
            <b/>
            <sz val="9"/>
            <color indexed="81"/>
            <rFont val="Tahoma"/>
            <family val="2"/>
          </rPr>
          <t>Williams, Justin:</t>
        </r>
        <r>
          <rPr>
            <sz val="9"/>
            <color indexed="81"/>
            <rFont val="Tahoma"/>
            <family val="2"/>
          </rPr>
          <t xml:space="preserve">
This includes axial loads as well.</t>
        </r>
      </text>
    </comment>
    <comment ref="G770" authorId="0" shapeId="0" xr:uid="{0E6D101C-28BD-4E3A-9E46-2CAB8C97726E}">
      <text>
        <r>
          <rPr>
            <b/>
            <sz val="9"/>
            <color indexed="81"/>
            <rFont val="Tahoma"/>
            <family val="2"/>
          </rPr>
          <t>Williams, Justin:</t>
        </r>
        <r>
          <rPr>
            <sz val="9"/>
            <color indexed="81"/>
            <rFont val="Tahoma"/>
            <family val="2"/>
          </rPr>
          <t xml:space="preserve">
Max Number of Gears right now is 7. Can be expanded by modifying sheet if need be.</t>
        </r>
      </text>
    </comment>
    <comment ref="G771" authorId="0" shapeId="0" xr:uid="{10340559-5ACE-4C9E-B600-15459BA37F4C}">
      <text>
        <r>
          <rPr>
            <b/>
            <sz val="9"/>
            <color indexed="81"/>
            <rFont val="Tahoma"/>
            <family val="2"/>
          </rPr>
          <t>Williams, Justin:</t>
        </r>
        <r>
          <rPr>
            <sz val="9"/>
            <color indexed="81"/>
            <rFont val="Tahoma"/>
            <family val="2"/>
          </rPr>
          <t xml:space="preserve">
Clockwise or Counter-Clockwise
</t>
        </r>
      </text>
    </comment>
    <comment ref="E774" authorId="0" shapeId="0" xr:uid="{030A7EE7-6519-48C1-ADE4-B2B8C8A8B97F}">
      <text>
        <r>
          <rPr>
            <b/>
            <sz val="9"/>
            <color indexed="81"/>
            <rFont val="Tahoma"/>
            <family val="2"/>
          </rPr>
          <t>Williams, Justin:</t>
        </r>
        <r>
          <rPr>
            <sz val="9"/>
            <color indexed="81"/>
            <rFont val="Tahoma"/>
            <family val="2"/>
          </rPr>
          <t xml:space="preserve">
Uses lowercase letters rather than number to easily distinguish between gear and shaft</t>
        </r>
      </text>
    </comment>
    <comment ref="N784" authorId="0" shapeId="0" xr:uid="{CEF77F82-CE09-4281-9422-31F81F2BAFF1}">
      <text>
        <r>
          <rPr>
            <b/>
            <sz val="9"/>
            <color indexed="81"/>
            <rFont val="Tahoma"/>
            <family val="2"/>
          </rPr>
          <t>Williams, Justin:</t>
        </r>
        <r>
          <rPr>
            <sz val="9"/>
            <color indexed="81"/>
            <rFont val="Tahoma"/>
            <family val="2"/>
          </rPr>
          <t xml:space="preserve">
Note that this is NOT the same as the total radial load on the gear.</t>
        </r>
      </text>
    </comment>
    <comment ref="I812" authorId="0" shapeId="0" xr:uid="{7545E289-D83D-41E5-954B-2F6D47B3A62E}">
      <text>
        <r>
          <rPr>
            <b/>
            <sz val="9"/>
            <color indexed="81"/>
            <rFont val="Tahoma"/>
            <family val="2"/>
          </rPr>
          <t>Williams, Justin:</t>
        </r>
        <r>
          <rPr>
            <sz val="9"/>
            <color indexed="81"/>
            <rFont val="Tahoma"/>
            <family val="2"/>
          </rPr>
          <t xml:space="preserve">
Used to find </t>
        </r>
      </text>
    </comment>
    <comment ref="U812" authorId="0" shapeId="0" xr:uid="{58C4DFA7-E3F5-42C5-BA1D-8215CA24B6C1}">
      <text>
        <r>
          <rPr>
            <b/>
            <sz val="9"/>
            <color indexed="81"/>
            <rFont val="Tahoma"/>
            <family val="2"/>
          </rPr>
          <t>Williams, Justin:</t>
        </r>
        <r>
          <rPr>
            <sz val="9"/>
            <color indexed="81"/>
            <rFont val="Tahoma"/>
            <family val="2"/>
          </rPr>
          <t xml:space="preserve">
Tangent Point between gear mesh</t>
        </r>
      </text>
    </comment>
    <comment ref="W812" authorId="0" shapeId="0" xr:uid="{0555C0CF-AC16-436A-9EE6-240806ABC846}">
      <text>
        <r>
          <rPr>
            <b/>
            <sz val="9"/>
            <color indexed="81"/>
            <rFont val="Tahoma"/>
            <family val="2"/>
          </rPr>
          <t>Williams, Justin:</t>
        </r>
        <r>
          <rPr>
            <sz val="9"/>
            <color indexed="81"/>
            <rFont val="Tahoma"/>
            <family val="2"/>
          </rPr>
          <t xml:space="preserve">
Tangent Point between gear mesh</t>
        </r>
      </text>
    </comment>
    <comment ref="AE812" authorId="0" shapeId="0" xr:uid="{32809B09-E6AA-4CFC-9B3C-451B6068C5E8}">
      <text>
        <r>
          <rPr>
            <b/>
            <sz val="9"/>
            <color indexed="81"/>
            <rFont val="Tahoma"/>
            <family val="2"/>
          </rPr>
          <t>Williams, Justin:</t>
        </r>
        <r>
          <rPr>
            <sz val="9"/>
            <color indexed="81"/>
            <rFont val="Tahoma"/>
            <family val="2"/>
          </rPr>
          <t xml:space="preserve">
Tangent Point between gear mesh</t>
        </r>
      </text>
    </comment>
    <comment ref="AF812" authorId="0" shapeId="0" xr:uid="{ED637134-4365-4842-9827-E66EDD11D2F2}">
      <text>
        <r>
          <rPr>
            <b/>
            <sz val="9"/>
            <color indexed="81"/>
            <rFont val="Tahoma"/>
            <family val="2"/>
          </rPr>
          <t>Williams, Justin:</t>
        </r>
        <r>
          <rPr>
            <sz val="9"/>
            <color indexed="81"/>
            <rFont val="Tahoma"/>
            <family val="2"/>
          </rPr>
          <t xml:space="preserve">
x position of tangential line end for graph</t>
        </r>
      </text>
    </comment>
    <comment ref="AG812" authorId="0" shapeId="0" xr:uid="{9BB24895-3835-4B83-A410-BCAE819B4796}">
      <text>
        <r>
          <rPr>
            <b/>
            <sz val="9"/>
            <color indexed="81"/>
            <rFont val="Tahoma"/>
            <family val="2"/>
          </rPr>
          <t>Williams, Justin:</t>
        </r>
        <r>
          <rPr>
            <sz val="9"/>
            <color indexed="81"/>
            <rFont val="Tahoma"/>
            <family val="2"/>
          </rPr>
          <t xml:space="preserve">
Tangent Point between gear mesh</t>
        </r>
      </text>
    </comment>
    <comment ref="AV812" authorId="0" shapeId="0" xr:uid="{F8931DB3-EF9E-4015-9A36-153ABDDDC088}">
      <text>
        <r>
          <rPr>
            <b/>
            <sz val="9"/>
            <color indexed="81"/>
            <rFont val="Tahoma"/>
            <family val="2"/>
          </rPr>
          <t>Williams, Justin:</t>
        </r>
        <r>
          <rPr>
            <sz val="9"/>
            <color indexed="81"/>
            <rFont val="Tahoma"/>
            <family val="2"/>
          </rPr>
          <t xml:space="preserve">
This does NOT include axial loads.
</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<sst xmlns="http://schemas.openxmlformats.org/spreadsheetml/2006/main" count="700" uniqueCount="449">
  <si>
    <t>Inputs</t>
  </si>
  <si>
    <t>Symbol</t>
  </si>
  <si>
    <t>Value</t>
  </si>
  <si>
    <t>Units</t>
  </si>
  <si>
    <t>Description</t>
  </si>
  <si>
    <t>Comment</t>
  </si>
  <si>
    <t>N_Pinion</t>
  </si>
  <si>
    <t>-</t>
  </si>
  <si>
    <t>Number of Teeth of Pinion</t>
  </si>
  <si>
    <t>N_Gear</t>
  </si>
  <si>
    <t>Number of Teeth of Gear</t>
  </si>
  <si>
    <t>Φ_n</t>
  </si>
  <si>
    <t>deg</t>
  </si>
  <si>
    <t>Normal Pressure Angle</t>
  </si>
  <si>
    <t>ψ</t>
  </si>
  <si>
    <t>Helical Angle</t>
  </si>
  <si>
    <t>P_d(normal)</t>
  </si>
  <si>
    <t>(Teeth)/Inch</t>
  </si>
  <si>
    <t>Normal Diametral Pitch</t>
  </si>
  <si>
    <t>H</t>
  </si>
  <si>
    <t>hp</t>
  </si>
  <si>
    <t>Power Input at Pinion</t>
  </si>
  <si>
    <t>n</t>
  </si>
  <si>
    <t>rpm</t>
  </si>
  <si>
    <t>Speed of Pinion</t>
  </si>
  <si>
    <t>Width_Pinion</t>
  </si>
  <si>
    <t>inch</t>
  </si>
  <si>
    <t>Width of Gearface</t>
  </si>
  <si>
    <t>N</t>
  </si>
  <si>
    <t>Number of Stress Cycles</t>
  </si>
  <si>
    <t>*make sure this is a number, and not text as '10^6' etc.</t>
  </si>
  <si>
    <t>R</t>
  </si>
  <si>
    <t>Reliability</t>
  </si>
  <si>
    <t>H_B</t>
  </si>
  <si>
    <t>Brinell Harndess</t>
  </si>
  <si>
    <t>E_pinion</t>
  </si>
  <si>
    <t>ksi</t>
  </si>
  <si>
    <t>Young's Elastic Modulus of Pinion</t>
  </si>
  <si>
    <t>E_gear</t>
  </si>
  <si>
    <t>Young's Elastic Modulus of Gear</t>
  </si>
  <si>
    <t>ν_pinion</t>
  </si>
  <si>
    <t>Possion's Ratio of Pinion</t>
  </si>
  <si>
    <t>ν_gear</t>
  </si>
  <si>
    <t>Possion's Ratio of Gear</t>
  </si>
  <si>
    <t>S</t>
  </si>
  <si>
    <t>Bearing Span</t>
  </si>
  <si>
    <t>S_1</t>
  </si>
  <si>
    <t>Pinion Offset from Center of Bearing Span</t>
  </si>
  <si>
    <t>Y</t>
  </si>
  <si>
    <t>Lewis Form Factor</t>
  </si>
  <si>
    <t>J</t>
  </si>
  <si>
    <t>AGMA Geometry Factor</t>
  </si>
  <si>
    <t>Grade_Steel</t>
  </si>
  <si>
    <t>Steel Grade</t>
  </si>
  <si>
    <t>Q_v</t>
  </si>
  <si>
    <t>Gear Quality Number</t>
  </si>
  <si>
    <t>K_o</t>
  </si>
  <si>
    <t>Overload Factor</t>
  </si>
  <si>
    <t>K_s</t>
  </si>
  <si>
    <t>Size Factor</t>
  </si>
  <si>
    <t>K_T</t>
  </si>
  <si>
    <t>Temperature Factor</t>
  </si>
  <si>
    <t>C_H</t>
  </si>
  <si>
    <t>Hardness Ratio Factor</t>
  </si>
  <si>
    <t>C_f</t>
  </si>
  <si>
    <t>Surface Condition Factor</t>
  </si>
  <si>
    <t>m_N</t>
  </si>
  <si>
    <t>Load Sharing Ratio</t>
  </si>
  <si>
    <t>*For spur gears, this is '1'; For Helical gears, use Eq 14-21 in Shigley's</t>
  </si>
  <si>
    <t>Know_h_t</t>
  </si>
  <si>
    <t>No</t>
  </si>
  <si>
    <t>Know Whole Depth?</t>
  </si>
  <si>
    <t>h_t_known</t>
  </si>
  <si>
    <t>Whole Depth (if known)</t>
  </si>
  <si>
    <t>t_R</t>
  </si>
  <si>
    <t>Rim Thickness of Pinion</t>
  </si>
  <si>
    <t>Tooth Form</t>
  </si>
  <si>
    <t>Full Depth</t>
  </si>
  <si>
    <t>Stub or Full Depth Teeth?</t>
  </si>
  <si>
    <t>Shaping_Process</t>
  </si>
  <si>
    <t>Unknown</t>
  </si>
  <si>
    <t>Shaping Process</t>
  </si>
  <si>
    <t>*Choose from Dropdown Menu</t>
  </si>
  <si>
    <t>Gear_Crowning</t>
  </si>
  <si>
    <t>Gear Crowning</t>
  </si>
  <si>
    <t>Gears_Lapped_Adjusted</t>
  </si>
  <si>
    <t>Lapped or Adjusted Gears</t>
  </si>
  <si>
    <t>Gear_Condition</t>
  </si>
  <si>
    <t>Open</t>
  </si>
  <si>
    <t>Gear Condition</t>
  </si>
  <si>
    <t>Gear_External_or_Internal</t>
  </si>
  <si>
    <t>External</t>
  </si>
  <si>
    <t>External or Internal Gear</t>
  </si>
  <si>
    <t>Outputs</t>
  </si>
  <si>
    <t>Min_Teeth_Pinion_Met</t>
  </si>
  <si>
    <t>Logic looks to see if minimum number of teeth for tooth form type is achieved.</t>
  </si>
  <si>
    <t>m_n</t>
  </si>
  <si>
    <t>Module (Normal)</t>
  </si>
  <si>
    <t>d_pinion</t>
  </si>
  <si>
    <t>Pitch Diameter of Pinion</t>
  </si>
  <si>
    <t>d_gear</t>
  </si>
  <si>
    <t>Pitch Diameter of Gear</t>
  </si>
  <si>
    <t>dist_center</t>
  </si>
  <si>
    <t>Center Distance between Pinion/Gear</t>
  </si>
  <si>
    <t>a</t>
  </si>
  <si>
    <t>Addendum (For standard interchangeable gears)</t>
  </si>
  <si>
    <t>b</t>
  </si>
  <si>
    <t>Dedendum (For standard interchangeable gears)</t>
  </si>
  <si>
    <t>c</t>
  </si>
  <si>
    <t>Clearance (For standard interchangeable gears)</t>
  </si>
  <si>
    <t>h_t</t>
  </si>
  <si>
    <t>Whole Depth</t>
  </si>
  <si>
    <t>d_o_pinion</t>
  </si>
  <si>
    <t>Outer Diameter of Pinion</t>
  </si>
  <si>
    <t>d_o_gear</t>
  </si>
  <si>
    <t>Outer Diameter of Gear</t>
  </si>
  <si>
    <t>N'_pinion</t>
  </si>
  <si>
    <t>Virtual Number of Teeth of Pinion</t>
  </si>
  <si>
    <t>N'_gear</t>
  </si>
  <si>
    <t>Virtual Number of Teeth of Gear</t>
  </si>
  <si>
    <t>P_d(transverse)</t>
  </si>
  <si>
    <t>(Teeth)/inch</t>
  </si>
  <si>
    <t>Transverse Diametral Pitch</t>
  </si>
  <si>
    <t>m_t</t>
  </si>
  <si>
    <t>Module (Transverse)</t>
  </si>
  <si>
    <t>Φ_t</t>
  </si>
  <si>
    <t>Transverse Pressure Angle</t>
  </si>
  <si>
    <t>p_c(normal)</t>
  </si>
  <si>
    <t>Normal Circular Pitch</t>
  </si>
  <si>
    <t>p_c(transverse)</t>
  </si>
  <si>
    <t>Transverse Circular Pitch</t>
  </si>
  <si>
    <t>p_c(axial)</t>
  </si>
  <si>
    <t>Axial Circular Pitch</t>
  </si>
  <si>
    <t>t</t>
  </si>
  <si>
    <t>Tooth Thickness</t>
  </si>
  <si>
    <t>Ratio_velocity</t>
  </si>
  <si>
    <t>Velocity Ratio of Gear to Pinion</t>
  </si>
  <si>
    <t>P_b(normal)</t>
  </si>
  <si>
    <t>Normal Base Circular Pitch</t>
  </si>
  <si>
    <t>P_b(transverse)</t>
  </si>
  <si>
    <t>Transverse Base Circular Pitch</t>
  </si>
  <si>
    <t>d_b_pinion</t>
  </si>
  <si>
    <t>Base Circle Diameter of Pinion</t>
  </si>
  <si>
    <t>d_b_gear</t>
  </si>
  <si>
    <t>Base Circle Diameter of Gear</t>
  </si>
  <si>
    <t>m_G</t>
  </si>
  <si>
    <t>Ratio of Number of Gear Teeth to Pinion Teeth</t>
  </si>
  <si>
    <t>v_pitchline</t>
  </si>
  <si>
    <t>ft/s</t>
  </si>
  <si>
    <t>Pitch Line Velocity</t>
  </si>
  <si>
    <t>T_pinion</t>
  </si>
  <si>
    <t>lbf*ft</t>
  </si>
  <si>
    <t>Torque input of Pinion</t>
  </si>
  <si>
    <t>W_t</t>
  </si>
  <si>
    <t>lbf</t>
  </si>
  <si>
    <t>Transmitted (Tangential) Load between Gear and Pinion</t>
  </si>
  <si>
    <t>W_r</t>
  </si>
  <si>
    <t>Radial Load between Gear and Pinion</t>
  </si>
  <si>
    <t>W_a</t>
  </si>
  <si>
    <t>Axial Load on Pinion and Gear</t>
  </si>
  <si>
    <t>F_shaft(radial)</t>
  </si>
  <si>
    <t>F_shaft(total)</t>
  </si>
  <si>
    <t>K_v_Barth</t>
  </si>
  <si>
    <t>Barth Velocity Factor</t>
  </si>
  <si>
    <r>
      <rPr>
        <sz val="11"/>
        <color theme="1"/>
        <rFont val="Times New Roman"/>
        <family val="1"/>
      </rPr>
      <t>σ</t>
    </r>
    <r>
      <rPr>
        <sz val="11"/>
        <color theme="1"/>
        <rFont val="Calibri"/>
        <family val="2"/>
      </rPr>
      <t>_Lewis</t>
    </r>
  </si>
  <si>
    <t>*AGMA method should be used instead.</t>
  </si>
  <si>
    <t>A_K_v</t>
  </si>
  <si>
    <t>Used in Dynamic Factor</t>
  </si>
  <si>
    <t>B_K_v</t>
  </si>
  <si>
    <t>K_v</t>
  </si>
  <si>
    <t>Dynamic Factor</t>
  </si>
  <si>
    <t>C_mc</t>
  </si>
  <si>
    <t xml:space="preserve">Gear Crowning </t>
  </si>
  <si>
    <t>C_pf</t>
  </si>
  <si>
    <t>For Load Distribution Factor</t>
  </si>
  <si>
    <t>C_pm</t>
  </si>
  <si>
    <t>C_ma_A</t>
  </si>
  <si>
    <t>C_ma_B</t>
  </si>
  <si>
    <t>C_ma_C</t>
  </si>
  <si>
    <t>C_ma</t>
  </si>
  <si>
    <t>C_e</t>
  </si>
  <si>
    <t>Lapping and/or Adjustment Factor</t>
  </si>
  <si>
    <t>K_m</t>
  </si>
  <si>
    <t>Load Distribution Factor</t>
  </si>
  <si>
    <t>m_B</t>
  </si>
  <si>
    <t>Backup Ratio</t>
  </si>
  <si>
    <t>K_B</t>
  </si>
  <si>
    <t>Rim Thickness Factor</t>
  </si>
  <si>
    <r>
      <rPr>
        <sz val="11"/>
        <color theme="1"/>
        <rFont val="Times New Roman"/>
        <family val="1"/>
      </rPr>
      <t>σ</t>
    </r>
    <r>
      <rPr>
        <sz val="11"/>
        <color theme="1"/>
        <rFont val="Calibri"/>
        <family val="2"/>
      </rPr>
      <t>_AGMA_Bending</t>
    </r>
  </si>
  <si>
    <t>S_t</t>
  </si>
  <si>
    <t>Y_N</t>
  </si>
  <si>
    <t>Stress Cycle Factor</t>
  </si>
  <si>
    <t>K_R</t>
  </si>
  <si>
    <t>Reliability Factor</t>
  </si>
  <si>
    <t>S_F(AGMA Bending)</t>
  </si>
  <si>
    <t>C_p</t>
  </si>
  <si>
    <r>
      <rPr>
        <sz val="11"/>
        <color theme="1"/>
        <rFont val="Times New Roman"/>
        <family val="1"/>
      </rPr>
      <t>√</t>
    </r>
    <r>
      <rPr>
        <sz val="11"/>
        <color theme="1"/>
        <rFont val="Calibri"/>
        <family val="2"/>
        <scheme val="minor"/>
      </rPr>
      <t>ksi</t>
    </r>
  </si>
  <si>
    <t>Elastic Coefficient</t>
  </si>
  <si>
    <t>I</t>
  </si>
  <si>
    <t>Surface Strength Geometry Factor</t>
  </si>
  <si>
    <t>S_c</t>
  </si>
  <si>
    <t>Allowable Contact Stress</t>
  </si>
  <si>
    <t>Z_N</t>
  </si>
  <si>
    <t>Pitting Resistance Stress Cycle Factor</t>
  </si>
  <si>
    <r>
      <rPr>
        <sz val="11"/>
        <color theme="1"/>
        <rFont val="Times New Roman"/>
        <family val="1"/>
      </rPr>
      <t>σ</t>
    </r>
    <r>
      <rPr>
        <sz val="11"/>
        <color theme="1"/>
        <rFont val="Calibri"/>
        <family val="2"/>
      </rPr>
      <t>_AGMA_Contact</t>
    </r>
  </si>
  <si>
    <t>S_H(AGMA Contact)</t>
  </si>
  <si>
    <t>Cut</t>
  </si>
  <si>
    <t>Milled</t>
  </si>
  <si>
    <t>Hobbed</t>
  </si>
  <si>
    <t>Shaped</t>
  </si>
  <si>
    <t>Shaved</t>
  </si>
  <si>
    <t>Ground</t>
  </si>
  <si>
    <t>Cast</t>
  </si>
  <si>
    <t>Yes/No</t>
  </si>
  <si>
    <t>Yes</t>
  </si>
  <si>
    <t>Enclosed,Commercial</t>
  </si>
  <si>
    <t>Enclosed,Precision</t>
  </si>
  <si>
    <t>Enclosed,Extra Precision</t>
  </si>
  <si>
    <t>Gear External or Internal</t>
  </si>
  <si>
    <t>Internal</t>
  </si>
  <si>
    <t>Stub</t>
  </si>
  <si>
    <t>S_H^(AGMA Contact)</t>
  </si>
  <si>
    <t>Lists</t>
  </si>
  <si>
    <t>Grades</t>
  </si>
  <si>
    <t>Grade 1</t>
  </si>
  <si>
    <t>Carburized</t>
  </si>
  <si>
    <t>Surface Hardness</t>
  </si>
  <si>
    <t>HRC 61-63</t>
  </si>
  <si>
    <t>Core Hardness</t>
  </si>
  <si>
    <t>HRC 45-46</t>
  </si>
  <si>
    <t>Min Case Depth</t>
  </si>
  <si>
    <t>0.06inch (1.5mm)</t>
  </si>
  <si>
    <t>Grade 2</t>
  </si>
  <si>
    <t>0.01-0.02inch (0.25-0.5mm)</t>
  </si>
  <si>
    <t>HV 760-800</t>
  </si>
  <si>
    <t>HRC 46-48</t>
  </si>
  <si>
    <t>Grade 3</t>
  </si>
  <si>
    <t>Quenched,Tempered,Nitrided
Nitrided</t>
  </si>
  <si>
    <t>Quenched.Tempered</t>
  </si>
  <si>
    <t>HRC 58-60</t>
  </si>
  <si>
    <t>YS</t>
  </si>
  <si>
    <t>175-185 ksi</t>
  </si>
  <si>
    <t>205-215 ksi</t>
  </si>
  <si>
    <t>255-265 ksi</t>
  </si>
  <si>
    <t>UTS</t>
  </si>
  <si>
    <t>220-230</t>
  </si>
  <si>
    <t>225-235</t>
  </si>
  <si>
    <t>325-335</t>
  </si>
  <si>
    <t>Elongation EI</t>
  </si>
  <si>
    <t>11-13 %</t>
  </si>
  <si>
    <t>9-10%</t>
  </si>
  <si>
    <t>7-9%</t>
  </si>
  <si>
    <t>The majority of calculations of this excel file were taken from reading Shigley's Mechanical Engineering Design. The Figures and Tables shown below are from this textbook.</t>
  </si>
  <si>
    <t>*Find from Table 14-2 in References tab, or find an alternative method.</t>
  </si>
  <si>
    <t>*Find from Figures 14-6, 14-7, or 14-8; Alternatively, find using equation 14-20, or find using AGMA standards.</t>
  </si>
  <si>
    <t>*Enter either '1' or '2'. Plan on implementing Grade 3 if can find formula for this. See Table 14-3.</t>
  </si>
  <si>
    <r>
      <t xml:space="preserve">Comment(s) </t>
    </r>
    <r>
      <rPr>
        <sz val="11"/>
        <color theme="1"/>
        <rFont val="Calibri"/>
        <family val="2"/>
        <scheme val="minor"/>
      </rPr>
      <t>(See Notes in individual cells as well)</t>
    </r>
  </si>
  <si>
    <t>Resultant Radial Load on Pinion Shaft from Load Transmittal</t>
  </si>
  <si>
    <t>Total Resultant Load on Pinion Shaft from Load Transmittal</t>
  </si>
  <si>
    <t>Lewis Bending Stress (Pinion)</t>
  </si>
  <si>
    <t>AGMA Bending Stress (Pinion)</t>
  </si>
  <si>
    <t>Allowable Bending Stress Number (Pinion)</t>
  </si>
  <si>
    <t>Factor of Safety (AGMA Bending) (Pinion)</t>
  </si>
  <si>
    <t>AGMA Contact Stress (Pinion)</t>
  </si>
  <si>
    <t>Factor of Safety (AGMA Contact) (Pinion)</t>
  </si>
  <si>
    <t>Factor of Safety Modified ("Linear" AGMA Contact) (Pinion)</t>
  </si>
  <si>
    <t>Gear #</t>
  </si>
  <si>
    <t>Gear Mesh Input Gear #</t>
  </si>
  <si>
    <t>Gear Mesh Output Gear #</t>
  </si>
  <si>
    <t>Gear Mesh</t>
  </si>
  <si>
    <t>GearTrain Pinion, Intermediate, Output Gear</t>
  </si>
  <si>
    <t>Is Output Gear on Same Shaft as Input Gear? (Compound)</t>
  </si>
  <si>
    <t>Gear # (For Calculation Purposes)</t>
  </si>
  <si>
    <t>Gear Mesh Ratio</t>
  </si>
  <si>
    <t>Torque of 'Pinion' Gear of Mesh</t>
  </si>
  <si>
    <t>Total Load on Shaft(s) From Mesh</t>
  </si>
  <si>
    <t>Pressure Angle (Normal)</t>
  </si>
  <si>
    <t>Speed of 'Pinion' Gear of Mesh</t>
  </si>
  <si>
    <t>in</t>
  </si>
  <si>
    <t>x</t>
  </si>
  <si>
    <t>y</t>
  </si>
  <si>
    <t>radius</t>
  </si>
  <si>
    <t>center x</t>
  </si>
  <si>
    <t>center y</t>
  </si>
  <si>
    <t>Angle</t>
  </si>
  <si>
    <t>g1 x</t>
  </si>
  <si>
    <t>g1 y</t>
  </si>
  <si>
    <t>g2 x</t>
  </si>
  <si>
    <t>g2 y</t>
  </si>
  <si>
    <r>
      <t xml:space="preserve">Number of Gears in GearTrain
</t>
    </r>
    <r>
      <rPr>
        <sz val="8"/>
        <color theme="1"/>
        <rFont val="Calibri"/>
        <family val="2"/>
        <scheme val="minor"/>
      </rPr>
      <t>(Compund counts as 2)</t>
    </r>
  </si>
  <si>
    <t>g3 x</t>
  </si>
  <si>
    <t>g4 y</t>
  </si>
  <si>
    <t>g3 y</t>
  </si>
  <si>
    <t>g4 x</t>
  </si>
  <si>
    <t>g5 x</t>
  </si>
  <si>
    <t>g5 y</t>
  </si>
  <si>
    <t>g6 x</t>
  </si>
  <si>
    <t>g6 y</t>
  </si>
  <si>
    <t>g7 x</t>
  </si>
  <si>
    <t>g7 y</t>
  </si>
  <si>
    <t>Shaft</t>
  </si>
  <si>
    <t>d</t>
  </si>
  <si>
    <t>x position</t>
  </si>
  <si>
    <t>y position</t>
  </si>
  <si>
    <t>Pitch Diameter</t>
  </si>
  <si>
    <t>radius of first gear on shaft</t>
  </si>
  <si>
    <t>radius of last gear on shaft</t>
  </si>
  <si>
    <t>Center Distance from Previous Shaft</t>
  </si>
  <si>
    <t>e</t>
  </si>
  <si>
    <t>f</t>
  </si>
  <si>
    <t>g</t>
  </si>
  <si>
    <t>Min Y Range Possible</t>
  </si>
  <si>
    <t>Max Y Position Possible</t>
  </si>
  <si>
    <t>Possible Y Range</t>
  </si>
  <si>
    <t>Min X</t>
  </si>
  <si>
    <t>Max X</t>
  </si>
  <si>
    <t>Min Y</t>
  </si>
  <si>
    <t>Max Y</t>
  </si>
  <si>
    <t>x Min</t>
  </si>
  <si>
    <t>x Max</t>
  </si>
  <si>
    <t>y Min</t>
  </si>
  <si>
    <t>y Max</t>
  </si>
  <si>
    <t>DELTA X</t>
  </si>
  <si>
    <t>DELTA Y</t>
  </si>
  <si>
    <t>Set X to</t>
  </si>
  <si>
    <t>Set Y to</t>
  </si>
  <si>
    <t>okay?</t>
  </si>
  <si>
    <t>initial</t>
  </si>
  <si>
    <t>final</t>
  </si>
  <si>
    <t>X-Axis</t>
  </si>
  <si>
    <t>Y-Axis</t>
  </si>
  <si>
    <t>Shaft Letter</t>
  </si>
  <si>
    <t>Direction of Pinion Gear</t>
  </si>
  <si>
    <t>CW/CCW</t>
  </si>
  <si>
    <t>Angular Direction</t>
  </si>
  <si>
    <t>CW</t>
  </si>
  <si>
    <t>CCW</t>
  </si>
  <si>
    <t>Gear</t>
  </si>
  <si>
    <r>
      <t xml:space="preserve">Input Direction
</t>
    </r>
    <r>
      <rPr>
        <sz val="8"/>
        <color theme="1"/>
        <rFont val="Calibri"/>
        <family val="2"/>
        <scheme val="minor"/>
      </rPr>
      <t>(at Pinion of GearTrain)</t>
    </r>
  </si>
  <si>
    <t>Left Or Right of Previous Shaft</t>
  </si>
  <si>
    <t>Right</t>
  </si>
  <si>
    <t>Left</t>
  </si>
  <si>
    <t>Gear to Mesh With</t>
  </si>
  <si>
    <t>Forces (Gear Mesh)</t>
  </si>
  <si>
    <t>Label</t>
  </si>
  <si>
    <t>g1r x</t>
  </si>
  <si>
    <t>g1r y</t>
  </si>
  <si>
    <t>g2r x</t>
  </si>
  <si>
    <t>g2r y</t>
  </si>
  <si>
    <t>g3r x</t>
  </si>
  <si>
    <t>g3r y</t>
  </si>
  <si>
    <t>g4r x</t>
  </si>
  <si>
    <t>g4r y</t>
  </si>
  <si>
    <t>g5r x</t>
  </si>
  <si>
    <t>g5r y</t>
  </si>
  <si>
    <t>g6r x</t>
  </si>
  <si>
    <t>g6r y</t>
  </si>
  <si>
    <t>g7r x</t>
  </si>
  <si>
    <t>g7r y</t>
  </si>
  <si>
    <t>Clockwise Direction Arrows for Charts</t>
  </si>
  <si>
    <t>Counter Clockwise Direction Arrows for Charts</t>
  </si>
  <si>
    <t>Direction</t>
  </si>
  <si>
    <t>Absolute Value of Magnitude of Forces</t>
  </si>
  <si>
    <t>Y Position Error?</t>
  </si>
  <si>
    <t>Left/Right</t>
  </si>
  <si>
    <t>Force to Radius Size Ratio for Charts</t>
  </si>
  <si>
    <t>ratio tangential to shaft radial</t>
  </si>
  <si>
    <t>ratio radial to shaft radial</t>
  </si>
  <si>
    <t>Ratio Tangential to Radial</t>
  </si>
  <si>
    <t>Input</t>
  </si>
  <si>
    <t>Helpful</t>
  </si>
  <si>
    <r>
      <t xml:space="preserve">Power Input
</t>
    </r>
    <r>
      <rPr>
        <sz val="8"/>
        <color theme="1"/>
        <rFont val="Calibri"/>
        <family val="2"/>
        <scheme val="minor"/>
      </rPr>
      <t>(at Pinion of GearTrain)</t>
    </r>
  </si>
  <si>
    <t>Likely Desired Output</t>
  </si>
  <si>
    <r>
      <t xml:space="preserve">Speed Input
</t>
    </r>
    <r>
      <rPr>
        <sz val="8"/>
        <color theme="1"/>
        <rFont val="Calibri"/>
        <family val="2"/>
        <scheme val="minor"/>
      </rPr>
      <t>(at Pinion of GearTrain)</t>
    </r>
  </si>
  <si>
    <r>
      <t xml:space="preserve">N
</t>
    </r>
    <r>
      <rPr>
        <sz val="8"/>
        <color theme="1"/>
        <rFont val="Calibri"/>
        <family val="2"/>
        <scheme val="minor"/>
      </rPr>
      <t>(Number of Teeth)</t>
    </r>
  </si>
  <si>
    <t>Y Range In Bounds?</t>
  </si>
  <si>
    <t>Inch</t>
  </si>
  <si>
    <t>Speed</t>
  </si>
  <si>
    <t xml:space="preserve">Loads from Mesh only. Does not take into account one mesh partially cancelling out the other, etc. </t>
  </si>
  <si>
    <t>Mesh</t>
  </si>
  <si>
    <t xml:space="preserve">Note this assummes that all only one gear is transmitting torque from one shaft to the other. It is possible to use more than 1, but this scenario is not taken into account. If you have more than one gear transmitting between two shafts, will need to reconfigure sheet.
Cells in Green are Input Cells. Cells in Blue are 'hint' cells. 
This assumes a 100% efficient geartrain. 
Shaft Positions are needed for calculating correct resulting shaft force.
</t>
  </si>
  <si>
    <t>Recommended Initial GearTrain Layout Graph Axis:</t>
  </si>
  <si>
    <t>Used to Plot Geartrain (and needed for correct resultant forces)</t>
  </si>
  <si>
    <t>x pos (right only)</t>
  </si>
  <si>
    <t>W_t 
Transmitted (Tangential) Load of Mesh</t>
  </si>
  <si>
    <t>W_r 
Radial Load of Mesh</t>
  </si>
  <si>
    <t>W_a 
Axial Load of Mesh</t>
  </si>
  <si>
    <t>Equivalent Radial Load on Shaft(s) From Mesh</t>
  </si>
  <si>
    <t>W_resultant_Wt_Wr</t>
  </si>
  <si>
    <t>W_Shaft</t>
  </si>
  <si>
    <t>Gear Direction</t>
  </si>
  <si>
    <t>xc (shaft center)</t>
  </si>
  <si>
    <t>yx (shaft center)</t>
  </si>
  <si>
    <t>Slope from Pinion of Gear Mesh Shaft to Gear of Gear Mesh Shaft</t>
  </si>
  <si>
    <t>Radians 
Tangent Point of Gear Mesh from Center (from right quadrant point)</t>
  </si>
  <si>
    <t>Radius of Gear</t>
  </si>
  <si>
    <t>xt (Tangent Point of Gear Mesh)</t>
  </si>
  <si>
    <t>yt (Tangent Point of Gear Mesh)</t>
  </si>
  <si>
    <t>|Wr| Force</t>
  </si>
  <si>
    <t>Slope of Wr</t>
  </si>
  <si>
    <t>Wr x</t>
  </si>
  <si>
    <t>Wr y</t>
  </si>
  <si>
    <t>Graph Length of Wr Line</t>
  </si>
  <si>
    <t>x1 Wr</t>
  </si>
  <si>
    <t>x2 Wr</t>
  </si>
  <si>
    <t>y1 Wr</t>
  </si>
  <si>
    <t>y2 Wr</t>
  </si>
  <si>
    <t>|Wt| Force</t>
  </si>
  <si>
    <t>Slope of Wt</t>
  </si>
  <si>
    <t>Graph Length of Wt Line</t>
  </si>
  <si>
    <t>Wt x</t>
  </si>
  <si>
    <t>Wt y</t>
  </si>
  <si>
    <t>x1 Wt</t>
  </si>
  <si>
    <t>x2 Wt</t>
  </si>
  <si>
    <t>y1 Wt</t>
  </si>
  <si>
    <t>y2 Wt</t>
  </si>
  <si>
    <t>W</t>
  </si>
  <si>
    <t>Slope</t>
  </si>
  <si>
    <t>Graph Length of W</t>
  </si>
  <si>
    <t>W_ x</t>
  </si>
  <si>
    <t>W_ y</t>
  </si>
  <si>
    <t>x1 W</t>
  </si>
  <si>
    <t>x2 W</t>
  </si>
  <si>
    <t>y1 W</t>
  </si>
  <si>
    <t>y2 W</t>
  </si>
  <si>
    <t>W_shaft_x</t>
  </si>
  <si>
    <t>W_shaft_y</t>
  </si>
  <si>
    <t>W_Shaft (excludes axial loads)</t>
  </si>
  <si>
    <t>Graph Length</t>
  </si>
  <si>
    <t>x1 W_shaft</t>
  </si>
  <si>
    <t>x2 W_shaft</t>
  </si>
  <si>
    <t>y1_shaft</t>
  </si>
  <si>
    <t>y2_shaft</t>
  </si>
  <si>
    <t>Number Gears</t>
  </si>
  <si>
    <t>Justin Williams</t>
  </si>
  <si>
    <t>Please contact me at jwilliams03@textron.com if you experience any issues with this sheet, so that I may fix any errors or make potential improvements.</t>
  </si>
  <si>
    <t>Note this sheet is used for a single gear mesh, and calculates some geometry of the gear based on the first 5 inputs, then also finds forces using these values and the next two inputs. Stresses and factors of safety can also be found.
-J.Williams 2021-05-27</t>
  </si>
  <si>
    <r>
      <t xml:space="preserve">Number of Gears in GearTrain
</t>
    </r>
    <r>
      <rPr>
        <sz val="8"/>
        <color theme="0" tint="-0.14999847407452621"/>
        <rFont val="Calibri"/>
        <family val="2"/>
        <scheme val="minor"/>
      </rPr>
      <t>(Compund counts as 2)</t>
    </r>
  </si>
  <si>
    <r>
      <t xml:space="preserve">Input Direction
</t>
    </r>
    <r>
      <rPr>
        <sz val="8"/>
        <color theme="0" tint="-0.14999847407452621"/>
        <rFont val="Calibri"/>
        <family val="2"/>
        <scheme val="minor"/>
      </rPr>
      <t>(at Pinion of GearTrain)</t>
    </r>
  </si>
  <si>
    <r>
      <t xml:space="preserve">Power Input </t>
    </r>
    <r>
      <rPr>
        <sz val="8"/>
        <color theme="0" tint="-0.14999847407452621"/>
        <rFont val="Calibri"/>
        <family val="2"/>
        <scheme val="minor"/>
      </rPr>
      <t>(at Pinion of GearTrain)</t>
    </r>
  </si>
  <si>
    <r>
      <t xml:space="preserve">Speed Input </t>
    </r>
    <r>
      <rPr>
        <sz val="8"/>
        <color theme="0" tint="-0.14999847407452621"/>
        <rFont val="Calibri"/>
        <family val="2"/>
        <scheme val="minor"/>
      </rPr>
      <t>(at Pinion of GearTrain)</t>
    </r>
  </si>
  <si>
    <r>
      <t xml:space="preserve">N
</t>
    </r>
    <r>
      <rPr>
        <sz val="8"/>
        <color theme="0" tint="-0.14999847407452621"/>
        <rFont val="Calibri"/>
        <family val="2"/>
        <scheme val="minor"/>
      </rPr>
      <t xml:space="preserve">
(Number of Teeth)</t>
    </r>
  </si>
  <si>
    <t>Letters</t>
  </si>
  <si>
    <t>Torque of Gear</t>
  </si>
  <si>
    <t>Diametral Pitch and Helical Angle Mesh Check</t>
  </si>
  <si>
    <t xml:space="preserve"> </t>
  </si>
  <si>
    <r>
      <t xml:space="preserve">Note that these axial loads must be evaluated by user.
</t>
    </r>
    <r>
      <rPr>
        <sz val="8"/>
        <color theme="1"/>
        <rFont val="Calibri"/>
        <family val="2"/>
        <scheme val="minor"/>
      </rPr>
      <t>(Shown is the absolute value)</t>
    </r>
  </si>
  <si>
    <t>*This output value can be overriden.</t>
  </si>
  <si>
    <t>Note this sheet assummes that all only one gear is transmitting torque from one shaft to the other. It is possible to use more than 1, but this scenario is not taken into account. If you have more than one gear transmitting between two shafts, will need to reconfigure sheet.
Cells in Green are Input Cells. Cells in Blue are 'hint' cells. 
This assumes a 100% efficient geartrain. 
Shaft Positions are needed for calculating correct resulting shaft force.
FBDs do not currently have 'arrows'. May work on this in future if suggested. For now, the end point is at tangency point, or at gear center.
If any issues are seen with sheet, please contact me (Justin Williams) at jwilliams03@textron.com so that I may see about fixing any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</si>
</sst>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sz val="9"/>
      <color indexed="81"/>
      <name val="Tahoma"/>
      <family val="2"/>
    </font>
    <font>
      <b/>
      <sz val="9"/>
      <color indexed="81"/>
      <name val="Tahoma"/>
      <family val="2"/>
    </font>
    <font>
      <i/>
      <sz val="11"/>
      <color theme="1"/>
      <name val="Calibri"/>
      <family val="2"/>
      <scheme val="minor"/>
    </font>
    <font>
      <sz val="11"/>
      <color theme="1"/>
      <name val="Times New Roman"/>
      <family val="1"/>
    </font>
    <font>
      <sz val="11"/>
      <color theme="1"/>
      <name val="Calibri"/>
      <family val="1"/>
    </font>
    <font>
      <sz val="8"/>
      <color theme="1"/>
      <name val="Calibri"/>
      <family val="2"/>
      <scheme val="minor"/>
    </font>
    <font>
      <sz val="11"/>
      <name val="Calibri"/>
      <family val="2"/>
      <scheme val="minor"/>
    </font>
    <font>
      <sz val="11"/>
      <name val="Calibri"/>
      <family val="2"/>
    </font>
    <font>
      <sz val="10"/>
      <color theme="1"/>
      <name val="Calibri"/>
      <family val="2"/>
      <scheme val="minor"/>
    </font>
    <font>
      <sz val="11"/>
      <color theme="0" tint="-0.499984740745262"/>
      <name val="Calibri"/>
      <family val="2"/>
      <scheme val="minor"/>
    </font>
    <font>
      <b/>
      <i/>
      <sz val="9"/>
      <color rgb="FF0070C0"/>
      <name val="Calibri"/>
      <family val="2"/>
      <scheme val="minor"/>
    </font>
    <font>
      <b/>
      <sz val="11"/>
      <color theme="0" tint="-0.499984740745262"/>
      <name val="Calibri"/>
      <family val="2"/>
      <scheme val="minor"/>
    </font>
    <font>
      <i/>
      <sz val="11"/>
      <color theme="0" tint="-0.499984740745262"/>
      <name val="Calibri"/>
      <family val="2"/>
      <scheme val="minor"/>
    </font>
    <font>
      <sz val="11"/>
      <color theme="0" tint="-0.14999847407452621"/>
      <name val="Calibri"/>
      <family val="2"/>
      <scheme val="minor"/>
    </font>
    <font>
      <sz val="8"/>
      <color theme="0" tint="-0.14999847407452621"/>
      <name val="Calibri"/>
      <family val="2"/>
      <scheme val="minor"/>
    </font>
    <font>
      <sz val="10"/>
      <color theme="0" tint="-0.14999847407452621"/>
      <name val="Calibri"/>
      <family val="2"/>
      <scheme val="minor"/>
    </font>
    <font>
      <b/>
      <i/>
      <sz val="10"/>
      <color theme="0" tint="-0.14999847407452621"/>
      <name val="Calibri"/>
      <family val="2"/>
      <scheme val="minor"/>
    </font>
    <font>
      <b/>
      <sz val="11"/>
      <color theme="0" tint="-0.14999847407452621"/>
      <name val="Calibri"/>
      <family val="2"/>
      <scheme val="minor"/>
    </font>
    <font>
      <i/>
      <sz val="11"/>
      <color theme="0" tint="-0.14999847407452621"/>
      <name val="Calibri"/>
      <family val="2"/>
      <scheme val="minor"/>
    </font>
    <font>
      <sz val="11"/>
      <color rgb="FF00B05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top style="medium">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right style="medium">
        <color indexed="64"/>
      </right>
      <top/>
      <bottom/>
      <diagonal/>
    </border>
    <border>
      <left/>
      <right style="thin">
        <color indexed="64"/>
      </right>
      <top/>
      <bottom style="thin">
        <color indexed="64"/>
      </bottom>
      <diagonal/>
    </border>
    <border>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324">
    <xf numFmtId="0" fontId="0" fillId="0" borderId="0" xfId="0"/>
    <xf numFmtId="0" fontId="0" fillId="0" borderId="1" xfId="0" applyBorder="1"/>
    <xf numFmtId="0" fontId="0" fillId="2" borderId="1" xfId="0" applyFill="1" applyBorder="1"/>
    <xf numFmtId="0" fontId="0" fillId="0" borderId="0" xfId="0" applyAlignment="1">
      <alignment wrapText="1"/>
    </xf>
    <xf numFmtId="0" fontId="2" fillId="0" borderId="1" xfId="0" applyFont="1" applyBorder="1"/>
    <xf numFmtId="0" fontId="2" fillId="0" borderId="1" xfId="0" applyFont="1" applyBorder="1" applyAlignment="1">
      <alignment horizontal="center"/>
    </xf>
    <xf numFmtId="0" fontId="0" fillId="0" borderId="1" xfId="0" applyBorder="1" applyAlignment="1">
      <alignment wrapText="1"/>
    </xf>
    <xf numFmtId="0" fontId="0" fillId="0" borderId="0" xfId="0" applyFill="1"/>
    <xf numFmtId="0" fontId="6" fillId="0" borderId="1" xfId="0" applyFont="1" applyBorder="1" applyAlignment="1">
      <alignment horizontal="center" vertical="center" wrapText="1"/>
    </xf>
    <xf numFmtId="0" fontId="0" fillId="2" borderId="1" xfId="0" applyFill="1" applyBorder="1" applyAlignment="1">
      <alignment wrapText="1"/>
    </xf>
    <xf numFmtId="0" fontId="0" fillId="0" borderId="1" xfId="0" applyFill="1" applyBorder="1"/>
    <xf numFmtId="0" fontId="0" fillId="3" borderId="0" xfId="0" applyFill="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6" fillId="0" borderId="2" xfId="0" applyFont="1" applyBorder="1" applyAlignment="1">
      <alignment horizontal="center" vertical="center" wrapText="1"/>
    </xf>
    <xf numFmtId="0" fontId="0" fillId="0" borderId="2" xfId="0" applyBorder="1" applyAlignment="1">
      <alignment wrapText="1"/>
    </xf>
    <xf numFmtId="0" fontId="0" fillId="0" borderId="3" xfId="0" applyBorder="1"/>
    <xf numFmtId="0" fontId="0" fillId="0" borderId="6" xfId="0" applyBorder="1"/>
    <xf numFmtId="0" fontId="2" fillId="0" borderId="8" xfId="0" applyFont="1" applyBorder="1" applyAlignment="1">
      <alignment horizontal="center" wrapText="1"/>
    </xf>
    <xf numFmtId="0" fontId="0" fillId="0" borderId="2" xfId="0" applyBorder="1"/>
    <xf numFmtId="0" fontId="0" fillId="0" borderId="10" xfId="0" applyBorder="1"/>
    <xf numFmtId="0" fontId="0" fillId="0" borderId="4" xfId="0" applyBorder="1"/>
    <xf numFmtId="0" fontId="13" fillId="0" borderId="0" xfId="0" applyFont="1"/>
    <xf numFmtId="0" fontId="0" fillId="0" borderId="1" xfId="0" applyFont="1" applyBorder="1" applyAlignment="1">
      <alignment horizontal="center"/>
    </xf>
    <xf numFmtId="0" fontId="2" fillId="0" borderId="1" xfId="0" applyFont="1" applyBorder="1" applyAlignment="1">
      <alignment horizont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0" fillId="0" borderId="2" xfId="0" applyBorder="1" applyAlignment="1">
      <alignment horizontal="right" vertical="center" wrapText="1"/>
    </xf>
    <xf numFmtId="0" fontId="0" fillId="2" borderId="1" xfId="0" applyFill="1" applyBorder="1" applyAlignment="1">
      <alignment horizontal="center" vertical="center" wrapText="1"/>
    </xf>
    <xf numFmtId="0" fontId="0" fillId="0" borderId="3" xfId="0" applyBorder="1" applyAlignment="1">
      <alignment horizontal="center" vertical="center"/>
    </xf>
    <xf numFmtId="0" fontId="12" fillId="0" borderId="3" xfId="0" applyFont="1" applyBorder="1" applyAlignment="1">
      <alignment horizontal="center" vertical="center"/>
    </xf>
    <xf numFmtId="0" fontId="0" fillId="0" borderId="4" xfId="0" applyBorder="1" applyAlignment="1">
      <alignment horizontal="right"/>
    </xf>
    <xf numFmtId="0" fontId="0" fillId="2" borderId="5" xfId="0" applyFill="1" applyBorder="1" applyAlignment="1">
      <alignment horizontal="center" vertical="center"/>
    </xf>
    <xf numFmtId="0" fontId="0" fillId="0" borderId="6" xfId="0" applyBorder="1" applyAlignment="1">
      <alignment horizontal="center" vertical="center"/>
    </xf>
    <xf numFmtId="0" fontId="2" fillId="0" borderId="9" xfId="0" applyFont="1" applyBorder="1" applyAlignment="1">
      <alignment horizontal="center" vertical="center" wrapText="1"/>
    </xf>
    <xf numFmtId="0" fontId="2" fillId="0" borderId="7" xfId="0" applyFont="1" applyBorder="1" applyAlignment="1">
      <alignment wrapText="1"/>
    </xf>
    <xf numFmtId="0" fontId="2" fillId="0" borderId="8" xfId="0" applyFont="1" applyBorder="1" applyAlignment="1">
      <alignment wrapText="1"/>
    </xf>
    <xf numFmtId="0" fontId="2" fillId="0" borderId="9" xfId="0" applyFont="1" applyBorder="1" applyAlignment="1">
      <alignment wrapText="1"/>
    </xf>
    <xf numFmtId="0" fontId="6" fillId="0" borderId="3" xfId="0" applyFont="1" applyBorder="1" applyAlignment="1">
      <alignment horizontal="center" vertical="center" wrapText="1"/>
    </xf>
    <xf numFmtId="0" fontId="0" fillId="0" borderId="2" xfId="0" applyBorder="1" applyAlignment="1">
      <alignment horizontal="center" vertical="center"/>
    </xf>
    <xf numFmtId="0" fontId="0" fillId="4" borderId="3" xfId="0" applyFill="1" applyBorder="1" applyAlignment="1">
      <alignment horizontal="center" vertical="center"/>
    </xf>
    <xf numFmtId="0" fontId="9" fillId="0" borderId="3" xfId="0" applyFont="1" applyBorder="1"/>
    <xf numFmtId="0" fontId="0" fillId="4" borderId="6" xfId="0" applyFill="1" applyBorder="1" applyAlignment="1">
      <alignment horizontal="center" vertical="center"/>
    </xf>
    <xf numFmtId="0" fontId="0" fillId="2" borderId="1" xfId="0" applyFill="1" applyBorder="1" applyAlignment="1">
      <alignment horizontal="center"/>
    </xf>
    <xf numFmtId="0" fontId="0" fillId="2" borderId="5" xfId="0" applyFill="1" applyBorder="1" applyAlignment="1">
      <alignment horizontal="center"/>
    </xf>
    <xf numFmtId="0" fontId="0" fillId="2" borderId="5" xfId="0" applyFill="1" applyBorder="1"/>
    <xf numFmtId="0" fontId="9" fillId="0" borderId="6" xfId="0" applyFont="1" applyBorder="1"/>
    <xf numFmtId="0" fontId="15" fillId="0" borderId="34" xfId="0" applyFont="1" applyBorder="1" applyAlignment="1">
      <alignment horizontal="center" vertical="center" wrapText="1"/>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16" fillId="0" borderId="27" xfId="0" applyFont="1" applyBorder="1" applyAlignment="1">
      <alignment horizontal="center" vertical="center"/>
    </xf>
    <xf numFmtId="0" fontId="16" fillId="0" borderId="44" xfId="0" applyFont="1" applyBorder="1" applyAlignment="1">
      <alignment horizontal="center" vertical="center"/>
    </xf>
    <xf numFmtId="0" fontId="16" fillId="0" borderId="45" xfId="0" applyFont="1" applyBorder="1" applyAlignment="1">
      <alignment horizontal="center" vertical="center"/>
    </xf>
    <xf numFmtId="0" fontId="16" fillId="0" borderId="46" xfId="0" applyFont="1" applyBorder="1" applyAlignment="1">
      <alignment horizontal="center" vertical="center"/>
    </xf>
    <xf numFmtId="0" fontId="16" fillId="0" borderId="47" xfId="0" applyFont="1" applyBorder="1" applyAlignment="1">
      <alignment horizontal="center" vertical="center"/>
    </xf>
    <xf numFmtId="0" fontId="6" fillId="0" borderId="44" xfId="0" applyFont="1" applyBorder="1" applyAlignment="1">
      <alignment horizontal="center" vertical="center"/>
    </xf>
    <xf numFmtId="0" fontId="6" fillId="0" borderId="48" xfId="0" applyFont="1" applyBorder="1" applyAlignment="1">
      <alignment horizontal="center" vertical="center"/>
    </xf>
    <xf numFmtId="0" fontId="16" fillId="0" borderId="48" xfId="0" applyFont="1" applyBorder="1" applyAlignment="1">
      <alignment horizontal="center" vertical="center"/>
    </xf>
    <xf numFmtId="0" fontId="6" fillId="0" borderId="20" xfId="0" applyFont="1" applyBorder="1" applyAlignment="1">
      <alignment horizontal="center" vertical="center"/>
    </xf>
    <xf numFmtId="0" fontId="6" fillId="0" borderId="6" xfId="0" applyFont="1" applyBorder="1" applyAlignment="1">
      <alignment horizontal="center" vertical="center" wrapText="1"/>
    </xf>
    <xf numFmtId="0" fontId="13" fillId="0" borderId="49" xfId="0" applyFont="1" applyBorder="1"/>
    <xf numFmtId="0" fontId="13" fillId="0" borderId="50" xfId="0" applyFont="1" applyBorder="1"/>
    <xf numFmtId="0" fontId="13" fillId="0" borderId="13" xfId="0" applyFont="1" applyBorder="1"/>
    <xf numFmtId="0" fontId="0" fillId="0" borderId="49" xfId="0" applyBorder="1"/>
    <xf numFmtId="0" fontId="0" fillId="0" borderId="50" xfId="0" applyBorder="1"/>
    <xf numFmtId="165" fontId="13" fillId="0" borderId="50" xfId="0" applyNumberFormat="1" applyFont="1" applyBorder="1"/>
    <xf numFmtId="165" fontId="0" fillId="0" borderId="50" xfId="0" applyNumberFormat="1" applyBorder="1"/>
    <xf numFmtId="0" fontId="13" fillId="0" borderId="52" xfId="0" applyFont="1" applyBorder="1"/>
    <xf numFmtId="0" fontId="13" fillId="0" borderId="14" xfId="0" applyFont="1" applyBorder="1"/>
    <xf numFmtId="165" fontId="13" fillId="0" borderId="53" xfId="0" applyNumberFormat="1" applyFont="1" applyBorder="1"/>
    <xf numFmtId="0" fontId="13" fillId="0" borderId="54" xfId="0" applyFont="1" applyBorder="1"/>
    <xf numFmtId="0" fontId="0" fillId="0" borderId="14" xfId="0" applyBorder="1"/>
    <xf numFmtId="165" fontId="0" fillId="0" borderId="53" xfId="0" applyNumberFormat="1" applyBorder="1"/>
    <xf numFmtId="0" fontId="13" fillId="0" borderId="53" xfId="0" applyFont="1" applyBorder="1"/>
    <xf numFmtId="0" fontId="13" fillId="0" borderId="21" xfId="0" applyFont="1" applyBorder="1"/>
    <xf numFmtId="0" fontId="13" fillId="0" borderId="10" xfId="0" applyFont="1" applyBorder="1"/>
    <xf numFmtId="165" fontId="13" fillId="0" borderId="43" xfId="0" applyNumberFormat="1" applyFont="1" applyBorder="1"/>
    <xf numFmtId="0" fontId="13" fillId="0" borderId="51" xfId="0" applyFont="1" applyBorder="1"/>
    <xf numFmtId="165" fontId="0" fillId="0" borderId="43" xfId="0" applyNumberFormat="1" applyBorder="1"/>
    <xf numFmtId="0" fontId="13" fillId="0" borderId="43" xfId="0" applyFont="1" applyBorder="1"/>
    <xf numFmtId="0" fontId="13" fillId="0" borderId="27" xfId="0" applyFont="1" applyBorder="1"/>
    <xf numFmtId="0" fontId="13" fillId="0" borderId="44" xfId="0" applyFont="1" applyBorder="1"/>
    <xf numFmtId="0" fontId="13" fillId="0" borderId="45" xfId="0" applyFont="1" applyBorder="1"/>
    <xf numFmtId="0" fontId="13" fillId="0" borderId="46" xfId="0" applyFont="1" applyBorder="1"/>
    <xf numFmtId="0" fontId="0" fillId="0" borderId="44" xfId="0" applyBorder="1"/>
    <xf numFmtId="0" fontId="0" fillId="0" borderId="45" xfId="0" applyBorder="1"/>
    <xf numFmtId="0" fontId="0" fillId="0" borderId="1" xfId="0" applyFill="1" applyBorder="1" applyAlignment="1">
      <alignment horizontal="center" wrapText="1"/>
    </xf>
    <xf numFmtId="0" fontId="0" fillId="0" borderId="4" xfId="0" applyBorder="1" applyAlignment="1">
      <alignment horizontal="center" vertical="center"/>
    </xf>
    <xf numFmtId="0" fontId="0" fillId="5" borderId="0" xfId="0" applyFill="1"/>
    <xf numFmtId="14" fontId="0" fillId="5" borderId="0" xfId="0" applyNumberFormat="1" applyFill="1"/>
    <xf numFmtId="0" fontId="17" fillId="0" borderId="0" xfId="0" applyFont="1"/>
    <xf numFmtId="0" fontId="17" fillId="2" borderId="8" xfId="0" applyFont="1" applyFill="1" applyBorder="1"/>
    <xf numFmtId="0" fontId="17" fillId="0" borderId="9" xfId="0" applyFont="1" applyBorder="1"/>
    <xf numFmtId="0" fontId="17" fillId="0" borderId="0" xfId="0" applyFont="1" applyAlignment="1">
      <alignment vertical="top" wrapText="1"/>
    </xf>
    <xf numFmtId="0" fontId="19" fillId="0" borderId="50" xfId="0" applyFont="1" applyBorder="1"/>
    <xf numFmtId="0" fontId="17" fillId="0" borderId="3" xfId="0" applyFont="1" applyBorder="1"/>
    <xf numFmtId="0" fontId="17" fillId="0" borderId="2" xfId="0" applyFont="1" applyBorder="1"/>
    <xf numFmtId="0" fontId="17" fillId="4" borderId="3" xfId="0" applyFont="1" applyFill="1" applyBorder="1"/>
    <xf numFmtId="0" fontId="17" fillId="0" borderId="6" xfId="0" applyFont="1" applyBorder="1"/>
    <xf numFmtId="0" fontId="17" fillId="0" borderId="4" xfId="0" applyFont="1" applyBorder="1"/>
    <xf numFmtId="0" fontId="17" fillId="4" borderId="6" xfId="0" applyFont="1" applyFill="1" applyBorder="1"/>
    <xf numFmtId="0" fontId="17" fillId="0" borderId="0" xfId="0" applyFont="1" applyAlignment="1">
      <alignment horizontal="center" vertical="center" wrapText="1"/>
    </xf>
    <xf numFmtId="0" fontId="17" fillId="0" borderId="22" xfId="0" applyFont="1" applyBorder="1" applyAlignment="1">
      <alignment horizontal="center" vertical="center" wrapText="1"/>
    </xf>
    <xf numFmtId="0" fontId="21" fillId="0" borderId="7"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8" xfId="0" applyFont="1" applyBorder="1" applyAlignment="1">
      <alignment horizontal="center" wrapText="1"/>
    </xf>
    <xf numFmtId="0" fontId="21" fillId="0" borderId="9" xfId="0" applyFont="1" applyBorder="1" applyAlignment="1">
      <alignment horizontal="center" vertical="center" wrapText="1"/>
    </xf>
    <xf numFmtId="0" fontId="22" fillId="0" borderId="2"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0" xfId="0" applyFont="1" applyAlignment="1">
      <alignment horizontal="center" vertical="center" wrapText="1"/>
    </xf>
    <xf numFmtId="0" fontId="17" fillId="0" borderId="2" xfId="0" applyFont="1" applyBorder="1" applyAlignment="1">
      <alignment wrapText="1"/>
    </xf>
    <xf numFmtId="0" fontId="17" fillId="0" borderId="1" xfId="0" applyFont="1" applyBorder="1" applyAlignment="1">
      <alignment wrapText="1"/>
    </xf>
    <xf numFmtId="0" fontId="17" fillId="0" borderId="50" xfId="0" applyFont="1" applyBorder="1" applyAlignment="1">
      <alignment wrapText="1"/>
    </xf>
    <xf numFmtId="0" fontId="17" fillId="0" borderId="55" xfId="0" applyFont="1" applyBorder="1" applyAlignment="1">
      <alignment wrapText="1"/>
    </xf>
    <xf numFmtId="0" fontId="17" fillId="2" borderId="1" xfId="0" applyFont="1" applyFill="1" applyBorder="1" applyAlignment="1">
      <alignment wrapText="1"/>
    </xf>
    <xf numFmtId="165" fontId="17" fillId="0" borderId="3" xfId="0" applyNumberFormat="1" applyFont="1" applyBorder="1"/>
    <xf numFmtId="165" fontId="17" fillId="0" borderId="0" xfId="0" applyNumberFormat="1" applyFont="1"/>
    <xf numFmtId="0" fontId="17" fillId="0" borderId="1" xfId="0" applyFont="1" applyBorder="1"/>
    <xf numFmtId="0" fontId="17" fillId="0" borderId="50" xfId="0" applyFont="1" applyBorder="1"/>
    <xf numFmtId="0" fontId="17" fillId="0" borderId="55" xfId="0" applyFont="1" applyBorder="1"/>
    <xf numFmtId="164" fontId="17" fillId="0" borderId="1" xfId="0" applyNumberFormat="1" applyFont="1" applyBorder="1"/>
    <xf numFmtId="0" fontId="17" fillId="2" borderId="1" xfId="0" applyFont="1" applyFill="1" applyBorder="1"/>
    <xf numFmtId="0" fontId="17" fillId="4" borderId="1" xfId="0" applyFont="1" applyFill="1" applyBorder="1"/>
    <xf numFmtId="0" fontId="17" fillId="0" borderId="10" xfId="0" applyFont="1" applyBorder="1"/>
    <xf numFmtId="0" fontId="17" fillId="0" borderId="56" xfId="0" applyFont="1" applyBorder="1"/>
    <xf numFmtId="0" fontId="17" fillId="0" borderId="5" xfId="0" applyFont="1" applyBorder="1"/>
    <xf numFmtId="164" fontId="17" fillId="0" borderId="5" xfId="0" applyNumberFormat="1" applyFont="1" applyBorder="1"/>
    <xf numFmtId="0" fontId="17" fillId="4" borderId="5" xfId="0" applyFont="1" applyFill="1" applyBorder="1"/>
    <xf numFmtId="0" fontId="17" fillId="0" borderId="45" xfId="0" applyFont="1" applyBorder="1"/>
    <xf numFmtId="0" fontId="22" fillId="0" borderId="1" xfId="0" applyFont="1" applyBorder="1" applyAlignment="1">
      <alignment wrapText="1"/>
    </xf>
    <xf numFmtId="0" fontId="17" fillId="0" borderId="10" xfId="0" applyFont="1" applyBorder="1" applyAlignment="1">
      <alignment wrapText="1"/>
    </xf>
    <xf numFmtId="0" fontId="17" fillId="0" borderId="11" xfId="0" applyFont="1" applyBorder="1" applyAlignment="1">
      <alignment wrapText="1"/>
    </xf>
    <xf numFmtId="0" fontId="17" fillId="0" borderId="11" xfId="0" applyFont="1" applyBorder="1"/>
    <xf numFmtId="0" fontId="17" fillId="0" borderId="7" xfId="0" applyFont="1" applyBorder="1"/>
    <xf numFmtId="0" fontId="17" fillId="0" borderId="8" xfId="0" applyFont="1" applyBorder="1"/>
    <xf numFmtId="0" fontId="17" fillId="3" borderId="1" xfId="0" applyFont="1" applyFill="1" applyBorder="1"/>
    <xf numFmtId="0" fontId="17" fillId="3" borderId="3" xfId="0" applyFont="1" applyFill="1" applyBorder="1"/>
    <xf numFmtId="0" fontId="17" fillId="3" borderId="5" xfId="0" applyFont="1" applyFill="1" applyBorder="1"/>
    <xf numFmtId="0" fontId="17" fillId="3" borderId="6" xfId="0" applyFont="1" applyFill="1" applyBorder="1"/>
    <xf numFmtId="0" fontId="17" fillId="0" borderId="34" xfId="0" applyFont="1" applyBorder="1"/>
    <xf numFmtId="0" fontId="17" fillId="0" borderId="35" xfId="0" applyFont="1" applyBorder="1"/>
    <xf numFmtId="0" fontId="17" fillId="0" borderId="22" xfId="0" applyFont="1" applyBorder="1"/>
    <xf numFmtId="0" fontId="17" fillId="0" borderId="26" xfId="0" applyFont="1" applyBorder="1"/>
    <xf numFmtId="0" fontId="17" fillId="0" borderId="12" xfId="0" applyFont="1" applyBorder="1" applyAlignment="1">
      <alignment wrapText="1"/>
    </xf>
    <xf numFmtId="0" fontId="17" fillId="0" borderId="23" xfId="0" applyFont="1" applyBorder="1"/>
    <xf numFmtId="0" fontId="17" fillId="0" borderId="24" xfId="0" applyFont="1" applyBorder="1"/>
    <xf numFmtId="0" fontId="17" fillId="0" borderId="12" xfId="0" applyFont="1" applyBorder="1"/>
    <xf numFmtId="0" fontId="17" fillId="0" borderId="17" xfId="0" applyFont="1" applyBorder="1"/>
    <xf numFmtId="0" fontId="17" fillId="0" borderId="57" xfId="0" applyFont="1" applyBorder="1"/>
    <xf numFmtId="0" fontId="17" fillId="0" borderId="18" xfId="0" applyFont="1" applyBorder="1"/>
    <xf numFmtId="0" fontId="17" fillId="0" borderId="58" xfId="0" applyFont="1" applyBorder="1"/>
    <xf numFmtId="0" fontId="17" fillId="0" borderId="55" xfId="0" applyFont="1" applyBorder="1" applyAlignment="1">
      <alignment horizontal="center" vertical="center" wrapText="1"/>
    </xf>
    <xf numFmtId="0" fontId="10" fillId="0" borderId="0" xfId="0" applyFont="1"/>
    <xf numFmtId="166" fontId="0" fillId="0" borderId="0" xfId="0" applyNumberFormat="1"/>
    <xf numFmtId="0" fontId="0" fillId="0" borderId="1" xfId="0" applyBorder="1" applyAlignment="1">
      <alignment horizontal="center" vertical="center"/>
    </xf>
    <xf numFmtId="0" fontId="0" fillId="4" borderId="1" xfId="0" applyFill="1" applyBorder="1" applyAlignment="1">
      <alignment horizontal="center" vertical="center"/>
    </xf>
    <xf numFmtId="0" fontId="0" fillId="4" borderId="5" xfId="0" applyFill="1" applyBorder="1" applyAlignment="1">
      <alignment horizontal="center" vertical="center"/>
    </xf>
    <xf numFmtId="0" fontId="17" fillId="0" borderId="4" xfId="0" applyFont="1" applyBorder="1" applyAlignment="1">
      <alignment wrapText="1"/>
    </xf>
    <xf numFmtId="0" fontId="17" fillId="0" borderId="5" xfId="0" applyFont="1" applyBorder="1" applyAlignment="1">
      <alignment wrapText="1"/>
    </xf>
    <xf numFmtId="0" fontId="0" fillId="0" borderId="1" xfId="0" applyFont="1" applyBorder="1" applyAlignment="1">
      <alignment horizontal="center" wrapText="1"/>
    </xf>
    <xf numFmtId="0" fontId="0" fillId="0" borderId="1" xfId="0" applyBorder="1" applyAlignment="1">
      <alignment horizontal="center" wrapText="1"/>
    </xf>
    <xf numFmtId="0" fontId="2" fillId="0" borderId="1" xfId="0" applyFont="1" applyBorder="1" applyAlignment="1">
      <alignment horizontal="center"/>
    </xf>
    <xf numFmtId="0" fontId="17" fillId="0" borderId="3" xfId="0" applyFont="1" applyBorder="1" applyAlignment="1">
      <alignment horizontal="center"/>
    </xf>
    <xf numFmtId="0" fontId="0" fillId="0" borderId="0" xfId="0" applyAlignment="1">
      <alignment horizontal="center"/>
    </xf>
    <xf numFmtId="0" fontId="17" fillId="0" borderId="1" xfId="0" applyFont="1" applyBorder="1" applyAlignment="1">
      <alignment horizontal="center"/>
    </xf>
    <xf numFmtId="0" fontId="17" fillId="0" borderId="15" xfId="0" applyFont="1" applyBorder="1" applyAlignment="1">
      <alignment horizontal="center"/>
    </xf>
    <xf numFmtId="0" fontId="17" fillId="0" borderId="11" xfId="0" applyFont="1" applyBorder="1" applyAlignment="1">
      <alignment horizontal="center"/>
    </xf>
    <xf numFmtId="0" fontId="17" fillId="3" borderId="2" xfId="0" applyFont="1" applyFill="1" applyBorder="1" applyAlignment="1">
      <alignment horizontal="center"/>
    </xf>
    <xf numFmtId="0" fontId="17" fillId="0" borderId="5" xfId="0" applyFont="1" applyBorder="1" applyAlignment="1">
      <alignment horizontal="center"/>
    </xf>
    <xf numFmtId="0" fontId="17" fillId="3" borderId="1" xfId="0" applyFont="1" applyFill="1" applyBorder="1" applyAlignment="1">
      <alignment horizontal="center"/>
    </xf>
    <xf numFmtId="0" fontId="17" fillId="0" borderId="59" xfId="0" applyFont="1" applyBorder="1" applyAlignment="1">
      <alignment horizontal="center"/>
    </xf>
    <xf numFmtId="0" fontId="17" fillId="0" borderId="34" xfId="0" applyFont="1" applyBorder="1" applyAlignment="1">
      <alignment horizontal="center"/>
    </xf>
    <xf numFmtId="0" fontId="17" fillId="0" borderId="35" xfId="0" applyFont="1" applyBorder="1" applyAlignment="1">
      <alignment horizontal="center"/>
    </xf>
    <xf numFmtId="0" fontId="17" fillId="0" borderId="36" xfId="0" applyFont="1" applyBorder="1" applyAlignment="1">
      <alignment horizontal="center"/>
    </xf>
    <xf numFmtId="0" fontId="17" fillId="0" borderId="2" xfId="0" applyFont="1" applyBorder="1" applyAlignment="1">
      <alignment horizontal="center" vertical="center"/>
    </xf>
    <xf numFmtId="0" fontId="17" fillId="0" borderId="1" xfId="0" applyFont="1" applyBorder="1" applyAlignment="1">
      <alignment horizontal="center" vertical="center"/>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17" fillId="0" borderId="7" xfId="0" applyFont="1" applyBorder="1" applyAlignment="1">
      <alignment horizontal="center" wrapText="1"/>
    </xf>
    <xf numFmtId="0" fontId="17" fillId="0" borderId="14" xfId="0" applyFont="1" applyBorder="1" applyAlignment="1">
      <alignment horizontal="center" wrapText="1"/>
    </xf>
    <xf numFmtId="0" fontId="17" fillId="2" borderId="9" xfId="0" applyFont="1" applyFill="1" applyBorder="1" applyAlignment="1">
      <alignment horizontal="center"/>
    </xf>
    <xf numFmtId="0" fontId="17" fillId="2" borderId="16" xfId="0" applyFont="1" applyFill="1" applyBorder="1" applyAlignment="1">
      <alignment horizontal="center"/>
    </xf>
    <xf numFmtId="0" fontId="17" fillId="0" borderId="56"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20" xfId="0" applyFont="1" applyBorder="1" applyAlignment="1">
      <alignment horizontal="center" vertical="center" wrapText="1"/>
    </xf>
    <xf numFmtId="0" fontId="17" fillId="0" borderId="28" xfId="0" applyFont="1" applyBorder="1" applyAlignment="1">
      <alignment horizontal="center" vertical="center"/>
    </xf>
    <xf numFmtId="0" fontId="17" fillId="0" borderId="29" xfId="0" applyFont="1" applyBorder="1" applyAlignment="1">
      <alignment horizontal="center" vertical="center"/>
    </xf>
    <xf numFmtId="0" fontId="17" fillId="0" borderId="37" xfId="0" applyFont="1" applyBorder="1" applyAlignment="1">
      <alignment horizontal="center" vertical="center"/>
    </xf>
    <xf numFmtId="0" fontId="0" fillId="5" borderId="29" xfId="0" applyFill="1" applyBorder="1" applyAlignment="1">
      <alignment horizontal="center" vertical="center" wrapText="1"/>
    </xf>
    <xf numFmtId="0" fontId="0" fillId="5" borderId="0" xfId="0" applyFill="1" applyAlignment="1">
      <alignment horizontal="center" vertical="center" wrapText="1"/>
    </xf>
    <xf numFmtId="0" fontId="17" fillId="0" borderId="7"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55" xfId="0" applyFont="1" applyBorder="1" applyAlignment="1">
      <alignment horizontal="center" vertical="center" wrapText="1"/>
    </xf>
    <xf numFmtId="0" fontId="17" fillId="0" borderId="17" xfId="0" applyFont="1" applyBorder="1" applyAlignment="1">
      <alignment horizontal="center" vertical="center" wrapText="1"/>
    </xf>
    <xf numFmtId="0" fontId="20" fillId="0" borderId="0" xfId="0" applyFont="1" applyAlignment="1">
      <alignment horizontal="left" vertical="top" wrapText="1"/>
    </xf>
    <xf numFmtId="0" fontId="17" fillId="0" borderId="9" xfId="0" applyFont="1" applyBorder="1" applyAlignment="1">
      <alignment horizontal="center" vertical="center" wrapText="1"/>
    </xf>
    <xf numFmtId="0" fontId="17" fillId="0" borderId="19" xfId="0" applyFont="1"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3" borderId="1" xfId="0" applyFill="1" applyBorder="1" applyAlignment="1">
      <alignment horizontal="center"/>
    </xf>
    <xf numFmtId="0" fontId="0" fillId="3" borderId="5" xfId="0" applyFill="1" applyBorder="1" applyAlignment="1">
      <alignment horizontal="center"/>
    </xf>
    <xf numFmtId="166" fontId="0" fillId="3" borderId="1" xfId="0" applyNumberFormat="1" applyFill="1" applyBorder="1" applyAlignment="1">
      <alignment horizontal="center"/>
    </xf>
    <xf numFmtId="166" fontId="0" fillId="3" borderId="5" xfId="0" applyNumberFormat="1" applyFill="1" applyBorder="1" applyAlignment="1">
      <alignment horizontal="center"/>
    </xf>
    <xf numFmtId="1" fontId="0" fillId="3" borderId="3" xfId="0" applyNumberFormat="1" applyFill="1" applyBorder="1" applyAlignment="1">
      <alignment horizontal="center"/>
    </xf>
    <xf numFmtId="1" fontId="0" fillId="3" borderId="6" xfId="0" applyNumberFormat="1" applyFill="1" applyBorder="1" applyAlignment="1">
      <alignment horizontal="center"/>
    </xf>
    <xf numFmtId="0" fontId="0" fillId="3" borderId="19" xfId="0" applyFill="1" applyBorder="1" applyAlignment="1">
      <alignment horizontal="center"/>
    </xf>
    <xf numFmtId="0" fontId="0" fillId="3" borderId="20" xfId="0" applyFill="1" applyBorder="1" applyAlignment="1">
      <alignment horizontal="center"/>
    </xf>
    <xf numFmtId="2" fontId="0" fillId="3" borderId="3" xfId="0" applyNumberFormat="1" applyFill="1" applyBorder="1" applyAlignment="1">
      <alignment horizontal="center"/>
    </xf>
    <xf numFmtId="2" fontId="0" fillId="3" borderId="6" xfId="0" applyNumberFormat="1" applyFill="1" applyBorder="1" applyAlignment="1">
      <alignment horizontal="center"/>
    </xf>
    <xf numFmtId="0" fontId="0" fillId="0" borderId="10" xfId="0" applyBorder="1" applyAlignment="1">
      <alignment horizontal="center"/>
    </xf>
    <xf numFmtId="0" fontId="0" fillId="3" borderId="11" xfId="0" applyFill="1" applyBorder="1" applyAlignment="1">
      <alignment horizontal="center"/>
    </xf>
    <xf numFmtId="166" fontId="0" fillId="3" borderId="11" xfId="0" applyNumberFormat="1" applyFill="1" applyBorder="1" applyAlignment="1">
      <alignment horizontal="center"/>
    </xf>
    <xf numFmtId="1" fontId="0" fillId="3" borderId="12" xfId="0" applyNumberFormat="1" applyFill="1" applyBorder="1" applyAlignment="1">
      <alignment horizontal="center"/>
    </xf>
    <xf numFmtId="0" fontId="0" fillId="3" borderId="51" xfId="0" applyFill="1" applyBorder="1" applyAlignment="1">
      <alignment horizontal="center"/>
    </xf>
    <xf numFmtId="2" fontId="0" fillId="3" borderId="12" xfId="0" applyNumberFormat="1" applyFill="1" applyBorder="1" applyAlignment="1">
      <alignment horizontal="center"/>
    </xf>
    <xf numFmtId="0" fontId="2" fillId="0" borderId="29" xfId="0" applyFont="1" applyBorder="1" applyAlignment="1">
      <alignment horizontal="center" vertical="center" wrapText="1"/>
    </xf>
    <xf numFmtId="0" fontId="2" fillId="0" borderId="37"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43" xfId="0" applyFont="1" applyBorder="1" applyAlignment="1">
      <alignment horizontal="center" vertical="center" wrapText="1"/>
    </xf>
    <xf numFmtId="0" fontId="15" fillId="0" borderId="39" xfId="0" applyFont="1" applyBorder="1" applyAlignment="1">
      <alignment horizontal="center" vertical="center" wrapText="1"/>
    </xf>
    <xf numFmtId="0" fontId="15" fillId="0" borderId="40" xfId="0" applyFont="1" applyBorder="1" applyAlignment="1">
      <alignment horizontal="center" vertical="center" wrapText="1"/>
    </xf>
    <xf numFmtId="0" fontId="15" fillId="0" borderId="41" xfId="0" applyFont="1" applyBorder="1" applyAlignment="1">
      <alignment horizontal="center" vertical="center" wrapText="1"/>
    </xf>
    <xf numFmtId="0" fontId="15" fillId="0" borderId="42"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40" xfId="0" applyFont="1" applyBorder="1" applyAlignment="1">
      <alignment horizontal="center" vertical="center" wrapText="1"/>
    </xf>
    <xf numFmtId="0" fontId="14" fillId="0" borderId="28" xfId="0" applyFont="1" applyBorder="1" applyAlignment="1">
      <alignment horizontal="center" vertical="top" wrapText="1"/>
    </xf>
    <xf numFmtId="0" fontId="14" fillId="0" borderId="29" xfId="0" applyFont="1" applyBorder="1" applyAlignment="1">
      <alignment horizontal="center" vertical="top" wrapText="1"/>
    </xf>
    <xf numFmtId="0" fontId="14" fillId="0" borderId="25" xfId="0" applyFont="1" applyBorder="1" applyAlignment="1">
      <alignment horizontal="center" vertical="top" wrapText="1"/>
    </xf>
    <xf numFmtId="0" fontId="14" fillId="0" borderId="0" xfId="0" applyFont="1" applyAlignment="1">
      <alignment horizontal="center" vertical="top" wrapText="1"/>
    </xf>
    <xf numFmtId="0" fontId="14" fillId="0" borderId="30" xfId="0" applyFont="1" applyBorder="1" applyAlignment="1">
      <alignment horizontal="center" vertical="top" wrapText="1"/>
    </xf>
    <xf numFmtId="0" fontId="14" fillId="0" borderId="27" xfId="0" applyFont="1" applyBorder="1" applyAlignment="1">
      <alignment horizontal="center" vertical="top" wrapText="1"/>
    </xf>
    <xf numFmtId="0" fontId="0" fillId="2" borderId="9" xfId="0" applyFill="1" applyBorder="1" applyAlignment="1">
      <alignment horizontal="center" vertical="center"/>
    </xf>
    <xf numFmtId="0" fontId="0" fillId="2" borderId="3" xfId="0" applyFill="1" applyBorder="1" applyAlignment="1">
      <alignment horizontal="center" vertical="center"/>
    </xf>
    <xf numFmtId="0" fontId="0" fillId="4" borderId="3" xfId="0" applyFill="1" applyBorder="1" applyAlignment="1">
      <alignment horizontal="center" vertical="center"/>
    </xf>
    <xf numFmtId="0" fontId="0" fillId="3" borderId="3" xfId="0" applyFill="1" applyBorder="1" applyAlignment="1">
      <alignment horizontal="center" vertical="center"/>
    </xf>
    <xf numFmtId="0" fontId="0" fillId="3" borderId="6" xfId="0" applyFill="1" applyBorder="1" applyAlignment="1">
      <alignment horizontal="center" vertical="center"/>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2" fillId="0" borderId="3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38" xfId="0" applyFont="1" applyBorder="1" applyAlignment="1">
      <alignment horizontal="center" vertical="center" wrapText="1"/>
    </xf>
    <xf numFmtId="0" fontId="13" fillId="0" borderId="34" xfId="0" applyFont="1" applyBorder="1" applyAlignment="1">
      <alignment horizontal="center"/>
    </xf>
    <xf numFmtId="0" fontId="13" fillId="0" borderId="35" xfId="0" applyFont="1" applyBorder="1" applyAlignment="1">
      <alignment horizontal="center"/>
    </xf>
    <xf numFmtId="0" fontId="13" fillId="0" borderId="36" xfId="0" applyFont="1" applyBorder="1" applyAlignment="1">
      <alignment horizontal="center"/>
    </xf>
    <xf numFmtId="0" fontId="0" fillId="0" borderId="0" xfId="0" applyProtection="1">
      <protection hidden="1"/>
    </xf>
    <xf numFmtId="0" fontId="6" fillId="0" borderId="7" xfId="0" applyFont="1" applyBorder="1" applyAlignment="1" applyProtection="1">
      <alignment horizontal="center"/>
      <protection hidden="1"/>
    </xf>
    <xf numFmtId="0" fontId="6" fillId="0" borderId="8" xfId="0" applyFont="1" applyBorder="1" applyAlignment="1" applyProtection="1">
      <alignment horizontal="center"/>
      <protection hidden="1"/>
    </xf>
    <xf numFmtId="0" fontId="6" fillId="0" borderId="9" xfId="0" applyFont="1" applyBorder="1" applyAlignment="1" applyProtection="1">
      <alignment horizontal="center"/>
      <protection hidden="1"/>
    </xf>
    <xf numFmtId="0" fontId="6" fillId="0" borderId="0" xfId="0" applyFont="1" applyProtection="1">
      <protection hidden="1"/>
    </xf>
    <xf numFmtId="0" fontId="0" fillId="5" borderId="28" xfId="0" applyFill="1" applyBorder="1" applyAlignment="1" applyProtection="1">
      <alignment horizontal="left" vertical="top" wrapText="1"/>
      <protection hidden="1"/>
    </xf>
    <xf numFmtId="0" fontId="0" fillId="5" borderId="29" xfId="0" applyFill="1" applyBorder="1" applyAlignment="1" applyProtection="1">
      <alignment horizontal="left" vertical="top" wrapText="1"/>
      <protection hidden="1"/>
    </xf>
    <xf numFmtId="0" fontId="0" fillId="5" borderId="37" xfId="0" applyFill="1" applyBorder="1" applyAlignment="1" applyProtection="1">
      <alignment horizontal="left" vertical="top" wrapText="1"/>
      <protection hidden="1"/>
    </xf>
    <xf numFmtId="0" fontId="2" fillId="0" borderId="14" xfId="0" applyFont="1" applyBorder="1" applyAlignment="1" applyProtection="1">
      <alignment horizontal="center" vertical="center" wrapText="1"/>
      <protection hidden="1"/>
    </xf>
    <xf numFmtId="0" fontId="2" fillId="0" borderId="15" xfId="0" applyFont="1" applyBorder="1" applyAlignment="1" applyProtection="1">
      <alignment horizontal="center" vertical="center" wrapText="1"/>
      <protection hidden="1"/>
    </xf>
    <xf numFmtId="0" fontId="2" fillId="0" borderId="16" xfId="0" applyFont="1" applyBorder="1" applyAlignment="1" applyProtection="1">
      <alignment horizontal="center" vertical="center" wrapText="1"/>
      <protection hidden="1"/>
    </xf>
    <xf numFmtId="0" fontId="2" fillId="0" borderId="0" xfId="0" applyFont="1" applyAlignment="1" applyProtection="1">
      <alignment horizontal="left" vertical="center"/>
      <protection hidden="1"/>
    </xf>
    <xf numFmtId="0" fontId="0" fillId="5" borderId="25" xfId="0" applyFill="1" applyBorder="1" applyAlignment="1" applyProtection="1">
      <alignment horizontal="left" vertical="top" wrapText="1"/>
      <protection hidden="1"/>
    </xf>
    <xf numFmtId="0" fontId="0" fillId="5" borderId="0" xfId="0" applyFill="1" applyBorder="1" applyAlignment="1" applyProtection="1">
      <alignment horizontal="left" vertical="top" wrapText="1"/>
      <protection hidden="1"/>
    </xf>
    <xf numFmtId="0" fontId="0" fillId="5" borderId="50" xfId="0" applyFill="1" applyBorder="1" applyAlignment="1" applyProtection="1">
      <alignment horizontal="left" vertical="top" wrapText="1"/>
      <protection hidden="1"/>
    </xf>
    <xf numFmtId="0" fontId="10" fillId="0" borderId="7" xfId="0" applyFont="1" applyBorder="1" applyAlignment="1" applyProtection="1">
      <alignment horizontal="right"/>
      <protection hidden="1"/>
    </xf>
    <xf numFmtId="0" fontId="10" fillId="0" borderId="8" xfId="0" applyFont="1" applyBorder="1" applyAlignment="1" applyProtection="1">
      <alignment horizontal="center"/>
      <protection hidden="1"/>
    </xf>
    <xf numFmtId="0" fontId="10" fillId="0" borderId="9" xfId="0" applyFont="1" applyBorder="1" applyAlignment="1" applyProtection="1">
      <alignment horizontal="left"/>
      <protection hidden="1"/>
    </xf>
    <xf numFmtId="0" fontId="10" fillId="0" borderId="2" xfId="0" applyFont="1" applyBorder="1" applyAlignment="1" applyProtection="1">
      <alignment horizontal="right"/>
      <protection hidden="1"/>
    </xf>
    <xf numFmtId="0" fontId="10" fillId="0" borderId="1" xfId="0" applyFont="1" applyBorder="1" applyAlignment="1" applyProtection="1">
      <alignment horizontal="center"/>
      <protection hidden="1"/>
    </xf>
    <xf numFmtId="0" fontId="10" fillId="0" borderId="3" xfId="0" applyFont="1" applyBorder="1" applyAlignment="1" applyProtection="1">
      <alignment horizontal="left"/>
      <protection hidden="1"/>
    </xf>
    <xf numFmtId="0" fontId="11" fillId="0" borderId="2" xfId="0" applyFont="1" applyBorder="1" applyAlignment="1" applyProtection="1">
      <alignment horizontal="right"/>
      <protection hidden="1"/>
    </xf>
    <xf numFmtId="0" fontId="11" fillId="0" borderId="4" xfId="0" applyFont="1" applyBorder="1" applyAlignment="1" applyProtection="1">
      <alignment horizontal="right"/>
      <protection hidden="1"/>
    </xf>
    <xf numFmtId="0" fontId="10" fillId="0" borderId="5" xfId="0" applyFont="1" applyBorder="1" applyAlignment="1" applyProtection="1">
      <alignment horizontal="center"/>
      <protection hidden="1"/>
    </xf>
    <xf numFmtId="0" fontId="10" fillId="0" borderId="6" xfId="0" applyFont="1" applyBorder="1" applyAlignment="1" applyProtection="1">
      <alignment horizontal="left"/>
      <protection hidden="1"/>
    </xf>
    <xf numFmtId="0" fontId="11" fillId="0" borderId="7" xfId="0" applyFont="1" applyBorder="1" applyAlignment="1" applyProtection="1">
      <alignment horizontal="right"/>
      <protection hidden="1"/>
    </xf>
    <xf numFmtId="0" fontId="0" fillId="5" borderId="30" xfId="0" applyFill="1" applyBorder="1" applyAlignment="1" applyProtection="1">
      <alignment horizontal="left" vertical="top" wrapText="1"/>
      <protection hidden="1"/>
    </xf>
    <xf numFmtId="0" fontId="0" fillId="5" borderId="27" xfId="0" applyFill="1" applyBorder="1" applyAlignment="1" applyProtection="1">
      <alignment horizontal="left" vertical="top" wrapText="1"/>
      <protection hidden="1"/>
    </xf>
    <xf numFmtId="0" fontId="0" fillId="5" borderId="45" xfId="0" applyFill="1" applyBorder="1" applyAlignment="1" applyProtection="1">
      <alignment horizontal="left" vertical="top" wrapText="1"/>
      <protection hidden="1"/>
    </xf>
    <xf numFmtId="0" fontId="0" fillId="0" borderId="10" xfId="0" applyBorder="1" applyAlignment="1" applyProtection="1">
      <alignment horizontal="right"/>
      <protection hidden="1"/>
    </xf>
    <xf numFmtId="0" fontId="0" fillId="0" borderId="11" xfId="0" applyBorder="1" applyAlignment="1" applyProtection="1">
      <alignment horizontal="center"/>
      <protection hidden="1"/>
    </xf>
    <xf numFmtId="0" fontId="0" fillId="0" borderId="12" xfId="0" applyBorder="1" applyAlignment="1" applyProtection="1">
      <alignment horizontal="left"/>
      <protection hidden="1"/>
    </xf>
    <xf numFmtId="0" fontId="0" fillId="0" borderId="2" xfId="0" applyBorder="1" applyAlignment="1" applyProtection="1">
      <alignment horizontal="right"/>
      <protection hidden="1"/>
    </xf>
    <xf numFmtId="0" fontId="0" fillId="0" borderId="1" xfId="0" applyBorder="1" applyAlignment="1" applyProtection="1">
      <alignment horizontal="center"/>
      <protection hidden="1"/>
    </xf>
    <xf numFmtId="0" fontId="0" fillId="0" borderId="3" xfId="0" applyBorder="1" applyAlignment="1" applyProtection="1">
      <alignment horizontal="left"/>
      <protection hidden="1"/>
    </xf>
    <xf numFmtId="0" fontId="3" fillId="0" borderId="2" xfId="0" applyFont="1" applyBorder="1" applyAlignment="1" applyProtection="1">
      <alignment horizontal="right"/>
      <protection hidden="1"/>
    </xf>
    <xf numFmtId="0" fontId="10" fillId="0" borderId="0" xfId="0" applyFont="1" applyProtection="1">
      <protection hidden="1"/>
    </xf>
    <xf numFmtId="0" fontId="0" fillId="0" borderId="2" xfId="0" applyBorder="1" applyAlignment="1" applyProtection="1">
      <alignment horizontal="right" wrapText="1"/>
      <protection hidden="1"/>
    </xf>
    <xf numFmtId="0" fontId="3" fillId="0" borderId="4" xfId="0" applyFont="1" applyBorder="1" applyAlignment="1" applyProtection="1">
      <alignment horizontal="right" wrapText="1"/>
      <protection hidden="1"/>
    </xf>
    <xf numFmtId="0" fontId="0" fillId="0" borderId="5" xfId="0" applyBorder="1" applyAlignment="1" applyProtection="1">
      <alignment horizontal="center"/>
      <protection hidden="1"/>
    </xf>
    <xf numFmtId="0" fontId="0" fillId="0" borderId="6" xfId="0" applyBorder="1" applyAlignment="1" applyProtection="1">
      <alignment horizontal="left"/>
      <protection hidden="1"/>
    </xf>
    <xf numFmtId="0" fontId="2" fillId="0" borderId="0" xfId="0" applyFont="1" applyAlignment="1" applyProtection="1">
      <alignment horizontal="center" vertical="center" wrapText="1"/>
      <protection hidden="1"/>
    </xf>
    <xf numFmtId="0" fontId="0" fillId="0" borderId="7" xfId="0" applyBorder="1" applyAlignment="1" applyProtection="1">
      <alignment horizontal="right" vertical="center" wrapText="1"/>
      <protection hidden="1"/>
    </xf>
    <xf numFmtId="0" fontId="0" fillId="3" borderId="8" xfId="0" applyFill="1" applyBorder="1" applyAlignment="1" applyProtection="1">
      <alignment horizontal="right" vertical="center" wrapText="1"/>
      <protection hidden="1"/>
    </xf>
    <xf numFmtId="0" fontId="2" fillId="0" borderId="8" xfId="0" applyFont="1" applyBorder="1" applyAlignment="1" applyProtection="1">
      <alignment horizontal="center" vertical="center" wrapText="1"/>
      <protection hidden="1"/>
    </xf>
    <xf numFmtId="0" fontId="0" fillId="0" borderId="9" xfId="0" applyBorder="1" applyAlignment="1" applyProtection="1">
      <alignment horizontal="center" vertical="center" wrapText="1"/>
      <protection hidden="1"/>
    </xf>
    <xf numFmtId="0" fontId="0" fillId="3" borderId="1" xfId="0" applyFill="1" applyBorder="1" applyAlignment="1" applyProtection="1">
      <alignment horizontal="right"/>
      <protection hidden="1"/>
    </xf>
    <xf numFmtId="0" fontId="0" fillId="0" borderId="3" xfId="0" applyBorder="1" applyProtection="1">
      <protection hidden="1"/>
    </xf>
    <xf numFmtId="0" fontId="0" fillId="0" borderId="4" xfId="0" applyBorder="1" applyAlignment="1" applyProtection="1">
      <alignment horizontal="right"/>
      <protection hidden="1"/>
    </xf>
    <xf numFmtId="0" fontId="0" fillId="3" borderId="5" xfId="0" applyFill="1" applyBorder="1" applyAlignment="1" applyProtection="1">
      <alignment horizontal="right"/>
      <protection hidden="1"/>
    </xf>
    <xf numFmtId="0" fontId="0" fillId="0" borderId="6" xfId="0" applyBorder="1" applyProtection="1">
      <protection hidden="1"/>
    </xf>
    <xf numFmtId="0" fontId="0" fillId="0" borderId="7" xfId="0" applyBorder="1" applyAlignment="1" applyProtection="1">
      <alignment horizontal="right"/>
      <protection hidden="1"/>
    </xf>
    <xf numFmtId="165" fontId="23" fillId="3" borderId="8" xfId="0" applyNumberFormat="1" applyFont="1" applyFill="1" applyBorder="1" applyAlignment="1" applyProtection="1">
      <alignment horizontal="right"/>
      <protection hidden="1"/>
    </xf>
    <xf numFmtId="0" fontId="0" fillId="0" borderId="8" xfId="0" applyBorder="1" applyAlignment="1" applyProtection="1">
      <alignment horizontal="center"/>
      <protection hidden="1"/>
    </xf>
    <xf numFmtId="0" fontId="0" fillId="0" borderId="9" xfId="0" applyBorder="1" applyProtection="1">
      <protection hidden="1"/>
    </xf>
    <xf numFmtId="165" fontId="0" fillId="3" borderId="1" xfId="0" applyNumberFormat="1" applyFill="1" applyBorder="1" applyAlignment="1" applyProtection="1">
      <alignment horizontal="right"/>
      <protection hidden="1"/>
    </xf>
    <xf numFmtId="165" fontId="0" fillId="3" borderId="5" xfId="0" applyNumberFormat="1" applyFill="1" applyBorder="1" applyAlignment="1" applyProtection="1">
      <alignment horizontal="right"/>
      <protection hidden="1"/>
    </xf>
    <xf numFmtId="165" fontId="0" fillId="3" borderId="8" xfId="0" applyNumberFormat="1" applyFill="1" applyBorder="1" applyAlignment="1" applyProtection="1">
      <alignment horizontal="right"/>
      <protection hidden="1"/>
    </xf>
    <xf numFmtId="0" fontId="8" fillId="0" borderId="4" xfId="0" applyFont="1" applyBorder="1" applyAlignment="1" applyProtection="1">
      <alignment horizontal="right"/>
      <protection hidden="1"/>
    </xf>
    <xf numFmtId="0" fontId="0" fillId="0" borderId="13" xfId="0" applyBorder="1" applyProtection="1">
      <protection hidden="1"/>
    </xf>
    <xf numFmtId="0" fontId="8" fillId="0" borderId="7" xfId="0" applyFont="1" applyBorder="1" applyAlignment="1" applyProtection="1">
      <alignment horizontal="right"/>
      <protection hidden="1"/>
    </xf>
    <xf numFmtId="0" fontId="8" fillId="0" borderId="2" xfId="0" applyFont="1" applyBorder="1" applyAlignment="1" applyProtection="1">
      <alignment horizontal="right"/>
      <protection hidden="1"/>
    </xf>
    <xf numFmtId="0" fontId="7" fillId="0" borderId="2" xfId="0" applyFont="1" applyBorder="1" applyAlignment="1" applyProtection="1">
      <alignment horizontal="right"/>
      <protection hidden="1"/>
    </xf>
    <xf numFmtId="0" fontId="8" fillId="0" borderId="10" xfId="0" applyFont="1" applyBorder="1" applyAlignment="1" applyProtection="1">
      <alignment horizontal="right"/>
      <protection hidden="1"/>
    </xf>
    <xf numFmtId="165" fontId="0" fillId="3" borderId="11" xfId="0" applyNumberFormat="1" applyFill="1" applyBorder="1" applyAlignment="1" applyProtection="1">
      <alignment horizontal="right"/>
      <protection hidden="1"/>
    </xf>
    <xf numFmtId="0" fontId="0" fillId="0" borderId="12" xfId="0" applyBorder="1" applyProtection="1">
      <protection hidden="1"/>
    </xf>
    <xf numFmtId="0" fontId="10" fillId="2" borderId="8" xfId="0" applyFont="1" applyFill="1" applyBorder="1" applyAlignment="1" applyProtection="1">
      <alignment horizontal="right"/>
      <protection locked="0"/>
    </xf>
    <xf numFmtId="0" fontId="10" fillId="2" borderId="1" xfId="0" applyFont="1" applyFill="1" applyBorder="1" applyAlignment="1" applyProtection="1">
      <alignment horizontal="right"/>
      <protection locked="0"/>
    </xf>
    <xf numFmtId="0" fontId="10" fillId="2" borderId="5" xfId="0" applyFont="1" applyFill="1" applyBorder="1" applyAlignment="1" applyProtection="1">
      <alignment horizontal="right"/>
      <protection locked="0"/>
    </xf>
    <xf numFmtId="0" fontId="0" fillId="2" borderId="11" xfId="0" applyFill="1" applyBorder="1" applyAlignment="1" applyProtection="1">
      <alignment horizontal="right"/>
      <protection locked="0"/>
    </xf>
    <xf numFmtId="48" fontId="0" fillId="2" borderId="1" xfId="0" applyNumberFormat="1" applyFill="1" applyBorder="1" applyAlignment="1" applyProtection="1">
      <alignment horizontal="right"/>
      <protection locked="0"/>
    </xf>
    <xf numFmtId="9" fontId="0" fillId="2" borderId="1" xfId="1" applyFont="1" applyFill="1" applyBorder="1" applyAlignment="1" applyProtection="1">
      <alignment horizontal="right"/>
      <protection locked="0"/>
    </xf>
    <xf numFmtId="0" fontId="0" fillId="2" borderId="1" xfId="0" applyFill="1" applyBorder="1" applyAlignment="1" applyProtection="1">
      <alignment horizontal="right"/>
      <protection locked="0"/>
    </xf>
    <xf numFmtId="0" fontId="0" fillId="2" borderId="5" xfId="0" applyFill="1" applyBorder="1" applyAlignment="1" applyProtection="1">
      <alignment horizontal="right"/>
      <protection locked="0"/>
    </xf>
  </cellXfs>
  <cellStyles count="2">
    <cellStyle name="Normal" xfId="0" builtinId="0"/>
    <cellStyle name="Percent" xfId="1" builtinId="5"/>
  </cellStyles>
  <dxfs count="4">
    <dxf>
      <fill>
        <patternFill>
          <bgColor rgb="FFFF5050"/>
        </patternFill>
      </fill>
    </dxf>
    <dxf>
      <fill>
        <patternFill>
          <bgColor rgb="FFFF5050"/>
        </patternFill>
      </fill>
    </dxf>
    <dxf>
      <fill>
        <patternFill>
          <bgColor rgb="FFFF0000"/>
        </patternFill>
      </fill>
    </dxf>
    <dxf>
      <fill>
        <patternFill>
          <bgColor rgb="FFFF505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Gear 2 FBD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g2</c:v>
          </c:tx>
          <c:spPr>
            <a:ln w="19050" cap="rnd">
              <a:solidFill>
                <a:schemeClr val="accent1"/>
              </a:solidFill>
              <a:round/>
            </a:ln>
            <a:effectLst/>
          </c:spPr>
          <c:marker>
            <c:symbol val="none"/>
          </c:marker>
          <c:xVal>
            <c:numRef>
              <c:f>'GearTrain Force'!$BE$1758:$BE$1794</c:f>
              <c:numCache>
                <c:formatCode>General</c:formatCode>
                <c:ptCount val="37"/>
                <c:pt idx="0">
                  <c:v>5.4035534490012678</c:v>
                </c:pt>
                <c:pt idx="1">
                  <c:v>5.3679325205365398</c:v>
                </c:pt>
                <c:pt idx="2">
                  <c:v>5.2621520590286996</c:v>
                </c:pt>
                <c:pt idx="3">
                  <c:v>5.0894261502731641</c:v>
                </c:pt>
                <c:pt idx="4">
                  <c:v>4.8550029836039457</c:v>
                </c:pt>
                <c:pt idx="5">
                  <c:v>4.56600538831644</c:v>
                </c:pt>
                <c:pt idx="6">
                  <c:v>4.23121441010362</c:v>
                </c:pt>
                <c:pt idx="7">
                  <c:v>3.8608025034260729</c:v>
                </c:pt>
                <c:pt idx="8">
                  <c:v>3.4660244466307271</c:v>
                </c:pt>
                <c:pt idx="9">
                  <c:v>3.0588753712059726</c:v>
                </c:pt>
                <c:pt idx="10">
                  <c:v>2.6517262957812187</c:v>
                </c:pt>
                <c:pt idx="11">
                  <c:v>2.2569482389858724</c:v>
                </c:pt>
                <c:pt idx="12">
                  <c:v>1.8865363323083255</c:v>
                </c:pt>
                <c:pt idx="13">
                  <c:v>1.5517453540955051</c:v>
                </c:pt>
                <c:pt idx="14">
                  <c:v>1.2627477588080003</c:v>
                </c:pt>
                <c:pt idx="15">
                  <c:v>1.0283245921387807</c:v>
                </c:pt>
                <c:pt idx="16">
                  <c:v>0.85559868338324607</c:v>
                </c:pt>
                <c:pt idx="17">
                  <c:v>0.74981822187540503</c:v>
                </c:pt>
                <c:pt idx="18">
                  <c:v>0.7141972934106775</c:v>
                </c:pt>
                <c:pt idx="19">
                  <c:v>0.74981822187540503</c:v>
                </c:pt>
                <c:pt idx="20">
                  <c:v>0.85559868338324563</c:v>
                </c:pt>
                <c:pt idx="21">
                  <c:v>1.0283245921387807</c:v>
                </c:pt>
                <c:pt idx="22">
                  <c:v>1.2627477588080001</c:v>
                </c:pt>
                <c:pt idx="23">
                  <c:v>1.5517453540955048</c:v>
                </c:pt>
                <c:pt idx="24">
                  <c:v>1.886536332308324</c:v>
                </c:pt>
                <c:pt idx="25">
                  <c:v>2.2569482389858728</c:v>
                </c:pt>
                <c:pt idx="26">
                  <c:v>2.6517262957812187</c:v>
                </c:pt>
                <c:pt idx="27">
                  <c:v>3.0588753712059722</c:v>
                </c:pt>
                <c:pt idx="28">
                  <c:v>3.4660244466307257</c:v>
                </c:pt>
                <c:pt idx="29">
                  <c:v>3.8608025034260738</c:v>
                </c:pt>
                <c:pt idx="30">
                  <c:v>4.23121441010362</c:v>
                </c:pt>
                <c:pt idx="31">
                  <c:v>4.56600538831644</c:v>
                </c:pt>
                <c:pt idx="32">
                  <c:v>4.8550029836039448</c:v>
                </c:pt>
                <c:pt idx="33">
                  <c:v>5.0894261502731641</c:v>
                </c:pt>
                <c:pt idx="34">
                  <c:v>5.2621520590286996</c:v>
                </c:pt>
                <c:pt idx="35">
                  <c:v>5.3679325205365398</c:v>
                </c:pt>
                <c:pt idx="36">
                  <c:v>5.4035534490012678</c:v>
                </c:pt>
              </c:numCache>
            </c:numRef>
          </c:xVal>
          <c:yVal>
            <c:numRef>
              <c:f>'GearTrain Force'!$BF$1758:$BF$1794</c:f>
              <c:numCache>
                <c:formatCode>General</c:formatCode>
                <c:ptCount val="37"/>
                <c:pt idx="0">
                  <c:v>1</c:v>
                </c:pt>
                <c:pt idx="1">
                  <c:v>1.407149075424754</c:v>
                </c:pt>
                <c:pt idx="2">
                  <c:v>1.8019271322201003</c:v>
                </c:pt>
                <c:pt idx="3">
                  <c:v>2.1723390388976473</c:v>
                </c:pt>
                <c:pt idx="4">
                  <c:v>2.5071300171104673</c:v>
                </c:pt>
                <c:pt idx="5">
                  <c:v>2.7961276123979726</c:v>
                </c:pt>
                <c:pt idx="6">
                  <c:v>3.0305507790671919</c:v>
                </c:pt>
                <c:pt idx="7">
                  <c:v>3.2032766878227266</c:v>
                </c:pt>
                <c:pt idx="8">
                  <c:v>3.3090571493305676</c:v>
                </c:pt>
                <c:pt idx="9">
                  <c:v>3.3446780777952951</c:v>
                </c:pt>
                <c:pt idx="10">
                  <c:v>3.3090571493305676</c:v>
                </c:pt>
                <c:pt idx="11">
                  <c:v>3.203276687822727</c:v>
                </c:pt>
                <c:pt idx="12">
                  <c:v>3.0305507790671919</c:v>
                </c:pt>
                <c:pt idx="13">
                  <c:v>2.7961276123979726</c:v>
                </c:pt>
                <c:pt idx="14">
                  <c:v>2.5071300171104678</c:v>
                </c:pt>
                <c:pt idx="15">
                  <c:v>2.1723390388976473</c:v>
                </c:pt>
                <c:pt idx="16">
                  <c:v>1.8019271322201007</c:v>
                </c:pt>
                <c:pt idx="17">
                  <c:v>1.407149075424754</c:v>
                </c:pt>
                <c:pt idx="18">
                  <c:v>1.0000000000000002</c:v>
                </c:pt>
                <c:pt idx="19">
                  <c:v>0.59285092457524557</c:v>
                </c:pt>
                <c:pt idx="20">
                  <c:v>0.19807286777989985</c:v>
                </c:pt>
                <c:pt idx="21">
                  <c:v>-0.17233903889764779</c:v>
                </c:pt>
                <c:pt idx="22">
                  <c:v>-0.50713001711046735</c:v>
                </c:pt>
                <c:pt idx="23">
                  <c:v>-0.79612761239797236</c:v>
                </c:pt>
                <c:pt idx="24">
                  <c:v>-1.0305507790671915</c:v>
                </c:pt>
                <c:pt idx="25">
                  <c:v>-1.203276687822727</c:v>
                </c:pt>
                <c:pt idx="26">
                  <c:v>-1.3090571493305676</c:v>
                </c:pt>
                <c:pt idx="27">
                  <c:v>-1.3446780777952951</c:v>
                </c:pt>
                <c:pt idx="28">
                  <c:v>-1.309057149330568</c:v>
                </c:pt>
                <c:pt idx="29">
                  <c:v>-1.2032766878227266</c:v>
                </c:pt>
                <c:pt idx="30">
                  <c:v>-1.0305507790671919</c:v>
                </c:pt>
                <c:pt idx="31">
                  <c:v>-0.79612761239797303</c:v>
                </c:pt>
                <c:pt idx="32">
                  <c:v>-0.50713001711046801</c:v>
                </c:pt>
                <c:pt idx="33">
                  <c:v>-0.17233903889764868</c:v>
                </c:pt>
                <c:pt idx="34">
                  <c:v>0.19807286777989996</c:v>
                </c:pt>
                <c:pt idx="35">
                  <c:v>0.5928509245752458</c:v>
                </c:pt>
                <c:pt idx="36">
                  <c:v>0.99999999999999944</c:v>
                </c:pt>
              </c:numCache>
            </c:numRef>
          </c:yVal>
          <c:smooth val="1"/>
          <c:extLst>
            <c:ext xmlns:c16="http://schemas.microsoft.com/office/drawing/2014/chart" uri="{C3380CC4-5D6E-409C-BE32-E72D297353CC}">
              <c16:uniqueId val="{00000000-6591-454E-98AE-F7D55AC7B69B}"/>
            </c:ext>
          </c:extLst>
        </c:ser>
        <c:ser>
          <c:idx val="5"/>
          <c:order val="1"/>
          <c:tx>
            <c:v>Dir</c:v>
          </c:tx>
          <c:spPr>
            <a:ln w="12700" cap="rnd">
              <a:solidFill>
                <a:schemeClr val="tx1"/>
              </a:solidFill>
              <a:prstDash val="sysDash"/>
              <a:round/>
            </a:ln>
            <a:effectLst/>
          </c:spPr>
          <c:marker>
            <c:symbol val="none"/>
          </c:marker>
          <c:xVal>
            <c:numRef>
              <c:f>'GearTrain Force'!$BU$1759:$BU$1765</c:f>
              <c:numCache>
                <c:formatCode>General</c:formatCode>
                <c:ptCount val="7"/>
                <c:pt idx="0">
                  <c:v>4.4823076437632352</c:v>
                </c:pt>
                <c:pt idx="1">
                  <c:v>4.1892228840388235</c:v>
                </c:pt>
                <c:pt idx="2">
                  <c:v>4.4059710805044521</c:v>
                </c:pt>
                <c:pt idx="3">
                  <c:v>4.5817884555063664</c:v>
                </c:pt>
                <c:pt idx="4">
                  <c:v>4.7113328870730182</c:v>
                </c:pt>
                <c:pt idx="5">
                  <c:v>4.7906682332038981</c:v>
                </c:pt>
                <c:pt idx="6">
                  <c:v>4.8173839295524434</c:v>
                </c:pt>
              </c:numCache>
            </c:numRef>
          </c:xVal>
          <c:yVal>
            <c:numRef>
              <c:f>'GearTrain Force'!$BV$1759:$BV$1765</c:f>
              <c:numCache>
                <c:formatCode>General</c:formatCode>
                <c:ptCount val="7"/>
                <c:pt idx="0">
                  <c:v>-0.64018046902289139</c:v>
                </c:pt>
                <c:pt idx="1">
                  <c:v>-0.34709570929847944</c:v>
                </c:pt>
                <c:pt idx="2">
                  <c:v>-0.1303475128328504</c:v>
                </c:pt>
                <c:pt idx="3">
                  <c:v>0.12074572082676449</c:v>
                </c:pt>
                <c:pt idx="4">
                  <c:v>0.39855465083492481</c:v>
                </c:pt>
                <c:pt idx="5">
                  <c:v>0.69463819343143451</c:v>
                </c:pt>
                <c:pt idx="6">
                  <c:v>1</c:v>
                </c:pt>
              </c:numCache>
            </c:numRef>
          </c:yVal>
          <c:smooth val="1"/>
          <c:extLst>
            <c:ext xmlns:c16="http://schemas.microsoft.com/office/drawing/2014/chart" uri="{C3380CC4-5D6E-409C-BE32-E72D297353CC}">
              <c16:uniqueId val="{00000001-6591-454E-98AE-F7D55AC7B69B}"/>
            </c:ext>
          </c:extLst>
        </c:ser>
        <c:ser>
          <c:idx val="1"/>
          <c:order val="2"/>
          <c:tx>
            <c:strRef>
              <c:f>'GearTrain Force'!$O$815</c:f>
              <c:strCache>
                <c:ptCount val="1"/>
                <c:pt idx="0">
                  <c:v>Wr_1-2</c:v>
                </c:pt>
              </c:strCache>
            </c:strRef>
          </c:tx>
          <c:spPr>
            <a:ln w="19050" cap="rnd">
              <a:solidFill>
                <a:schemeClr val="accent2"/>
              </a:solidFill>
              <a:round/>
            </a:ln>
            <a:effectLst/>
          </c:spPr>
          <c:marker>
            <c:symbol val="none"/>
          </c:marker>
          <c:xVal>
            <c:numRef>
              <c:f>'GearTrain Force'!$U$815:$V$815</c:f>
              <c:numCache>
                <c:formatCode>General</c:formatCode>
                <c:ptCount val="2"/>
                <c:pt idx="0">
                  <c:v>0.83026617218447774</c:v>
                </c:pt>
                <c:pt idx="1">
                  <c:v>0.15901456440462658</c:v>
                </c:pt>
              </c:numCache>
            </c:numRef>
          </c:xVal>
          <c:yVal>
            <c:numRef>
              <c:f>'GearTrain Force'!$W$815:$X$815</c:f>
              <c:numCache>
                <c:formatCode>General</c:formatCode>
                <c:ptCount val="2"/>
                <c:pt idx="0">
                  <c:v>0.27142857142857135</c:v>
                </c:pt>
                <c:pt idx="1">
                  <c:v>5.1984649620404416E-2</c:v>
                </c:pt>
              </c:numCache>
            </c:numRef>
          </c:yVal>
          <c:smooth val="1"/>
          <c:extLst>
            <c:ext xmlns:c16="http://schemas.microsoft.com/office/drawing/2014/chart" uri="{C3380CC4-5D6E-409C-BE32-E72D297353CC}">
              <c16:uniqueId val="{00000002-6591-454E-98AE-F7D55AC7B69B}"/>
            </c:ext>
          </c:extLst>
        </c:ser>
        <c:ser>
          <c:idx val="2"/>
          <c:order val="3"/>
          <c:tx>
            <c:strRef>
              <c:f>'GearTrain Force'!$O$816</c:f>
              <c:strCache>
                <c:ptCount val="1"/>
                <c:pt idx="0">
                  <c:v>Wr_3-2</c:v>
                </c:pt>
              </c:strCache>
            </c:strRef>
          </c:tx>
          <c:spPr>
            <a:ln w="19050" cap="rnd">
              <a:solidFill>
                <a:schemeClr val="accent3"/>
              </a:solidFill>
              <a:round/>
            </a:ln>
            <a:effectLst/>
          </c:spPr>
          <c:marker>
            <c:symbol val="none"/>
          </c:marker>
          <c:xVal>
            <c:numRef>
              <c:f>'GearTrain Force'!$U$816:$V$816</c:f>
              <c:numCache>
                <c:formatCode>General</c:formatCode>
                <c:ptCount val="2"/>
                <c:pt idx="0">
                  <c:v>5.4035534490012678</c:v>
                </c:pt>
                <c:pt idx="1">
                  <c:v>5.4035534490012678</c:v>
                </c:pt>
              </c:numCache>
            </c:numRef>
          </c:xVal>
          <c:yVal>
            <c:numRef>
              <c:f>'GearTrain Force'!$W$816:$X$816</c:f>
              <c:numCache>
                <c:formatCode>General</c:formatCode>
                <c:ptCount val="2"/>
                <c:pt idx="0">
                  <c:v>1</c:v>
                </c:pt>
                <c:pt idx="1">
                  <c:v>1</c:v>
                </c:pt>
              </c:numCache>
            </c:numRef>
          </c:yVal>
          <c:smooth val="1"/>
          <c:extLst>
            <c:ext xmlns:c16="http://schemas.microsoft.com/office/drawing/2014/chart" uri="{C3380CC4-5D6E-409C-BE32-E72D297353CC}">
              <c16:uniqueId val="{00000003-6591-454E-98AE-F7D55AC7B69B}"/>
            </c:ext>
          </c:extLst>
        </c:ser>
        <c:ser>
          <c:idx val="3"/>
          <c:order val="4"/>
          <c:tx>
            <c:strRef>
              <c:f>'GearTrain Force'!$Y$815</c:f>
              <c:strCache>
                <c:ptCount val="1"/>
                <c:pt idx="0">
                  <c:v>Wt_1-2</c:v>
                </c:pt>
              </c:strCache>
            </c:strRef>
          </c:tx>
          <c:spPr>
            <a:ln w="19050" cap="rnd">
              <a:solidFill>
                <a:schemeClr val="accent4"/>
              </a:solidFill>
              <a:round/>
            </a:ln>
            <a:effectLst/>
          </c:spPr>
          <c:marker>
            <c:symbol val="none"/>
          </c:marker>
          <c:xVal>
            <c:numRef>
              <c:f>'GearTrain Force'!$AE$815:$AF$815</c:f>
              <c:numCache>
                <c:formatCode>General</c:formatCode>
                <c:ptCount val="2"/>
                <c:pt idx="0">
                  <c:v>0.83026617218447774</c:v>
                </c:pt>
                <c:pt idx="1">
                  <c:v>1.376694743613049</c:v>
                </c:pt>
              </c:numCache>
            </c:numRef>
          </c:xVal>
          <c:yVal>
            <c:numRef>
              <c:f>'GearTrain Force'!$AG$815:$AH$815</c:f>
              <c:numCache>
                <c:formatCode>General</c:formatCode>
                <c:ptCount val="2"/>
                <c:pt idx="0">
                  <c:v>0.27142857142857135</c:v>
                </c:pt>
                <c:pt idx="1">
                  <c:v>-1.4000283278375496</c:v>
                </c:pt>
              </c:numCache>
            </c:numRef>
          </c:yVal>
          <c:smooth val="1"/>
          <c:extLst>
            <c:ext xmlns:c16="http://schemas.microsoft.com/office/drawing/2014/chart" uri="{C3380CC4-5D6E-409C-BE32-E72D297353CC}">
              <c16:uniqueId val="{00000004-6591-454E-98AE-F7D55AC7B69B}"/>
            </c:ext>
          </c:extLst>
        </c:ser>
        <c:ser>
          <c:idx val="4"/>
          <c:order val="5"/>
          <c:tx>
            <c:strRef>
              <c:f>'GearTrain Force'!$Y$816</c:f>
              <c:strCache>
                <c:ptCount val="1"/>
                <c:pt idx="0">
                  <c:v>Wt_3-2</c:v>
                </c:pt>
              </c:strCache>
            </c:strRef>
          </c:tx>
          <c:spPr>
            <a:ln w="19050" cap="rnd">
              <a:solidFill>
                <a:schemeClr val="accent5"/>
              </a:solidFill>
              <a:round/>
            </a:ln>
            <a:effectLst/>
          </c:spPr>
          <c:marker>
            <c:symbol val="none"/>
          </c:marker>
          <c:xVal>
            <c:numRef>
              <c:f>'GearTrain Force'!$AE$816:$AF$816</c:f>
              <c:numCache>
                <c:formatCode>General</c:formatCode>
                <c:ptCount val="2"/>
                <c:pt idx="0">
                  <c:v>5.4035534490012678</c:v>
                </c:pt>
                <c:pt idx="1">
                  <c:v>5.4035534490012678</c:v>
                </c:pt>
              </c:numCache>
            </c:numRef>
          </c:xVal>
          <c:yVal>
            <c:numRef>
              <c:f>'GearTrain Force'!$AG$816:$AH$816</c:f>
              <c:numCache>
                <c:formatCode>General</c:formatCode>
                <c:ptCount val="2"/>
                <c:pt idx="0">
                  <c:v>1</c:v>
                </c:pt>
                <c:pt idx="1">
                  <c:v>1</c:v>
                </c:pt>
              </c:numCache>
            </c:numRef>
          </c:yVal>
          <c:smooth val="1"/>
          <c:extLst>
            <c:ext xmlns:c16="http://schemas.microsoft.com/office/drawing/2014/chart" uri="{C3380CC4-5D6E-409C-BE32-E72D297353CC}">
              <c16:uniqueId val="{00000005-6591-454E-98AE-F7D55AC7B69B}"/>
            </c:ext>
          </c:extLst>
        </c:ser>
        <c:ser>
          <c:idx val="6"/>
          <c:order val="6"/>
          <c:tx>
            <c:strRef>
              <c:f>'GearTrain Force'!$AI$815</c:f>
              <c:strCache>
                <c:ptCount val="1"/>
                <c:pt idx="0">
                  <c:v>W_1-2 (exclude axial)</c:v>
                </c:pt>
              </c:strCache>
            </c:strRef>
          </c:tx>
          <c:spPr>
            <a:ln w="19050" cap="rnd">
              <a:solidFill>
                <a:schemeClr val="accent1">
                  <a:lumMod val="60000"/>
                </a:schemeClr>
              </a:solidFill>
              <a:round/>
            </a:ln>
            <a:effectLst/>
          </c:spPr>
          <c:marker>
            <c:symbol val="none"/>
          </c:marker>
          <c:xVal>
            <c:numRef>
              <c:f>'GearTrain Force'!$AO$815:$AP$815</c:f>
              <c:numCache>
                <c:formatCode>General</c:formatCode>
                <c:ptCount val="2"/>
                <c:pt idx="0">
                  <c:v>0.83026617218447774</c:v>
                </c:pt>
                <c:pt idx="1">
                  <c:v>0.70544313583319784</c:v>
                </c:pt>
              </c:numCache>
            </c:numRef>
          </c:xVal>
          <c:yVal>
            <c:numRef>
              <c:f>'GearTrain Force'!$AQ$815:$AR$815</c:f>
              <c:numCache>
                <c:formatCode>General</c:formatCode>
                <c:ptCount val="2"/>
                <c:pt idx="0">
                  <c:v>0.27142857142857135</c:v>
                </c:pt>
                <c:pt idx="1">
                  <c:v>-1.6194722496457166</c:v>
                </c:pt>
              </c:numCache>
            </c:numRef>
          </c:yVal>
          <c:smooth val="1"/>
          <c:extLst xmlns:c15="http://schemas.microsoft.com/office/drawing/2012/chart">
            <c:ext xmlns:c16="http://schemas.microsoft.com/office/drawing/2014/chart" uri="{C3380CC4-5D6E-409C-BE32-E72D297353CC}">
              <c16:uniqueId val="{00000006-6591-454E-98AE-F7D55AC7B69B}"/>
            </c:ext>
          </c:extLst>
        </c:ser>
        <c:ser>
          <c:idx val="7"/>
          <c:order val="7"/>
          <c:tx>
            <c:strRef>
              <c:f>'GearTrain Force'!$AI$816</c:f>
              <c:strCache>
                <c:ptCount val="1"/>
                <c:pt idx="0">
                  <c:v>W_3-2 (exclude axial)</c:v>
                </c:pt>
              </c:strCache>
            </c:strRef>
          </c:tx>
          <c:spPr>
            <a:ln w="19050" cap="rnd">
              <a:solidFill>
                <a:schemeClr val="accent2">
                  <a:lumMod val="60000"/>
                </a:schemeClr>
              </a:solidFill>
              <a:round/>
            </a:ln>
            <a:effectLst/>
          </c:spPr>
          <c:marker>
            <c:symbol val="none"/>
          </c:marker>
          <c:xVal>
            <c:numRef>
              <c:f>'GearTrain Force'!$AO$816:$AP$816</c:f>
              <c:numCache>
                <c:formatCode>General</c:formatCode>
                <c:ptCount val="2"/>
                <c:pt idx="0">
                  <c:v>5.4035534490012678</c:v>
                </c:pt>
                <c:pt idx="1">
                  <c:v>5.4035534490012678</c:v>
                </c:pt>
              </c:numCache>
            </c:numRef>
          </c:xVal>
          <c:yVal>
            <c:numRef>
              <c:f>'GearTrain Force'!$AQ$816:$AR$816</c:f>
              <c:numCache>
                <c:formatCode>General</c:formatCode>
                <c:ptCount val="2"/>
                <c:pt idx="0">
                  <c:v>1</c:v>
                </c:pt>
                <c:pt idx="1">
                  <c:v>1</c:v>
                </c:pt>
              </c:numCache>
            </c:numRef>
          </c:yVal>
          <c:smooth val="1"/>
          <c:extLst xmlns:c15="http://schemas.microsoft.com/office/drawing/2012/chart">
            <c:ext xmlns:c16="http://schemas.microsoft.com/office/drawing/2014/chart" uri="{C3380CC4-5D6E-409C-BE32-E72D297353CC}">
              <c16:uniqueId val="{00000007-6591-454E-98AE-F7D55AC7B69B}"/>
            </c:ext>
          </c:extLst>
        </c:ser>
        <c:ser>
          <c:idx val="8"/>
          <c:order val="8"/>
          <c:tx>
            <c:strRef>
              <c:f>'GearTrain Force'!$AS$815</c:f>
              <c:strCache>
                <c:ptCount val="1"/>
                <c:pt idx="0">
                  <c:v>W_b2</c:v>
                </c:pt>
              </c:strCache>
            </c:strRef>
          </c:tx>
          <c:spPr>
            <a:ln w="19050" cap="rnd">
              <a:solidFill>
                <a:schemeClr val="accent3">
                  <a:lumMod val="60000"/>
                </a:schemeClr>
              </a:solidFill>
              <a:round/>
            </a:ln>
            <a:effectLst/>
          </c:spPr>
          <c:marker>
            <c:symbol val="none"/>
          </c:marker>
          <c:xVal>
            <c:numRef>
              <c:f>'GearTrain Force'!$AY$815:$AZ$815</c:f>
              <c:numCache>
                <c:formatCode>General</c:formatCode>
                <c:ptCount val="2"/>
                <c:pt idx="0">
                  <c:v>3.0588753712059726</c:v>
                </c:pt>
                <c:pt idx="1">
                  <c:v>3.1836984075572525</c:v>
                </c:pt>
              </c:numCache>
            </c:numRef>
          </c:xVal>
          <c:yVal>
            <c:numRef>
              <c:f>'GearTrain Force'!$BA$815:$BB$815</c:f>
              <c:numCache>
                <c:formatCode>General</c:formatCode>
                <c:ptCount val="2"/>
                <c:pt idx="0">
                  <c:v>1</c:v>
                </c:pt>
                <c:pt idx="1">
                  <c:v>2.8909008210742879</c:v>
                </c:pt>
              </c:numCache>
            </c:numRef>
          </c:yVal>
          <c:smooth val="1"/>
          <c:extLst xmlns:c15="http://schemas.microsoft.com/office/drawing/2012/chart">
            <c:ext xmlns:c16="http://schemas.microsoft.com/office/drawing/2014/chart" uri="{C3380CC4-5D6E-409C-BE32-E72D297353CC}">
              <c16:uniqueId val="{00000008-6591-454E-98AE-F7D55AC7B69B}"/>
            </c:ext>
          </c:extLst>
        </c:ser>
        <c:dLbls>
          <c:showLegendKey val="0"/>
          <c:showVal val="0"/>
          <c:showCatName val="0"/>
          <c:showSerName val="0"/>
          <c:showPercent val="0"/>
          <c:showBubbleSize val="0"/>
        </c:dLbls>
        <c:axId val="725150128"/>
        <c:axId val="725143896"/>
        <c:extLst/>
      </c:scatterChart>
      <c:valAx>
        <c:axId val="72515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43896"/>
        <c:crosses val="autoZero"/>
        <c:crossBetween val="midCat"/>
      </c:valAx>
      <c:valAx>
        <c:axId val="725143896"/>
        <c:scaling>
          <c:orientation val="minMax"/>
          <c:min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50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Gear</a:t>
            </a:r>
            <a:r>
              <a:rPr lang="en-US" baseline="0"/>
              <a:t> 3 FBD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g3</c:v>
          </c:tx>
          <c:spPr>
            <a:ln w="19050" cap="rnd">
              <a:solidFill>
                <a:schemeClr val="accent1"/>
              </a:solidFill>
              <a:round/>
            </a:ln>
            <a:effectLst/>
          </c:spPr>
          <c:marker>
            <c:symbol val="none"/>
          </c:marker>
          <c:xVal>
            <c:numRef>
              <c:f>'GearTrain Force'!$BG$1758:$BG$1794</c:f>
              <c:numCache>
                <c:formatCode>General</c:formatCode>
                <c:ptCount val="37"/>
                <c:pt idx="0">
                  <c:v>3.6450448906547965</c:v>
                </c:pt>
                <c:pt idx="1">
                  <c:v>3.6361396585386148</c:v>
                </c:pt>
                <c:pt idx="2">
                  <c:v>3.6096945431616545</c:v>
                </c:pt>
                <c:pt idx="3">
                  <c:v>3.5665130659727708</c:v>
                </c:pt>
                <c:pt idx="4">
                  <c:v>3.5079072743054658</c:v>
                </c:pt>
                <c:pt idx="5">
                  <c:v>3.4356578754835896</c:v>
                </c:pt>
                <c:pt idx="6">
                  <c:v>3.3519601309303848</c:v>
                </c:pt>
                <c:pt idx="7">
                  <c:v>3.2593571542609978</c:v>
                </c:pt>
                <c:pt idx="8">
                  <c:v>3.1606626400621614</c:v>
                </c:pt>
                <c:pt idx="9">
                  <c:v>3.0588753712059726</c:v>
                </c:pt>
                <c:pt idx="10">
                  <c:v>2.9570881023497839</c:v>
                </c:pt>
                <c:pt idx="11">
                  <c:v>2.8583935881509475</c:v>
                </c:pt>
                <c:pt idx="12">
                  <c:v>2.7657906114815609</c:v>
                </c:pt>
                <c:pt idx="13">
                  <c:v>2.6820928669283557</c:v>
                </c:pt>
                <c:pt idx="14">
                  <c:v>2.6098434681064795</c:v>
                </c:pt>
                <c:pt idx="15">
                  <c:v>2.5512376764391744</c:v>
                </c:pt>
                <c:pt idx="16">
                  <c:v>2.5080561992502908</c:v>
                </c:pt>
                <c:pt idx="17">
                  <c:v>2.4816110838733305</c:v>
                </c:pt>
                <c:pt idx="18">
                  <c:v>2.4727058517571487</c:v>
                </c:pt>
                <c:pt idx="19">
                  <c:v>2.4816110838733305</c:v>
                </c:pt>
                <c:pt idx="20">
                  <c:v>2.5080561992502908</c:v>
                </c:pt>
                <c:pt idx="21">
                  <c:v>2.5512376764391744</c:v>
                </c:pt>
                <c:pt idx="22">
                  <c:v>2.6098434681064795</c:v>
                </c:pt>
                <c:pt idx="23">
                  <c:v>2.6820928669283557</c:v>
                </c:pt>
                <c:pt idx="24">
                  <c:v>2.7657906114815605</c:v>
                </c:pt>
                <c:pt idx="25">
                  <c:v>2.8583935881509479</c:v>
                </c:pt>
                <c:pt idx="26">
                  <c:v>2.9570881023497839</c:v>
                </c:pt>
                <c:pt idx="27">
                  <c:v>3.0588753712059726</c:v>
                </c:pt>
                <c:pt idx="28">
                  <c:v>3.1606626400621609</c:v>
                </c:pt>
                <c:pt idx="29">
                  <c:v>3.2593571542609978</c:v>
                </c:pt>
                <c:pt idx="30">
                  <c:v>3.3519601309303848</c:v>
                </c:pt>
                <c:pt idx="31">
                  <c:v>3.4356578754835896</c:v>
                </c:pt>
                <c:pt idx="32">
                  <c:v>3.5079072743054658</c:v>
                </c:pt>
                <c:pt idx="33">
                  <c:v>3.5665130659727704</c:v>
                </c:pt>
                <c:pt idx="34">
                  <c:v>3.6096945431616545</c:v>
                </c:pt>
                <c:pt idx="35">
                  <c:v>3.6361396585386148</c:v>
                </c:pt>
                <c:pt idx="36">
                  <c:v>3.6450448906547965</c:v>
                </c:pt>
              </c:numCache>
            </c:numRef>
          </c:xVal>
          <c:yVal>
            <c:numRef>
              <c:f>'GearTrain Force'!$BH$1758:$BH$1794</c:f>
              <c:numCache>
                <c:formatCode>General</c:formatCode>
                <c:ptCount val="37"/>
                <c:pt idx="0">
                  <c:v>1</c:v>
                </c:pt>
                <c:pt idx="1">
                  <c:v>1.1017872688561885</c:v>
                </c:pt>
                <c:pt idx="2">
                  <c:v>1.2004817830550252</c:v>
                </c:pt>
                <c:pt idx="3">
                  <c:v>1.2930847597244117</c:v>
                </c:pt>
                <c:pt idx="4">
                  <c:v>1.3767825042776169</c:v>
                </c:pt>
                <c:pt idx="5">
                  <c:v>1.4490319030994931</c:v>
                </c:pt>
                <c:pt idx="6">
                  <c:v>1.507637694766798</c:v>
                </c:pt>
                <c:pt idx="7">
                  <c:v>1.5508191719556816</c:v>
                </c:pt>
                <c:pt idx="8">
                  <c:v>1.5772642873326419</c:v>
                </c:pt>
                <c:pt idx="9">
                  <c:v>1.5861695194488239</c:v>
                </c:pt>
                <c:pt idx="10">
                  <c:v>1.5772642873326419</c:v>
                </c:pt>
                <c:pt idx="11">
                  <c:v>1.5508191719556819</c:v>
                </c:pt>
                <c:pt idx="12">
                  <c:v>1.507637694766798</c:v>
                </c:pt>
                <c:pt idx="13">
                  <c:v>1.4490319030994931</c:v>
                </c:pt>
                <c:pt idx="14">
                  <c:v>1.3767825042776169</c:v>
                </c:pt>
                <c:pt idx="15">
                  <c:v>1.2930847597244117</c:v>
                </c:pt>
                <c:pt idx="16">
                  <c:v>1.2004817830550252</c:v>
                </c:pt>
                <c:pt idx="17">
                  <c:v>1.1017872688561885</c:v>
                </c:pt>
                <c:pt idx="18">
                  <c:v>1</c:v>
                </c:pt>
                <c:pt idx="19">
                  <c:v>0.89821273114381139</c:v>
                </c:pt>
                <c:pt idx="20">
                  <c:v>0.79951821694497494</c:v>
                </c:pt>
                <c:pt idx="21">
                  <c:v>0.70691524027558805</c:v>
                </c:pt>
                <c:pt idx="22">
                  <c:v>0.62321749572238316</c:v>
                </c:pt>
                <c:pt idx="23">
                  <c:v>0.55096809690050685</c:v>
                </c:pt>
                <c:pt idx="24">
                  <c:v>0.49236230523320212</c:v>
                </c:pt>
                <c:pt idx="25">
                  <c:v>0.44918082804431825</c:v>
                </c:pt>
                <c:pt idx="26">
                  <c:v>0.4227357126673581</c:v>
                </c:pt>
                <c:pt idx="27">
                  <c:v>0.41383048055117622</c:v>
                </c:pt>
                <c:pt idx="28">
                  <c:v>0.42273571266735799</c:v>
                </c:pt>
                <c:pt idx="29">
                  <c:v>0.44918082804431836</c:v>
                </c:pt>
                <c:pt idx="30">
                  <c:v>0.49236230523320201</c:v>
                </c:pt>
                <c:pt idx="31">
                  <c:v>0.55096809690050674</c:v>
                </c:pt>
                <c:pt idx="32">
                  <c:v>0.62321749572238305</c:v>
                </c:pt>
                <c:pt idx="33">
                  <c:v>0.70691524027558783</c:v>
                </c:pt>
                <c:pt idx="34">
                  <c:v>0.79951821694497505</c:v>
                </c:pt>
                <c:pt idx="35">
                  <c:v>0.89821273114381139</c:v>
                </c:pt>
                <c:pt idx="36">
                  <c:v>0.99999999999999989</c:v>
                </c:pt>
              </c:numCache>
            </c:numRef>
          </c:yVal>
          <c:smooth val="1"/>
          <c:extLst>
            <c:ext xmlns:c16="http://schemas.microsoft.com/office/drawing/2014/chart" uri="{C3380CC4-5D6E-409C-BE32-E72D297353CC}">
              <c16:uniqueId val="{00000000-2CDF-48D2-BA43-A8A6DB8FACCA}"/>
            </c:ext>
          </c:extLst>
        </c:ser>
        <c:ser>
          <c:idx val="5"/>
          <c:order val="1"/>
          <c:tx>
            <c:v>Dir</c:v>
          </c:tx>
          <c:spPr>
            <a:ln w="12700" cap="rnd">
              <a:solidFill>
                <a:schemeClr val="tx1"/>
              </a:solidFill>
              <a:prstDash val="sysDash"/>
              <a:round/>
            </a:ln>
            <a:effectLst/>
          </c:spPr>
          <c:marker>
            <c:symbol val="none"/>
          </c:marker>
          <c:xVal>
            <c:numRef>
              <c:f>'GearTrain Force'!$BW$1759:$BW$1765</c:f>
              <c:numCache>
                <c:formatCode>General</c:formatCode>
                <c:ptCount val="7"/>
                <c:pt idx="0">
                  <c:v>3.4147334393452882</c:v>
                </c:pt>
                <c:pt idx="1">
                  <c:v>3.3414622494141852</c:v>
                </c:pt>
                <c:pt idx="2">
                  <c:v>3.3956492985305924</c:v>
                </c:pt>
                <c:pt idx="3">
                  <c:v>3.439603642281071</c:v>
                </c:pt>
                <c:pt idx="4">
                  <c:v>3.4719897501727339</c:v>
                </c:pt>
                <c:pt idx="5">
                  <c:v>3.4918235867054541</c:v>
                </c:pt>
                <c:pt idx="6">
                  <c:v>3.4985025107925907</c:v>
                </c:pt>
              </c:numCache>
            </c:numRef>
          </c:xVal>
          <c:yVal>
            <c:numRef>
              <c:f>'GearTrain Force'!$BX$1759:$BX$1765</c:f>
              <c:numCache>
                <c:formatCode>General</c:formatCode>
                <c:ptCount val="7"/>
                <c:pt idx="0">
                  <c:v>0.58995488274427721</c:v>
                </c:pt>
                <c:pt idx="1">
                  <c:v>0.66322607267538014</c:v>
                </c:pt>
                <c:pt idx="2">
                  <c:v>0.7174131217917874</c:v>
                </c:pt>
                <c:pt idx="3">
                  <c:v>0.7801864302066911</c:v>
                </c:pt>
                <c:pt idx="4">
                  <c:v>0.84963866270873123</c:v>
                </c:pt>
                <c:pt idx="5">
                  <c:v>0.92365954835785857</c:v>
                </c:pt>
                <c:pt idx="6">
                  <c:v>1</c:v>
                </c:pt>
              </c:numCache>
            </c:numRef>
          </c:yVal>
          <c:smooth val="1"/>
          <c:extLst>
            <c:ext xmlns:c16="http://schemas.microsoft.com/office/drawing/2014/chart" uri="{C3380CC4-5D6E-409C-BE32-E72D297353CC}">
              <c16:uniqueId val="{00000001-2CDF-48D2-BA43-A8A6DB8FACCA}"/>
            </c:ext>
          </c:extLst>
        </c:ser>
        <c:ser>
          <c:idx val="1"/>
          <c:order val="2"/>
          <c:tx>
            <c:strRef>
              <c:f>'GearTrain Force'!$O$817</c:f>
              <c:strCache>
                <c:ptCount val="1"/>
                <c:pt idx="0">
                  <c:v>Wr_2-3</c:v>
                </c:pt>
              </c:strCache>
            </c:strRef>
          </c:tx>
          <c:spPr>
            <a:ln w="19050" cap="rnd">
              <a:solidFill>
                <a:schemeClr val="accent2"/>
              </a:solidFill>
              <a:round/>
            </a:ln>
            <a:effectLst/>
          </c:spPr>
          <c:marker>
            <c:symbol val="none"/>
          </c:marker>
          <c:xVal>
            <c:numRef>
              <c:f>'GearTrain Force'!$U$817:$V$817</c:f>
              <c:numCache>
                <c:formatCode>General</c:formatCode>
                <c:ptCount val="2"/>
                <c:pt idx="0">
                  <c:v>3.6450448906547965</c:v>
                </c:pt>
                <c:pt idx="1">
                  <c:v>3.6450448906547965</c:v>
                </c:pt>
              </c:numCache>
            </c:numRef>
          </c:xVal>
          <c:yVal>
            <c:numRef>
              <c:f>'GearTrain Force'!$W$817:$X$817</c:f>
              <c:numCache>
                <c:formatCode>General</c:formatCode>
                <c:ptCount val="2"/>
                <c:pt idx="0">
                  <c:v>1</c:v>
                </c:pt>
                <c:pt idx="1">
                  <c:v>1</c:v>
                </c:pt>
              </c:numCache>
            </c:numRef>
          </c:yVal>
          <c:smooth val="1"/>
          <c:extLst>
            <c:ext xmlns:c16="http://schemas.microsoft.com/office/drawing/2014/chart" uri="{C3380CC4-5D6E-409C-BE32-E72D297353CC}">
              <c16:uniqueId val="{00000002-2CDF-48D2-BA43-A8A6DB8FACCA}"/>
            </c:ext>
          </c:extLst>
        </c:ser>
        <c:ser>
          <c:idx val="2"/>
          <c:order val="3"/>
          <c:tx>
            <c:strRef>
              <c:f>'GearTrain Force'!$O$818</c:f>
              <c:strCache>
                <c:ptCount val="1"/>
                <c:pt idx="0">
                  <c:v>Wr_4-3</c:v>
                </c:pt>
              </c:strCache>
            </c:strRef>
          </c:tx>
          <c:spPr>
            <a:ln w="19050" cap="rnd">
              <a:solidFill>
                <a:schemeClr val="accent3"/>
              </a:solidFill>
              <a:round/>
            </a:ln>
            <a:effectLst/>
          </c:spPr>
          <c:marker>
            <c:symbol val="none"/>
          </c:marker>
          <c:xVal>
            <c:numRef>
              <c:f>'GearTrain Force'!$U$818:$V$818</c:f>
              <c:numCache>
                <c:formatCode>General</c:formatCode>
                <c:ptCount val="2"/>
                <c:pt idx="0">
                  <c:v>2.8034394696115141</c:v>
                </c:pt>
                <c:pt idx="1">
                  <c:v>2.7265028044908375</c:v>
                </c:pt>
              </c:numCache>
            </c:numRef>
          </c:xVal>
          <c:yVal>
            <c:numRef>
              <c:f>'GearTrain Force'!$W$818:$X$818</c:f>
              <c:numCache>
                <c:formatCode>General</c:formatCode>
                <c:ptCount val="2"/>
                <c:pt idx="0">
                  <c:v>1.5275862068965518</c:v>
                </c:pt>
                <c:pt idx="1">
                  <c:v>1.6864938744128106</c:v>
                </c:pt>
              </c:numCache>
            </c:numRef>
          </c:yVal>
          <c:smooth val="1"/>
          <c:extLst>
            <c:ext xmlns:c16="http://schemas.microsoft.com/office/drawing/2014/chart" uri="{C3380CC4-5D6E-409C-BE32-E72D297353CC}">
              <c16:uniqueId val="{00000003-2CDF-48D2-BA43-A8A6DB8FACCA}"/>
            </c:ext>
          </c:extLst>
        </c:ser>
        <c:ser>
          <c:idx val="3"/>
          <c:order val="4"/>
          <c:tx>
            <c:strRef>
              <c:f>'GearTrain Force'!$Y$817</c:f>
              <c:strCache>
                <c:ptCount val="1"/>
                <c:pt idx="0">
                  <c:v>Wt_2-3</c:v>
                </c:pt>
              </c:strCache>
            </c:strRef>
          </c:tx>
          <c:spPr>
            <a:ln w="19050" cap="rnd">
              <a:solidFill>
                <a:schemeClr val="accent4"/>
              </a:solidFill>
              <a:round/>
            </a:ln>
            <a:effectLst/>
          </c:spPr>
          <c:marker>
            <c:symbol val="none"/>
          </c:marker>
          <c:xVal>
            <c:numRef>
              <c:f>'GearTrain Force'!$AE$817:$AF$817</c:f>
              <c:numCache>
                <c:formatCode>General</c:formatCode>
                <c:ptCount val="2"/>
                <c:pt idx="0">
                  <c:v>3.6450448906547965</c:v>
                </c:pt>
                <c:pt idx="1">
                  <c:v>3.6450448906547965</c:v>
                </c:pt>
              </c:numCache>
            </c:numRef>
          </c:xVal>
          <c:yVal>
            <c:numRef>
              <c:f>'GearTrain Force'!$AG$817:$AH$817</c:f>
              <c:numCache>
                <c:formatCode>General</c:formatCode>
                <c:ptCount val="2"/>
                <c:pt idx="0">
                  <c:v>1</c:v>
                </c:pt>
                <c:pt idx="1">
                  <c:v>1</c:v>
                </c:pt>
              </c:numCache>
            </c:numRef>
          </c:yVal>
          <c:smooth val="1"/>
          <c:extLst>
            <c:ext xmlns:c16="http://schemas.microsoft.com/office/drawing/2014/chart" uri="{C3380CC4-5D6E-409C-BE32-E72D297353CC}">
              <c16:uniqueId val="{00000004-2CDF-48D2-BA43-A8A6DB8FACCA}"/>
            </c:ext>
          </c:extLst>
        </c:ser>
        <c:ser>
          <c:idx val="4"/>
          <c:order val="5"/>
          <c:tx>
            <c:strRef>
              <c:f>'GearTrain Force'!$Y$818</c:f>
              <c:strCache>
                <c:ptCount val="1"/>
                <c:pt idx="0">
                  <c:v>Wt_4-3</c:v>
                </c:pt>
              </c:strCache>
            </c:strRef>
          </c:tx>
          <c:spPr>
            <a:ln w="19050" cap="rnd">
              <a:solidFill>
                <a:schemeClr val="accent5"/>
              </a:solidFill>
              <a:round/>
            </a:ln>
            <a:effectLst/>
          </c:spPr>
          <c:marker>
            <c:symbol val="none"/>
          </c:marker>
          <c:xVal>
            <c:numRef>
              <c:f>'GearTrain Force'!$AE$818:$AF$818</c:f>
              <c:numCache>
                <c:formatCode>General</c:formatCode>
                <c:ptCount val="2"/>
                <c:pt idx="0">
                  <c:v>2.8034394696115141</c:v>
                </c:pt>
                <c:pt idx="1">
                  <c:v>3.1991291247839282</c:v>
                </c:pt>
              </c:numCache>
            </c:numRef>
          </c:xVal>
          <c:yVal>
            <c:numRef>
              <c:f>'GearTrain Force'!$AG$818:$AH$818</c:f>
              <c:numCache>
                <c:formatCode>General</c:formatCode>
                <c:ptCount val="2"/>
                <c:pt idx="0">
                  <c:v>1.5275862068965518</c:v>
                </c:pt>
                <c:pt idx="1">
                  <c:v>1.7191631330923958</c:v>
                </c:pt>
              </c:numCache>
            </c:numRef>
          </c:yVal>
          <c:smooth val="1"/>
          <c:extLst>
            <c:ext xmlns:c16="http://schemas.microsoft.com/office/drawing/2014/chart" uri="{C3380CC4-5D6E-409C-BE32-E72D297353CC}">
              <c16:uniqueId val="{00000005-2CDF-48D2-BA43-A8A6DB8FACCA}"/>
            </c:ext>
          </c:extLst>
        </c:ser>
        <c:ser>
          <c:idx val="6"/>
          <c:order val="6"/>
          <c:tx>
            <c:strRef>
              <c:f>'GearTrain Force'!$AI$817</c:f>
              <c:strCache>
                <c:ptCount val="1"/>
                <c:pt idx="0">
                  <c:v>W_2-3 (exclude axial)</c:v>
                </c:pt>
              </c:strCache>
            </c:strRef>
          </c:tx>
          <c:spPr>
            <a:ln w="19050" cap="rnd">
              <a:solidFill>
                <a:schemeClr val="accent1">
                  <a:lumMod val="60000"/>
                </a:schemeClr>
              </a:solidFill>
              <a:round/>
            </a:ln>
            <a:effectLst/>
          </c:spPr>
          <c:marker>
            <c:symbol val="none"/>
          </c:marker>
          <c:xVal>
            <c:numRef>
              <c:f>'GearTrain Force'!$AO$817:$AP$817</c:f>
              <c:numCache>
                <c:formatCode>General</c:formatCode>
                <c:ptCount val="2"/>
                <c:pt idx="0">
                  <c:v>3.6450448906547965</c:v>
                </c:pt>
                <c:pt idx="1">
                  <c:v>3.6450448906547965</c:v>
                </c:pt>
              </c:numCache>
            </c:numRef>
          </c:xVal>
          <c:yVal>
            <c:numRef>
              <c:f>'GearTrain Force'!$AQ$817:$AR$817</c:f>
              <c:numCache>
                <c:formatCode>General</c:formatCode>
                <c:ptCount val="2"/>
                <c:pt idx="0">
                  <c:v>1</c:v>
                </c:pt>
                <c:pt idx="1">
                  <c:v>1</c:v>
                </c:pt>
              </c:numCache>
            </c:numRef>
          </c:yVal>
          <c:smooth val="1"/>
          <c:extLst xmlns:c15="http://schemas.microsoft.com/office/drawing/2012/chart">
            <c:ext xmlns:c16="http://schemas.microsoft.com/office/drawing/2014/chart" uri="{C3380CC4-5D6E-409C-BE32-E72D297353CC}">
              <c16:uniqueId val="{00000006-2CDF-48D2-BA43-A8A6DB8FACCA}"/>
            </c:ext>
          </c:extLst>
        </c:ser>
        <c:ser>
          <c:idx val="7"/>
          <c:order val="7"/>
          <c:tx>
            <c:strRef>
              <c:f>'GearTrain Force'!$AI$818</c:f>
              <c:strCache>
                <c:ptCount val="1"/>
                <c:pt idx="0">
                  <c:v>W_4-3 (exclude axial)</c:v>
                </c:pt>
              </c:strCache>
            </c:strRef>
          </c:tx>
          <c:spPr>
            <a:ln w="19050" cap="rnd">
              <a:solidFill>
                <a:schemeClr val="accent2">
                  <a:lumMod val="60000"/>
                </a:schemeClr>
              </a:solidFill>
              <a:round/>
            </a:ln>
            <a:effectLst/>
          </c:spPr>
          <c:marker>
            <c:symbol val="none"/>
          </c:marker>
          <c:xVal>
            <c:numRef>
              <c:f>'GearTrain Force'!$AO$818:$AP$818</c:f>
              <c:numCache>
                <c:formatCode>General</c:formatCode>
                <c:ptCount val="2"/>
                <c:pt idx="0">
                  <c:v>2.8034394696115141</c:v>
                </c:pt>
                <c:pt idx="1">
                  <c:v>3.1221924596632515</c:v>
                </c:pt>
              </c:numCache>
            </c:numRef>
          </c:xVal>
          <c:yVal>
            <c:numRef>
              <c:f>'GearTrain Force'!$AQ$818:$AR$818</c:f>
              <c:numCache>
                <c:formatCode>General</c:formatCode>
                <c:ptCount val="2"/>
                <c:pt idx="0">
                  <c:v>1.5275862068965518</c:v>
                </c:pt>
                <c:pt idx="1">
                  <c:v>1.8780708006086546</c:v>
                </c:pt>
              </c:numCache>
            </c:numRef>
          </c:yVal>
          <c:smooth val="1"/>
          <c:extLst xmlns:c15="http://schemas.microsoft.com/office/drawing/2012/chart">
            <c:ext xmlns:c16="http://schemas.microsoft.com/office/drawing/2014/chart" uri="{C3380CC4-5D6E-409C-BE32-E72D297353CC}">
              <c16:uniqueId val="{00000007-2CDF-48D2-BA43-A8A6DB8FACCA}"/>
            </c:ext>
          </c:extLst>
        </c:ser>
        <c:ser>
          <c:idx val="8"/>
          <c:order val="8"/>
          <c:tx>
            <c:strRef>
              <c:f>'GearTrain Force'!$AS$817</c:f>
              <c:strCache>
                <c:ptCount val="1"/>
                <c:pt idx="0">
                  <c:v>W_b3</c:v>
                </c:pt>
              </c:strCache>
            </c:strRef>
          </c:tx>
          <c:spPr>
            <a:ln w="19050" cap="rnd">
              <a:solidFill>
                <a:schemeClr val="accent3">
                  <a:lumMod val="60000"/>
                </a:schemeClr>
              </a:solidFill>
              <a:round/>
            </a:ln>
            <a:effectLst/>
          </c:spPr>
          <c:marker>
            <c:symbol val="none"/>
          </c:marker>
          <c:xVal>
            <c:numRef>
              <c:f>'GearTrain Force'!$AY$817:$AZ$817</c:f>
              <c:numCache>
                <c:formatCode>General</c:formatCode>
                <c:ptCount val="2"/>
                <c:pt idx="0">
                  <c:v>3.0588753712059726</c:v>
                </c:pt>
                <c:pt idx="1">
                  <c:v>2.7401223811542352</c:v>
                </c:pt>
              </c:numCache>
            </c:numRef>
          </c:xVal>
          <c:yVal>
            <c:numRef>
              <c:f>'GearTrain Force'!$BA$817:$BB$817</c:f>
              <c:numCache>
                <c:formatCode>General</c:formatCode>
                <c:ptCount val="2"/>
                <c:pt idx="0">
                  <c:v>1</c:v>
                </c:pt>
                <c:pt idx="1">
                  <c:v>0.64951540628789717</c:v>
                </c:pt>
              </c:numCache>
            </c:numRef>
          </c:yVal>
          <c:smooth val="1"/>
          <c:extLst xmlns:c15="http://schemas.microsoft.com/office/drawing/2012/chart">
            <c:ext xmlns:c16="http://schemas.microsoft.com/office/drawing/2014/chart" uri="{C3380CC4-5D6E-409C-BE32-E72D297353CC}">
              <c16:uniqueId val="{00000008-2CDF-48D2-BA43-A8A6DB8FACCA}"/>
            </c:ext>
          </c:extLst>
        </c:ser>
        <c:dLbls>
          <c:showLegendKey val="0"/>
          <c:showVal val="0"/>
          <c:showCatName val="0"/>
          <c:showSerName val="0"/>
          <c:showPercent val="0"/>
          <c:showBubbleSize val="0"/>
        </c:dLbls>
        <c:axId val="725150128"/>
        <c:axId val="725143896"/>
        <c:extLst/>
      </c:scatterChart>
      <c:valAx>
        <c:axId val="72515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43896"/>
        <c:crosses val="autoZero"/>
        <c:crossBetween val="midCat"/>
      </c:valAx>
      <c:valAx>
        <c:axId val="72514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50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Gear 4 FBD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g4</c:v>
          </c:tx>
          <c:spPr>
            <a:ln w="19050" cap="rnd">
              <a:solidFill>
                <a:schemeClr val="accent1"/>
              </a:solidFill>
              <a:round/>
            </a:ln>
            <a:effectLst/>
          </c:spPr>
          <c:marker>
            <c:symbol val="none"/>
          </c:marker>
          <c:xVal>
            <c:numRef>
              <c:f>'GearTrain Force'!$BI$1758:$BI$1794</c:f>
              <c:numCache>
                <c:formatCode>General</c:formatCode>
                <c:ptCount val="37"/>
                <c:pt idx="0">
                  <c:v>3.6010911362014539</c:v>
                </c:pt>
                <c:pt idx="1">
                  <c:v>3.5796138116859564</c:v>
                </c:pt>
                <c:pt idx="2">
                  <c:v>3.5158344157768173</c:v>
                </c:pt>
                <c:pt idx="3">
                  <c:v>3.4116908531448034</c:v>
                </c:pt>
                <c:pt idx="4">
                  <c:v>3.2703474732413031</c:v>
                </c:pt>
                <c:pt idx="5">
                  <c:v>3.0960989231414842</c:v>
                </c:pt>
                <c:pt idx="6">
                  <c:v>2.8942396568661075</c:v>
                </c:pt>
                <c:pt idx="7">
                  <c:v>2.6709030660752333</c:v>
                </c:pt>
                <c:pt idx="8">
                  <c:v>2.4328751200662748</c:v>
                </c:pt>
                <c:pt idx="9">
                  <c:v>2.1873881775307611</c:v>
                </c:pt>
                <c:pt idx="10">
                  <c:v>1.9419012349952476</c:v>
                </c:pt>
                <c:pt idx="11">
                  <c:v>1.7038732889862889</c:v>
                </c:pt>
                <c:pt idx="12">
                  <c:v>1.4805366981954151</c:v>
                </c:pt>
                <c:pt idx="13">
                  <c:v>1.278677431920038</c:v>
                </c:pt>
                <c:pt idx="14">
                  <c:v>1.104428881820219</c:v>
                </c:pt>
                <c:pt idx="15">
                  <c:v>0.96308550191671882</c:v>
                </c:pt>
                <c:pt idx="16">
                  <c:v>0.8589419392847053</c:v>
                </c:pt>
                <c:pt idx="17">
                  <c:v>0.7951625433755658</c:v>
                </c:pt>
                <c:pt idx="18">
                  <c:v>0.77368521886006847</c:v>
                </c:pt>
                <c:pt idx="19">
                  <c:v>0.7951625433755658</c:v>
                </c:pt>
                <c:pt idx="20">
                  <c:v>0.85894193928470508</c:v>
                </c:pt>
                <c:pt idx="21">
                  <c:v>0.96308550191671904</c:v>
                </c:pt>
                <c:pt idx="22">
                  <c:v>1.1044288818202188</c:v>
                </c:pt>
                <c:pt idx="23">
                  <c:v>1.278677431920038</c:v>
                </c:pt>
                <c:pt idx="24">
                  <c:v>1.4805366981954142</c:v>
                </c:pt>
                <c:pt idx="25">
                  <c:v>1.7038732889862891</c:v>
                </c:pt>
                <c:pt idx="26">
                  <c:v>1.9419012349952476</c:v>
                </c:pt>
                <c:pt idx="27">
                  <c:v>2.1873881775307606</c:v>
                </c:pt>
                <c:pt idx="28">
                  <c:v>2.4328751200662739</c:v>
                </c:pt>
                <c:pt idx="29">
                  <c:v>2.6709030660752338</c:v>
                </c:pt>
                <c:pt idx="30">
                  <c:v>2.8942396568661075</c:v>
                </c:pt>
                <c:pt idx="31">
                  <c:v>3.0960989231414837</c:v>
                </c:pt>
                <c:pt idx="32">
                  <c:v>3.2703474732413031</c:v>
                </c:pt>
                <c:pt idx="33">
                  <c:v>3.4116908531448029</c:v>
                </c:pt>
                <c:pt idx="34">
                  <c:v>3.5158344157768173</c:v>
                </c:pt>
                <c:pt idx="35">
                  <c:v>3.5796138116859564</c:v>
                </c:pt>
                <c:pt idx="36">
                  <c:v>3.6010911362014539</c:v>
                </c:pt>
              </c:numCache>
            </c:numRef>
          </c:xVal>
          <c:yVal>
            <c:numRef>
              <c:f>'GearTrain Force'!$BJ$1758:$BJ$1794</c:f>
              <c:numCache>
                <c:formatCode>General</c:formatCode>
                <c:ptCount val="37"/>
                <c:pt idx="0">
                  <c:v>2.8</c:v>
                </c:pt>
                <c:pt idx="1">
                  <c:v>3.0454869425355131</c:v>
                </c:pt>
                <c:pt idx="2">
                  <c:v>3.283514888544472</c:v>
                </c:pt>
                <c:pt idx="3">
                  <c:v>3.5068514793353458</c:v>
                </c:pt>
                <c:pt idx="4">
                  <c:v>3.7087107456107224</c:v>
                </c:pt>
                <c:pt idx="5">
                  <c:v>3.8829592957105419</c:v>
                </c:pt>
                <c:pt idx="6">
                  <c:v>4.0243026756140416</c:v>
                </c:pt>
                <c:pt idx="7">
                  <c:v>4.1284462382460561</c:v>
                </c:pt>
                <c:pt idx="8">
                  <c:v>4.1922256341551947</c:v>
                </c:pt>
                <c:pt idx="9">
                  <c:v>4.2137029586706927</c:v>
                </c:pt>
                <c:pt idx="10">
                  <c:v>4.1922256341551947</c:v>
                </c:pt>
                <c:pt idx="11">
                  <c:v>4.1284462382460561</c:v>
                </c:pt>
                <c:pt idx="12">
                  <c:v>4.0243026756140416</c:v>
                </c:pt>
                <c:pt idx="13">
                  <c:v>3.8829592957105419</c:v>
                </c:pt>
                <c:pt idx="14">
                  <c:v>3.7087107456107229</c:v>
                </c:pt>
                <c:pt idx="15">
                  <c:v>3.5068514793353458</c:v>
                </c:pt>
                <c:pt idx="16">
                  <c:v>3.283514888544472</c:v>
                </c:pt>
                <c:pt idx="17">
                  <c:v>3.0454869425355131</c:v>
                </c:pt>
                <c:pt idx="18">
                  <c:v>2.8</c:v>
                </c:pt>
                <c:pt idx="19">
                  <c:v>2.5545130574644861</c:v>
                </c:pt>
                <c:pt idx="20">
                  <c:v>2.3164851114555276</c:v>
                </c:pt>
                <c:pt idx="21">
                  <c:v>2.0931485206646534</c:v>
                </c:pt>
                <c:pt idx="22">
                  <c:v>1.891289254389277</c:v>
                </c:pt>
                <c:pt idx="23">
                  <c:v>1.7170407042894578</c:v>
                </c:pt>
                <c:pt idx="24">
                  <c:v>1.575697324385958</c:v>
                </c:pt>
                <c:pt idx="25">
                  <c:v>1.4715537617539438</c:v>
                </c:pt>
                <c:pt idx="26">
                  <c:v>1.4077743658448045</c:v>
                </c:pt>
                <c:pt idx="27">
                  <c:v>1.3862970413293072</c:v>
                </c:pt>
                <c:pt idx="28">
                  <c:v>1.4077743658448045</c:v>
                </c:pt>
                <c:pt idx="29">
                  <c:v>1.471553761753944</c:v>
                </c:pt>
                <c:pt idx="30">
                  <c:v>1.5756973243859578</c:v>
                </c:pt>
                <c:pt idx="31">
                  <c:v>1.7170407042894573</c:v>
                </c:pt>
                <c:pt idx="32">
                  <c:v>1.8912892543892763</c:v>
                </c:pt>
                <c:pt idx="33">
                  <c:v>2.093148520664653</c:v>
                </c:pt>
                <c:pt idx="34">
                  <c:v>2.3164851114555276</c:v>
                </c:pt>
                <c:pt idx="35">
                  <c:v>2.5545130574644861</c:v>
                </c:pt>
                <c:pt idx="36">
                  <c:v>2.7999999999999994</c:v>
                </c:pt>
              </c:numCache>
            </c:numRef>
          </c:yVal>
          <c:smooth val="1"/>
          <c:extLst>
            <c:ext xmlns:c16="http://schemas.microsoft.com/office/drawing/2014/chart" uri="{C3380CC4-5D6E-409C-BE32-E72D297353CC}">
              <c16:uniqueId val="{00000000-CDF5-43B2-B390-603D82BAF0B2}"/>
            </c:ext>
          </c:extLst>
        </c:ser>
        <c:ser>
          <c:idx val="5"/>
          <c:order val="1"/>
          <c:spPr>
            <a:ln w="6350" cap="rnd">
              <a:solidFill>
                <a:schemeClr val="tx1"/>
              </a:solidFill>
              <a:prstDash val="sysDash"/>
              <a:round/>
            </a:ln>
            <a:effectLst/>
          </c:spPr>
          <c:marker>
            <c:symbol val="none"/>
          </c:marker>
          <c:xVal>
            <c:numRef>
              <c:f>'GearTrain Force'!$BY$1759:$BY$1765</c:f>
              <c:numCache>
                <c:formatCode>General</c:formatCode>
                <c:ptCount val="7"/>
                <c:pt idx="0">
                  <c:v>2.8689212367388035</c:v>
                </c:pt>
                <c:pt idx="1">
                  <c:v>2.9996076493136679</c:v>
                </c:pt>
                <c:pt idx="2">
                  <c:v>3.1056151842412927</c:v>
                </c:pt>
                <c:pt idx="3">
                  <c:v>3.183722856215303</c:v>
                </c:pt>
                <c:pt idx="4">
                  <c:v>3.2315574031471574</c:v>
                </c:pt>
                <c:pt idx="5">
                  <c:v>3.2476653965337805</c:v>
                </c:pt>
                <c:pt idx="6">
                  <c:v>3.4243782663676172</c:v>
                </c:pt>
              </c:numCache>
            </c:numRef>
          </c:xVal>
          <c:yVal>
            <c:numRef>
              <c:f>'GearTrain Force'!$BZ$1759:$BZ$1765</c:f>
              <c:numCache>
                <c:formatCode>General</c:formatCode>
                <c:ptCount val="7"/>
                <c:pt idx="0">
                  <c:v>1.9877805282170931</c:v>
                </c:pt>
                <c:pt idx="1">
                  <c:v>2.1184669407919579</c:v>
                </c:pt>
                <c:pt idx="2">
                  <c:v>2.2698613904984901</c:v>
                </c:pt>
                <c:pt idx="3">
                  <c:v>2.4373638335916459</c:v>
                </c:pt>
                <c:pt idx="4">
                  <c:v>2.6158847930983646</c:v>
                </c:pt>
                <c:pt idx="5">
                  <c:v>2.8</c:v>
                </c:pt>
                <c:pt idx="6">
                  <c:v>2.6232871301661631</c:v>
                </c:pt>
              </c:numCache>
            </c:numRef>
          </c:yVal>
          <c:smooth val="1"/>
          <c:extLst>
            <c:ext xmlns:c16="http://schemas.microsoft.com/office/drawing/2014/chart" uri="{C3380CC4-5D6E-409C-BE32-E72D297353CC}">
              <c16:uniqueId val="{00000001-CDF5-43B2-B390-603D82BAF0B2}"/>
            </c:ext>
          </c:extLst>
        </c:ser>
        <c:ser>
          <c:idx val="1"/>
          <c:order val="2"/>
          <c:tx>
            <c:strRef>
              <c:f>'GearTrain Force'!$O$819</c:f>
              <c:strCache>
                <c:ptCount val="1"/>
                <c:pt idx="0">
                  <c:v>Wr_3-4</c:v>
                </c:pt>
              </c:strCache>
            </c:strRef>
          </c:tx>
          <c:spPr>
            <a:ln w="19050" cap="rnd">
              <a:solidFill>
                <a:schemeClr val="accent2"/>
              </a:solidFill>
              <a:round/>
            </a:ln>
            <a:effectLst/>
          </c:spPr>
          <c:marker>
            <c:symbol val="none"/>
          </c:marker>
          <c:xVal>
            <c:numRef>
              <c:f>'GearTrain Force'!$U$819:$V$819</c:f>
              <c:numCache>
                <c:formatCode>General</c:formatCode>
                <c:ptCount val="2"/>
                <c:pt idx="0">
                  <c:v>2.8034394696115141</c:v>
                </c:pt>
                <c:pt idx="1">
                  <c:v>2.9889926031378518</c:v>
                </c:pt>
              </c:numCache>
            </c:numRef>
          </c:xVal>
          <c:yVal>
            <c:numRef>
              <c:f>'GearTrain Force'!$W$819:$X$819</c:f>
              <c:numCache>
                <c:formatCode>General</c:formatCode>
                <c:ptCount val="2"/>
                <c:pt idx="0">
                  <c:v>1.5275862068965516</c:v>
                </c:pt>
                <c:pt idx="1">
                  <c:v>1.1443383028867509</c:v>
                </c:pt>
              </c:numCache>
            </c:numRef>
          </c:yVal>
          <c:smooth val="1"/>
          <c:extLst>
            <c:ext xmlns:c16="http://schemas.microsoft.com/office/drawing/2014/chart" uri="{C3380CC4-5D6E-409C-BE32-E72D297353CC}">
              <c16:uniqueId val="{00000002-CDF5-43B2-B390-603D82BAF0B2}"/>
            </c:ext>
          </c:extLst>
        </c:ser>
        <c:ser>
          <c:idx val="2"/>
          <c:order val="3"/>
          <c:tx>
            <c:strRef>
              <c:f>'GearTrain Force'!$O$820</c:f>
              <c:strCache>
                <c:ptCount val="1"/>
                <c:pt idx="0">
                  <c:v>Wr_5-4</c:v>
                </c:pt>
              </c:strCache>
            </c:strRef>
          </c:tx>
          <c:spPr>
            <a:ln w="19050" cap="rnd">
              <a:solidFill>
                <a:schemeClr val="accent3"/>
              </a:solidFill>
              <a:round/>
            </a:ln>
            <a:effectLst/>
          </c:spPr>
          <c:marker>
            <c:symbol val="none"/>
          </c:marker>
          <c:xVal>
            <c:numRef>
              <c:f>'GearTrain Force'!$U$820:$V$820</c:f>
              <c:numCache>
                <c:formatCode>General</c:formatCode>
                <c:ptCount val="2"/>
                <c:pt idx="0">
                  <c:v>3.5551836933721468</c:v>
                </c:pt>
                <c:pt idx="1">
                  <c:v>3.9671603376064621</c:v>
                </c:pt>
              </c:numCache>
            </c:numRef>
          </c:xVal>
          <c:yVal>
            <c:numRef>
              <c:f>'GearTrain Force'!$W$820:$X$820</c:f>
              <c:numCache>
                <c:formatCode>General</c:formatCode>
                <c:ptCount val="2"/>
                <c:pt idx="0">
                  <c:v>2.4426605504587156</c:v>
                </c:pt>
                <c:pt idx="1">
                  <c:v>2.3350307874060143</c:v>
                </c:pt>
              </c:numCache>
            </c:numRef>
          </c:yVal>
          <c:smooth val="1"/>
          <c:extLst>
            <c:ext xmlns:c16="http://schemas.microsoft.com/office/drawing/2014/chart" uri="{C3380CC4-5D6E-409C-BE32-E72D297353CC}">
              <c16:uniqueId val="{00000003-CDF5-43B2-B390-603D82BAF0B2}"/>
            </c:ext>
          </c:extLst>
        </c:ser>
        <c:ser>
          <c:idx val="3"/>
          <c:order val="4"/>
          <c:tx>
            <c:strRef>
              <c:f>'GearTrain Force'!$Y$819</c:f>
              <c:strCache>
                <c:ptCount val="1"/>
                <c:pt idx="0">
                  <c:v>Wt_3-4</c:v>
                </c:pt>
              </c:strCache>
            </c:strRef>
          </c:tx>
          <c:spPr>
            <a:ln w="19050" cap="rnd">
              <a:solidFill>
                <a:schemeClr val="accent4"/>
              </a:solidFill>
              <a:round/>
            </a:ln>
            <a:effectLst/>
          </c:spPr>
          <c:marker>
            <c:symbol val="none"/>
          </c:marker>
          <c:xVal>
            <c:numRef>
              <c:f>'GearTrain Force'!$AE$819:$AF$819</c:f>
              <c:numCache>
                <c:formatCode>General</c:formatCode>
                <c:ptCount val="2"/>
                <c:pt idx="0">
                  <c:v>2.8034394696115141</c:v>
                </c:pt>
                <c:pt idx="1">
                  <c:v>1.8491291247839281</c:v>
                </c:pt>
              </c:numCache>
            </c:numRef>
          </c:xVal>
          <c:yVal>
            <c:numRef>
              <c:f>'GearTrain Force'!$AG$819:$AH$819</c:f>
              <c:numCache>
                <c:formatCode>General</c:formatCode>
                <c:ptCount val="2"/>
                <c:pt idx="0">
                  <c:v>1.5275862068965516</c:v>
                </c:pt>
                <c:pt idx="1">
                  <c:v>1.0655477378359868</c:v>
                </c:pt>
              </c:numCache>
            </c:numRef>
          </c:yVal>
          <c:smooth val="1"/>
          <c:extLst>
            <c:ext xmlns:c16="http://schemas.microsoft.com/office/drawing/2014/chart" uri="{C3380CC4-5D6E-409C-BE32-E72D297353CC}">
              <c16:uniqueId val="{00000004-CDF5-43B2-B390-603D82BAF0B2}"/>
            </c:ext>
          </c:extLst>
        </c:ser>
        <c:ser>
          <c:idx val="4"/>
          <c:order val="5"/>
          <c:tx>
            <c:strRef>
              <c:f>'GearTrain Force'!$Y$820</c:f>
              <c:strCache>
                <c:ptCount val="1"/>
                <c:pt idx="0">
                  <c:v>Wt_5-4</c:v>
                </c:pt>
              </c:strCache>
            </c:strRef>
          </c:tx>
          <c:spPr>
            <a:ln w="19050" cap="rnd">
              <a:solidFill>
                <a:schemeClr val="accent5"/>
              </a:solidFill>
              <a:round/>
            </a:ln>
            <a:effectLst/>
          </c:spPr>
          <c:marker>
            <c:symbol val="none"/>
          </c:marker>
          <c:xVal>
            <c:numRef>
              <c:f>'GearTrain Force'!$AE$820:$AF$820</c:f>
              <c:numCache>
                <c:formatCode>General</c:formatCode>
                <c:ptCount val="2"/>
                <c:pt idx="0">
                  <c:v>3.5551836933721468</c:v>
                </c:pt>
                <c:pt idx="1">
                  <c:v>3.8231882805281101</c:v>
                </c:pt>
              </c:numCache>
            </c:numRef>
          </c:xVal>
          <c:yVal>
            <c:numRef>
              <c:f>'GearTrain Force'!$AG$820:$AH$820</c:f>
              <c:numCache>
                <c:formatCode>General</c:formatCode>
                <c:ptCount val="2"/>
                <c:pt idx="0">
                  <c:v>2.4426605504587156</c:v>
                </c:pt>
                <c:pt idx="1">
                  <c:v>3.4685071873397546</c:v>
                </c:pt>
              </c:numCache>
            </c:numRef>
          </c:yVal>
          <c:smooth val="1"/>
          <c:extLst>
            <c:ext xmlns:c16="http://schemas.microsoft.com/office/drawing/2014/chart" uri="{C3380CC4-5D6E-409C-BE32-E72D297353CC}">
              <c16:uniqueId val="{00000005-CDF5-43B2-B390-603D82BAF0B2}"/>
            </c:ext>
          </c:extLst>
        </c:ser>
        <c:ser>
          <c:idx val="6"/>
          <c:order val="6"/>
          <c:tx>
            <c:strRef>
              <c:f>'GearTrain Force'!$AI$819</c:f>
              <c:strCache>
                <c:ptCount val="1"/>
                <c:pt idx="0">
                  <c:v>W_3-4 (exclude axial)</c:v>
                </c:pt>
              </c:strCache>
            </c:strRef>
          </c:tx>
          <c:spPr>
            <a:ln w="19050" cap="rnd">
              <a:solidFill>
                <a:schemeClr val="accent1">
                  <a:lumMod val="60000"/>
                </a:schemeClr>
              </a:solidFill>
              <a:round/>
            </a:ln>
            <a:effectLst/>
          </c:spPr>
          <c:marker>
            <c:symbol val="none"/>
          </c:marker>
          <c:xVal>
            <c:numRef>
              <c:f>'GearTrain Force'!$AO$819:$AP$819</c:f>
              <c:numCache>
                <c:formatCode>General</c:formatCode>
                <c:ptCount val="2"/>
                <c:pt idx="0">
                  <c:v>2.8034394696115141</c:v>
                </c:pt>
                <c:pt idx="1">
                  <c:v>2.0346822583102657</c:v>
                </c:pt>
              </c:numCache>
            </c:numRef>
          </c:xVal>
          <c:yVal>
            <c:numRef>
              <c:f>'GearTrain Force'!$AQ$819:$AR$819</c:f>
              <c:numCache>
                <c:formatCode>General</c:formatCode>
                <c:ptCount val="2"/>
                <c:pt idx="0">
                  <c:v>1.5275862068965516</c:v>
                </c:pt>
                <c:pt idx="1">
                  <c:v>0.68229983382618609</c:v>
                </c:pt>
              </c:numCache>
            </c:numRef>
          </c:yVal>
          <c:smooth val="1"/>
          <c:extLst xmlns:c15="http://schemas.microsoft.com/office/drawing/2012/chart">
            <c:ext xmlns:c16="http://schemas.microsoft.com/office/drawing/2014/chart" uri="{C3380CC4-5D6E-409C-BE32-E72D297353CC}">
              <c16:uniqueId val="{00000006-CDF5-43B2-B390-603D82BAF0B2}"/>
            </c:ext>
          </c:extLst>
        </c:ser>
        <c:ser>
          <c:idx val="7"/>
          <c:order val="7"/>
          <c:tx>
            <c:strRef>
              <c:f>'GearTrain Force'!$AI$820</c:f>
              <c:strCache>
                <c:ptCount val="1"/>
                <c:pt idx="0">
                  <c:v>W_5-4 (exclude axial)</c:v>
                </c:pt>
              </c:strCache>
            </c:strRef>
          </c:tx>
          <c:spPr>
            <a:ln w="19050" cap="rnd">
              <a:solidFill>
                <a:schemeClr val="accent2">
                  <a:lumMod val="60000"/>
                </a:schemeClr>
              </a:solidFill>
              <a:round/>
            </a:ln>
            <a:effectLst/>
          </c:spPr>
          <c:marker>
            <c:symbol val="none"/>
          </c:marker>
          <c:xVal>
            <c:numRef>
              <c:f>'GearTrain Force'!$AO$820:$AP$820</c:f>
              <c:numCache>
                <c:formatCode>General</c:formatCode>
                <c:ptCount val="2"/>
                <c:pt idx="0">
                  <c:v>3.5551836933721468</c:v>
                </c:pt>
                <c:pt idx="1">
                  <c:v>4.2351649247624259</c:v>
                </c:pt>
              </c:numCache>
            </c:numRef>
          </c:xVal>
          <c:yVal>
            <c:numRef>
              <c:f>'GearTrain Force'!$AQ$820:$AR$820</c:f>
              <c:numCache>
                <c:formatCode>General</c:formatCode>
                <c:ptCount val="2"/>
                <c:pt idx="0">
                  <c:v>2.4426605504587156</c:v>
                </c:pt>
                <c:pt idx="1">
                  <c:v>3.3608774242870534</c:v>
                </c:pt>
              </c:numCache>
            </c:numRef>
          </c:yVal>
          <c:smooth val="1"/>
          <c:extLst xmlns:c15="http://schemas.microsoft.com/office/drawing/2012/chart">
            <c:ext xmlns:c16="http://schemas.microsoft.com/office/drawing/2014/chart" uri="{C3380CC4-5D6E-409C-BE32-E72D297353CC}">
              <c16:uniqueId val="{00000007-CDF5-43B2-B390-603D82BAF0B2}"/>
            </c:ext>
          </c:extLst>
        </c:ser>
        <c:ser>
          <c:idx val="8"/>
          <c:order val="8"/>
          <c:tx>
            <c:strRef>
              <c:f>'GearTrain Force'!$AS$819</c:f>
              <c:strCache>
                <c:ptCount val="1"/>
                <c:pt idx="0">
                  <c:v>W_c4</c:v>
                </c:pt>
              </c:strCache>
            </c:strRef>
          </c:tx>
          <c:spPr>
            <a:ln w="19050" cap="rnd">
              <a:solidFill>
                <a:schemeClr val="accent3">
                  <a:lumMod val="60000"/>
                </a:schemeClr>
              </a:solidFill>
              <a:round/>
            </a:ln>
            <a:effectLst/>
          </c:spPr>
          <c:marker>
            <c:symbol val="none"/>
          </c:marker>
          <c:xVal>
            <c:numRef>
              <c:f>'GearTrain Force'!$AY$819:$AZ$819</c:f>
              <c:numCache>
                <c:formatCode>General</c:formatCode>
                <c:ptCount val="2"/>
                <c:pt idx="0">
                  <c:v>2.1873881775307611</c:v>
                </c:pt>
                <c:pt idx="1">
                  <c:v>2.2761641574417304</c:v>
                </c:pt>
              </c:numCache>
            </c:numRef>
          </c:xVal>
          <c:yVal>
            <c:numRef>
              <c:f>'GearTrain Force'!$BA$819:$BB$819</c:f>
              <c:numCache>
                <c:formatCode>General</c:formatCode>
                <c:ptCount val="2"/>
                <c:pt idx="0">
                  <c:v>2.8</c:v>
                </c:pt>
                <c:pt idx="1">
                  <c:v>2.7270694992420275</c:v>
                </c:pt>
              </c:numCache>
            </c:numRef>
          </c:yVal>
          <c:smooth val="1"/>
          <c:extLst xmlns:c15="http://schemas.microsoft.com/office/drawing/2012/chart">
            <c:ext xmlns:c16="http://schemas.microsoft.com/office/drawing/2014/chart" uri="{C3380CC4-5D6E-409C-BE32-E72D297353CC}">
              <c16:uniqueId val="{00000008-CDF5-43B2-B390-603D82BAF0B2}"/>
            </c:ext>
          </c:extLst>
        </c:ser>
        <c:dLbls>
          <c:showLegendKey val="0"/>
          <c:showVal val="0"/>
          <c:showCatName val="0"/>
          <c:showSerName val="0"/>
          <c:showPercent val="0"/>
          <c:showBubbleSize val="0"/>
        </c:dLbls>
        <c:axId val="725150128"/>
        <c:axId val="725143896"/>
        <c:extLst/>
      </c:scatterChart>
      <c:valAx>
        <c:axId val="72515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43896"/>
        <c:crosses val="autoZero"/>
        <c:crossBetween val="midCat"/>
      </c:valAx>
      <c:valAx>
        <c:axId val="72514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50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Gear 5 FBD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g5</c:v>
          </c:tx>
          <c:spPr>
            <a:ln w="19050" cap="rnd">
              <a:solidFill>
                <a:schemeClr val="accent1"/>
              </a:solidFill>
              <a:round/>
            </a:ln>
            <a:effectLst/>
          </c:spPr>
          <c:marker>
            <c:symbol val="none"/>
          </c:marker>
          <c:xVal>
            <c:numRef>
              <c:f>'GearTrain Force'!$BK$1758:$BK$1794</c:f>
              <c:numCache>
                <c:formatCode>General</c:formatCode>
                <c:ptCount val="37"/>
                <c:pt idx="0">
                  <c:v>8.1684006754897389</c:v>
                </c:pt>
                <c:pt idx="1">
                  <c:v>8.1327797470250118</c:v>
                </c:pt>
                <c:pt idx="2">
                  <c:v>8.0269992855171708</c:v>
                </c:pt>
                <c:pt idx="3">
                  <c:v>7.8542733767616362</c:v>
                </c:pt>
                <c:pt idx="4">
                  <c:v>7.6198502100924168</c:v>
                </c:pt>
                <c:pt idx="5">
                  <c:v>7.330852614804912</c:v>
                </c:pt>
                <c:pt idx="6">
                  <c:v>6.996061636592092</c:v>
                </c:pt>
                <c:pt idx="7">
                  <c:v>6.6256497299145449</c:v>
                </c:pt>
                <c:pt idx="8">
                  <c:v>6.2308716731191982</c:v>
                </c:pt>
                <c:pt idx="9">
                  <c:v>5.8237225976944442</c:v>
                </c:pt>
                <c:pt idx="10">
                  <c:v>5.4165735222696902</c:v>
                </c:pt>
                <c:pt idx="11">
                  <c:v>5.0217954654743444</c:v>
                </c:pt>
                <c:pt idx="12">
                  <c:v>4.6513835587967973</c:v>
                </c:pt>
                <c:pt idx="13">
                  <c:v>4.3165925805839764</c:v>
                </c:pt>
                <c:pt idx="14">
                  <c:v>4.0275949852964716</c:v>
                </c:pt>
                <c:pt idx="15">
                  <c:v>3.7931718186272523</c:v>
                </c:pt>
                <c:pt idx="16">
                  <c:v>3.6204459098717177</c:v>
                </c:pt>
                <c:pt idx="17">
                  <c:v>3.5146654483638766</c:v>
                </c:pt>
                <c:pt idx="18">
                  <c:v>3.4790445198991491</c:v>
                </c:pt>
                <c:pt idx="19">
                  <c:v>3.5146654483638766</c:v>
                </c:pt>
                <c:pt idx="20">
                  <c:v>3.6204459098717172</c:v>
                </c:pt>
                <c:pt idx="21">
                  <c:v>3.7931718186272523</c:v>
                </c:pt>
                <c:pt idx="22">
                  <c:v>4.0275949852964716</c:v>
                </c:pt>
                <c:pt idx="23">
                  <c:v>4.3165925805839764</c:v>
                </c:pt>
                <c:pt idx="24">
                  <c:v>4.6513835587967955</c:v>
                </c:pt>
                <c:pt idx="25">
                  <c:v>5.0217954654743444</c:v>
                </c:pt>
                <c:pt idx="26">
                  <c:v>5.4165735222696902</c:v>
                </c:pt>
                <c:pt idx="27">
                  <c:v>5.8237225976944442</c:v>
                </c:pt>
                <c:pt idx="28">
                  <c:v>6.2308716731191973</c:v>
                </c:pt>
                <c:pt idx="29">
                  <c:v>6.6256497299145449</c:v>
                </c:pt>
                <c:pt idx="30">
                  <c:v>6.996061636592092</c:v>
                </c:pt>
                <c:pt idx="31">
                  <c:v>7.3308526148049111</c:v>
                </c:pt>
                <c:pt idx="32">
                  <c:v>7.6198502100924159</c:v>
                </c:pt>
                <c:pt idx="33">
                  <c:v>7.8542733767616362</c:v>
                </c:pt>
                <c:pt idx="34">
                  <c:v>8.0269992855171708</c:v>
                </c:pt>
                <c:pt idx="35">
                  <c:v>8.1327797470250118</c:v>
                </c:pt>
                <c:pt idx="36">
                  <c:v>8.1684006754897389</c:v>
                </c:pt>
              </c:numCache>
            </c:numRef>
          </c:xVal>
          <c:yVal>
            <c:numRef>
              <c:f>'GearTrain Force'!$BL$1758:$BL$1794</c:f>
              <c:numCache>
                <c:formatCode>General</c:formatCode>
                <c:ptCount val="37"/>
                <c:pt idx="0">
                  <c:v>1.85</c:v>
                </c:pt>
                <c:pt idx="1">
                  <c:v>2.2571490754247541</c:v>
                </c:pt>
                <c:pt idx="2">
                  <c:v>2.6519271322201003</c:v>
                </c:pt>
                <c:pt idx="3">
                  <c:v>3.0223390388976474</c:v>
                </c:pt>
                <c:pt idx="4">
                  <c:v>3.3571300171104674</c:v>
                </c:pt>
                <c:pt idx="5">
                  <c:v>3.6461276123979727</c:v>
                </c:pt>
                <c:pt idx="6">
                  <c:v>3.880550779067192</c:v>
                </c:pt>
                <c:pt idx="7">
                  <c:v>4.0532766878227271</c:v>
                </c:pt>
                <c:pt idx="8">
                  <c:v>4.1590571493305681</c:v>
                </c:pt>
                <c:pt idx="9">
                  <c:v>4.1946780777952952</c:v>
                </c:pt>
                <c:pt idx="10">
                  <c:v>4.1590571493305681</c:v>
                </c:pt>
                <c:pt idx="11">
                  <c:v>4.0532766878227271</c:v>
                </c:pt>
                <c:pt idx="12">
                  <c:v>3.880550779067192</c:v>
                </c:pt>
                <c:pt idx="13">
                  <c:v>3.6461276123979727</c:v>
                </c:pt>
                <c:pt idx="14">
                  <c:v>3.3571300171104679</c:v>
                </c:pt>
                <c:pt idx="15">
                  <c:v>3.0223390388976474</c:v>
                </c:pt>
                <c:pt idx="16">
                  <c:v>2.6519271322201008</c:v>
                </c:pt>
                <c:pt idx="17">
                  <c:v>2.2571490754247541</c:v>
                </c:pt>
                <c:pt idx="18">
                  <c:v>1.8500000000000003</c:v>
                </c:pt>
                <c:pt idx="19">
                  <c:v>1.4428509245752457</c:v>
                </c:pt>
                <c:pt idx="20">
                  <c:v>1.0480728677798998</c:v>
                </c:pt>
                <c:pt idx="21">
                  <c:v>0.6776609611023523</c:v>
                </c:pt>
                <c:pt idx="22">
                  <c:v>0.34286998288953274</c:v>
                </c:pt>
                <c:pt idx="23">
                  <c:v>5.3872387602027727E-2</c:v>
                </c:pt>
                <c:pt idx="24">
                  <c:v>-0.18055077906719141</c:v>
                </c:pt>
                <c:pt idx="25">
                  <c:v>-0.35327668782272692</c:v>
                </c:pt>
                <c:pt idx="26">
                  <c:v>-0.45905714933056752</c:v>
                </c:pt>
                <c:pt idx="27">
                  <c:v>-0.49467807779529505</c:v>
                </c:pt>
                <c:pt idx="28">
                  <c:v>-0.45905714933056796</c:v>
                </c:pt>
                <c:pt idx="29">
                  <c:v>-0.35327668782272648</c:v>
                </c:pt>
                <c:pt idx="30">
                  <c:v>-0.18055077906719186</c:v>
                </c:pt>
                <c:pt idx="31">
                  <c:v>5.3872387602027061E-2</c:v>
                </c:pt>
                <c:pt idx="32">
                  <c:v>0.34286998288953208</c:v>
                </c:pt>
                <c:pt idx="33">
                  <c:v>0.67766096110235141</c:v>
                </c:pt>
                <c:pt idx="34">
                  <c:v>1.0480728677799001</c:v>
                </c:pt>
                <c:pt idx="35">
                  <c:v>1.4428509245752459</c:v>
                </c:pt>
                <c:pt idx="36">
                  <c:v>1.8499999999999994</c:v>
                </c:pt>
              </c:numCache>
            </c:numRef>
          </c:yVal>
          <c:smooth val="1"/>
          <c:extLst>
            <c:ext xmlns:c16="http://schemas.microsoft.com/office/drawing/2014/chart" uri="{C3380CC4-5D6E-409C-BE32-E72D297353CC}">
              <c16:uniqueId val="{00000000-37FD-44B7-8765-ED07C2445C4D}"/>
            </c:ext>
          </c:extLst>
        </c:ser>
        <c:ser>
          <c:idx val="5"/>
          <c:order val="1"/>
          <c:tx>
            <c:v>dir</c:v>
          </c:tx>
          <c:spPr>
            <a:ln w="6350" cap="rnd">
              <a:solidFill>
                <a:schemeClr val="tx1"/>
              </a:solidFill>
              <a:prstDash val="sysDash"/>
              <a:round/>
            </a:ln>
            <a:effectLst/>
          </c:spPr>
          <c:marker>
            <c:symbol val="none"/>
          </c:marker>
          <c:xVal>
            <c:numRef>
              <c:f>'GearTrain Force'!$CA$1759:$CA$1765</c:f>
              <c:numCache>
                <c:formatCode>General</c:formatCode>
                <c:ptCount val="7"/>
                <c:pt idx="0">
                  <c:v>7.2471548702517063</c:v>
                </c:pt>
                <c:pt idx="1">
                  <c:v>6.9540701105272946</c:v>
                </c:pt>
                <c:pt idx="2">
                  <c:v>7.1708183069929241</c:v>
                </c:pt>
                <c:pt idx="3">
                  <c:v>7.3466356819948384</c:v>
                </c:pt>
                <c:pt idx="4">
                  <c:v>7.4761801135614894</c:v>
                </c:pt>
                <c:pt idx="5">
                  <c:v>7.5555154596923702</c:v>
                </c:pt>
                <c:pt idx="6">
                  <c:v>7.5822311560409155</c:v>
                </c:pt>
              </c:numCache>
            </c:numRef>
          </c:xVal>
          <c:yVal>
            <c:numRef>
              <c:f>'GearTrain Force'!$CB$1759:$CB$1765</c:f>
              <c:numCache>
                <c:formatCode>General</c:formatCode>
                <c:ptCount val="7"/>
                <c:pt idx="0">
                  <c:v>0.20981953097710876</c:v>
                </c:pt>
                <c:pt idx="1">
                  <c:v>0.50290429070152065</c:v>
                </c:pt>
                <c:pt idx="2">
                  <c:v>0.71965248716714969</c:v>
                </c:pt>
                <c:pt idx="3">
                  <c:v>0.97074572082676458</c:v>
                </c:pt>
                <c:pt idx="4">
                  <c:v>1.248554650834925</c:v>
                </c:pt>
                <c:pt idx="5">
                  <c:v>1.5446381934314346</c:v>
                </c:pt>
                <c:pt idx="6">
                  <c:v>1.85</c:v>
                </c:pt>
              </c:numCache>
            </c:numRef>
          </c:yVal>
          <c:smooth val="1"/>
          <c:extLst>
            <c:ext xmlns:c16="http://schemas.microsoft.com/office/drawing/2014/chart" uri="{C3380CC4-5D6E-409C-BE32-E72D297353CC}">
              <c16:uniqueId val="{00000001-37FD-44B7-8765-ED07C2445C4D}"/>
            </c:ext>
          </c:extLst>
        </c:ser>
        <c:ser>
          <c:idx val="1"/>
          <c:order val="2"/>
          <c:tx>
            <c:strRef>
              <c:f>'GearTrain Force'!$O$821</c:f>
              <c:strCache>
                <c:ptCount val="1"/>
                <c:pt idx="0">
                  <c:v>Wr_4-5</c:v>
                </c:pt>
              </c:strCache>
            </c:strRef>
          </c:tx>
          <c:spPr>
            <a:ln w="19050" cap="rnd">
              <a:solidFill>
                <a:schemeClr val="accent2"/>
              </a:solidFill>
              <a:round/>
            </a:ln>
            <a:effectLst/>
          </c:spPr>
          <c:marker>
            <c:symbol val="none"/>
          </c:marker>
          <c:xVal>
            <c:numRef>
              <c:f>'GearTrain Force'!$U$821:$V$821</c:f>
              <c:numCache>
                <c:formatCode>General</c:formatCode>
                <c:ptCount val="2"/>
                <c:pt idx="0">
                  <c:v>3.5551836933721459</c:v>
                </c:pt>
                <c:pt idx="1">
                  <c:v>2.8719053565932815</c:v>
                </c:pt>
              </c:numCache>
            </c:numRef>
          </c:xVal>
          <c:yVal>
            <c:numRef>
              <c:f>'GearTrain Force'!$W$821:$X$821</c:f>
              <c:numCache>
                <c:formatCode>General</c:formatCode>
                <c:ptCount val="2"/>
                <c:pt idx="0">
                  <c:v>2.4426605504587156</c:v>
                </c:pt>
                <c:pt idx="1">
                  <c:v>2.6211684501558787</c:v>
                </c:pt>
              </c:numCache>
            </c:numRef>
          </c:yVal>
          <c:smooth val="1"/>
          <c:extLst>
            <c:ext xmlns:c16="http://schemas.microsoft.com/office/drawing/2014/chart" uri="{C3380CC4-5D6E-409C-BE32-E72D297353CC}">
              <c16:uniqueId val="{00000002-37FD-44B7-8765-ED07C2445C4D}"/>
            </c:ext>
          </c:extLst>
        </c:ser>
        <c:ser>
          <c:idx val="2"/>
          <c:order val="3"/>
          <c:tx>
            <c:strRef>
              <c:f>'GearTrain Force'!$O$822</c:f>
              <c:strCache>
                <c:ptCount val="1"/>
                <c:pt idx="0">
                  <c:v>Wr_6-5</c:v>
                </c:pt>
              </c:strCache>
            </c:strRef>
          </c:tx>
          <c:spPr>
            <a:ln w="19050" cap="rnd">
              <a:solidFill>
                <a:schemeClr val="accent3"/>
              </a:solidFill>
              <a:round/>
            </a:ln>
            <a:effectLst/>
          </c:spPr>
          <c:marker>
            <c:symbol val="none"/>
          </c:marker>
          <c:xVal>
            <c:numRef>
              <c:f>'GearTrain Force'!$U$822:$V$822</c:f>
              <c:numCache>
                <c:formatCode>General</c:formatCode>
                <c:ptCount val="2"/>
                <c:pt idx="0">
                  <c:v>7.0898595759822172</c:v>
                </c:pt>
                <c:pt idx="1">
                  <c:v>7.4712169188121536</c:v>
                </c:pt>
              </c:numCache>
            </c:numRef>
          </c:xVal>
          <c:yVal>
            <c:numRef>
              <c:f>'GearTrain Force'!$W$822:$X$822</c:f>
              <c:numCache>
                <c:formatCode>General</c:formatCode>
                <c:ptCount val="2"/>
                <c:pt idx="0">
                  <c:v>3.8234265734265733</c:v>
                </c:pt>
                <c:pt idx="1">
                  <c:v>4.4178178021936825</c:v>
                </c:pt>
              </c:numCache>
            </c:numRef>
          </c:yVal>
          <c:smooth val="1"/>
          <c:extLst>
            <c:ext xmlns:c16="http://schemas.microsoft.com/office/drawing/2014/chart" uri="{C3380CC4-5D6E-409C-BE32-E72D297353CC}">
              <c16:uniqueId val="{00000003-37FD-44B7-8765-ED07C2445C4D}"/>
            </c:ext>
          </c:extLst>
        </c:ser>
        <c:ser>
          <c:idx val="3"/>
          <c:order val="4"/>
          <c:tx>
            <c:strRef>
              <c:f>'GearTrain Force'!$Y$821</c:f>
              <c:strCache>
                <c:ptCount val="1"/>
                <c:pt idx="0">
                  <c:v>Wt_4-5</c:v>
                </c:pt>
              </c:strCache>
            </c:strRef>
          </c:tx>
          <c:spPr>
            <a:ln w="19050" cap="rnd">
              <a:solidFill>
                <a:schemeClr val="accent4"/>
              </a:solidFill>
              <a:round/>
            </a:ln>
            <a:effectLst/>
          </c:spPr>
          <c:marker>
            <c:symbol val="none"/>
          </c:marker>
          <c:xVal>
            <c:numRef>
              <c:f>'GearTrain Force'!$AE$821:$AF$821</c:f>
              <c:numCache>
                <c:formatCode>General</c:formatCode>
                <c:ptCount val="2"/>
                <c:pt idx="0">
                  <c:v>3.5551836933721459</c:v>
                </c:pt>
                <c:pt idx="1">
                  <c:v>3.1106882805281093</c:v>
                </c:pt>
              </c:numCache>
            </c:numRef>
          </c:xVal>
          <c:yVal>
            <c:numRef>
              <c:f>'GearTrain Force'!$AG$821:$AH$821</c:f>
              <c:numCache>
                <c:formatCode>General</c:formatCode>
                <c:ptCount val="2"/>
                <c:pt idx="0">
                  <c:v>2.4426605504587156</c:v>
                </c:pt>
                <c:pt idx="1">
                  <c:v>0.74125637221699203</c:v>
                </c:pt>
              </c:numCache>
            </c:numRef>
          </c:yVal>
          <c:smooth val="1"/>
          <c:extLst>
            <c:ext xmlns:c16="http://schemas.microsoft.com/office/drawing/2014/chart" uri="{C3380CC4-5D6E-409C-BE32-E72D297353CC}">
              <c16:uniqueId val="{00000004-37FD-44B7-8765-ED07C2445C4D}"/>
            </c:ext>
          </c:extLst>
        </c:ser>
        <c:ser>
          <c:idx val="4"/>
          <c:order val="5"/>
          <c:tx>
            <c:strRef>
              <c:f>'GearTrain Force'!$Y$822</c:f>
              <c:strCache>
                <c:ptCount val="1"/>
                <c:pt idx="0">
                  <c:v>Wt_6-5</c:v>
                </c:pt>
              </c:strCache>
            </c:strRef>
          </c:tx>
          <c:spPr>
            <a:ln w="19050" cap="rnd">
              <a:solidFill>
                <a:schemeClr val="accent5"/>
              </a:solidFill>
              <a:round/>
            </a:ln>
            <a:effectLst/>
          </c:spPr>
          <c:marker>
            <c:symbol val="none"/>
          </c:marker>
          <c:xVal>
            <c:numRef>
              <c:f>'GearTrain Force'!$AE$822:$AF$822</c:f>
              <c:numCache>
                <c:formatCode>General</c:formatCode>
                <c:ptCount val="2"/>
                <c:pt idx="0">
                  <c:v>7.0898595759822172</c:v>
                </c:pt>
                <c:pt idx="1">
                  <c:v>8.5699295060521479</c:v>
                </c:pt>
              </c:numCache>
            </c:numRef>
          </c:xVal>
          <c:yVal>
            <c:numRef>
              <c:f>'GearTrain Force'!$AG$822:$AH$822</c:f>
              <c:numCache>
                <c:formatCode>General</c:formatCode>
                <c:ptCount val="2"/>
                <c:pt idx="0">
                  <c:v>3.8234265734265733</c:v>
                </c:pt>
                <c:pt idx="1">
                  <c:v>2.8738238397107434</c:v>
                </c:pt>
              </c:numCache>
            </c:numRef>
          </c:yVal>
          <c:smooth val="1"/>
          <c:extLst>
            <c:ext xmlns:c16="http://schemas.microsoft.com/office/drawing/2014/chart" uri="{C3380CC4-5D6E-409C-BE32-E72D297353CC}">
              <c16:uniqueId val="{00000005-37FD-44B7-8765-ED07C2445C4D}"/>
            </c:ext>
          </c:extLst>
        </c:ser>
        <c:ser>
          <c:idx val="6"/>
          <c:order val="6"/>
          <c:tx>
            <c:strRef>
              <c:f>'GearTrain Force'!$AI$821</c:f>
              <c:strCache>
                <c:ptCount val="1"/>
                <c:pt idx="0">
                  <c:v>W_4-5 (exclude axial)</c:v>
                </c:pt>
              </c:strCache>
            </c:strRef>
          </c:tx>
          <c:spPr>
            <a:ln w="19050" cap="rnd">
              <a:solidFill>
                <a:schemeClr val="accent1">
                  <a:lumMod val="60000"/>
                </a:schemeClr>
              </a:solidFill>
              <a:round/>
            </a:ln>
            <a:effectLst/>
          </c:spPr>
          <c:marker>
            <c:symbol val="none"/>
          </c:marker>
          <c:xVal>
            <c:numRef>
              <c:f>'GearTrain Force'!$AO$821:$AP$821</c:f>
              <c:numCache>
                <c:formatCode>General</c:formatCode>
                <c:ptCount val="2"/>
                <c:pt idx="0">
                  <c:v>3.5551836933721459</c:v>
                </c:pt>
                <c:pt idx="1">
                  <c:v>2.4274099437492449</c:v>
                </c:pt>
              </c:numCache>
            </c:numRef>
          </c:xVal>
          <c:yVal>
            <c:numRef>
              <c:f>'GearTrain Force'!$AQ$821:$AR$821</c:f>
              <c:numCache>
                <c:formatCode>General</c:formatCode>
                <c:ptCount val="2"/>
                <c:pt idx="0">
                  <c:v>2.4426605504587156</c:v>
                </c:pt>
                <c:pt idx="1">
                  <c:v>0.91976427191415522</c:v>
                </c:pt>
              </c:numCache>
            </c:numRef>
          </c:yVal>
          <c:smooth val="1"/>
          <c:extLst xmlns:c15="http://schemas.microsoft.com/office/drawing/2012/chart">
            <c:ext xmlns:c16="http://schemas.microsoft.com/office/drawing/2014/chart" uri="{C3380CC4-5D6E-409C-BE32-E72D297353CC}">
              <c16:uniqueId val="{00000006-37FD-44B7-8765-ED07C2445C4D}"/>
            </c:ext>
          </c:extLst>
        </c:ser>
        <c:ser>
          <c:idx val="7"/>
          <c:order val="7"/>
          <c:tx>
            <c:strRef>
              <c:f>'GearTrain Force'!$AI$822</c:f>
              <c:strCache>
                <c:ptCount val="1"/>
                <c:pt idx="0">
                  <c:v>W_6-5 (exclude axial)</c:v>
                </c:pt>
              </c:strCache>
            </c:strRef>
          </c:tx>
          <c:spPr>
            <a:ln w="19050" cap="rnd">
              <a:solidFill>
                <a:schemeClr val="accent2">
                  <a:lumMod val="60000"/>
                </a:schemeClr>
              </a:solidFill>
              <a:round/>
            </a:ln>
            <a:effectLst/>
          </c:spPr>
          <c:marker>
            <c:symbol val="none"/>
          </c:marker>
          <c:xVal>
            <c:numRef>
              <c:f>'GearTrain Force'!$AO$822:$AP$822</c:f>
              <c:numCache>
                <c:formatCode>General</c:formatCode>
                <c:ptCount val="2"/>
                <c:pt idx="0">
                  <c:v>7.0898595759822172</c:v>
                </c:pt>
                <c:pt idx="1">
                  <c:v>8.9512868488820843</c:v>
                </c:pt>
              </c:numCache>
            </c:numRef>
          </c:xVal>
          <c:yVal>
            <c:numRef>
              <c:f>'GearTrain Force'!$AQ$822:$AR$822</c:f>
              <c:numCache>
                <c:formatCode>General</c:formatCode>
                <c:ptCount val="2"/>
                <c:pt idx="0">
                  <c:v>3.8234265734265733</c:v>
                </c:pt>
                <c:pt idx="1">
                  <c:v>3.4682150684778525</c:v>
                </c:pt>
              </c:numCache>
            </c:numRef>
          </c:yVal>
          <c:smooth val="1"/>
          <c:extLst xmlns:c15="http://schemas.microsoft.com/office/drawing/2012/chart">
            <c:ext xmlns:c16="http://schemas.microsoft.com/office/drawing/2014/chart" uri="{C3380CC4-5D6E-409C-BE32-E72D297353CC}">
              <c16:uniqueId val="{00000007-37FD-44B7-8765-ED07C2445C4D}"/>
            </c:ext>
          </c:extLst>
        </c:ser>
        <c:ser>
          <c:idx val="8"/>
          <c:order val="8"/>
          <c:tx>
            <c:strRef>
              <c:f>'GearTrain Force'!$AS$821</c:f>
              <c:strCache>
                <c:ptCount val="1"/>
                <c:pt idx="0">
                  <c:v>W_d5</c:v>
                </c:pt>
              </c:strCache>
            </c:strRef>
          </c:tx>
          <c:spPr>
            <a:ln w="19050" cap="rnd">
              <a:solidFill>
                <a:schemeClr val="accent3">
                  <a:lumMod val="60000"/>
                </a:schemeClr>
              </a:solidFill>
              <a:round/>
            </a:ln>
            <a:effectLst/>
          </c:spPr>
          <c:marker>
            <c:symbol val="none"/>
          </c:marker>
          <c:xVal>
            <c:numRef>
              <c:f>'GearTrain Force'!$AY$821:$AZ$821</c:f>
              <c:numCache>
                <c:formatCode>General</c:formatCode>
                <c:ptCount val="2"/>
                <c:pt idx="0">
                  <c:v>5.8237225976944442</c:v>
                </c:pt>
                <c:pt idx="1">
                  <c:v>5.0900690744174781</c:v>
                </c:pt>
              </c:numCache>
            </c:numRef>
          </c:xVal>
          <c:yVal>
            <c:numRef>
              <c:f>'GearTrain Force'!$BA$821:$BB$821</c:f>
              <c:numCache>
                <c:formatCode>General</c:formatCode>
                <c:ptCount val="2"/>
                <c:pt idx="0">
                  <c:v>1.85</c:v>
                </c:pt>
                <c:pt idx="1">
                  <c:v>3.7281077834932814</c:v>
                </c:pt>
              </c:numCache>
            </c:numRef>
          </c:yVal>
          <c:smooth val="1"/>
          <c:extLst xmlns:c15="http://schemas.microsoft.com/office/drawing/2012/chart">
            <c:ext xmlns:c16="http://schemas.microsoft.com/office/drawing/2014/chart" uri="{C3380CC4-5D6E-409C-BE32-E72D297353CC}">
              <c16:uniqueId val="{00000008-37FD-44B7-8765-ED07C2445C4D}"/>
            </c:ext>
          </c:extLst>
        </c:ser>
        <c:dLbls>
          <c:showLegendKey val="0"/>
          <c:showVal val="0"/>
          <c:showCatName val="0"/>
          <c:showSerName val="0"/>
          <c:showPercent val="0"/>
          <c:showBubbleSize val="0"/>
        </c:dLbls>
        <c:axId val="725150128"/>
        <c:axId val="725143896"/>
        <c:extLst/>
      </c:scatterChart>
      <c:valAx>
        <c:axId val="72515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43896"/>
        <c:crosses val="autoZero"/>
        <c:crossBetween val="midCat"/>
      </c:valAx>
      <c:valAx>
        <c:axId val="72514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50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Gear 6 FBD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g6</c:v>
          </c:tx>
          <c:spPr>
            <a:ln w="19050" cap="rnd">
              <a:solidFill>
                <a:schemeClr val="accent1"/>
              </a:solidFill>
              <a:round/>
            </a:ln>
            <a:effectLst/>
          </c:spPr>
          <c:marker>
            <c:symbol val="none"/>
          </c:marker>
          <c:xVal>
            <c:numRef>
              <c:f>'GearTrain Force'!$BM$1758:$BM$1794</c:f>
              <c:numCache>
                <c:formatCode>General</c:formatCode>
                <c:ptCount val="37"/>
                <c:pt idx="0">
                  <c:v>11.072376181956191</c:v>
                </c:pt>
                <c:pt idx="1">
                  <c:v>11.033088393208329</c:v>
                </c:pt>
                <c:pt idx="2">
                  <c:v>10.91641876654527</c:v>
                </c:pt>
                <c:pt idx="3">
                  <c:v>10.725912249535488</c:v>
                </c:pt>
                <c:pt idx="4">
                  <c:v>10.467357286297378</c:v>
                </c:pt>
                <c:pt idx="5">
                  <c:v>10.148609938553808</c:v>
                </c:pt>
                <c:pt idx="6">
                  <c:v>9.7793551831720205</c:v>
                </c:pt>
                <c:pt idx="7">
                  <c:v>9.3708126390423736</c:v>
                </c:pt>
                <c:pt idx="8">
                  <c:v>8.9353956646357418</c:v>
                </c:pt>
                <c:pt idx="9">
                  <c:v>8.4863341843878501</c:v>
                </c:pt>
                <c:pt idx="10">
                  <c:v>8.0372727041399603</c:v>
                </c:pt>
                <c:pt idx="11">
                  <c:v>7.6018557297333276</c:v>
                </c:pt>
                <c:pt idx="12">
                  <c:v>7.1933131856036807</c:v>
                </c:pt>
                <c:pt idx="13">
                  <c:v>6.8240584302218936</c:v>
                </c:pt>
                <c:pt idx="14">
                  <c:v>6.5053110824783218</c:v>
                </c:pt>
                <c:pt idx="15">
                  <c:v>6.2467561192402119</c:v>
                </c:pt>
                <c:pt idx="16">
                  <c:v>6.0562496022304311</c:v>
                </c:pt>
                <c:pt idx="17">
                  <c:v>5.9395799755673711</c:v>
                </c:pt>
                <c:pt idx="18">
                  <c:v>5.9002921868195095</c:v>
                </c:pt>
                <c:pt idx="19">
                  <c:v>5.9395799755673711</c:v>
                </c:pt>
                <c:pt idx="20">
                  <c:v>6.0562496022304302</c:v>
                </c:pt>
                <c:pt idx="21">
                  <c:v>6.2467561192402119</c:v>
                </c:pt>
                <c:pt idx="22">
                  <c:v>6.5053110824783218</c:v>
                </c:pt>
                <c:pt idx="23">
                  <c:v>6.8240584302218927</c:v>
                </c:pt>
                <c:pt idx="24">
                  <c:v>7.1933131856036789</c:v>
                </c:pt>
                <c:pt idx="25">
                  <c:v>7.6018557297333285</c:v>
                </c:pt>
                <c:pt idx="26">
                  <c:v>8.0372727041399603</c:v>
                </c:pt>
                <c:pt idx="27">
                  <c:v>8.4863341843878501</c:v>
                </c:pt>
                <c:pt idx="28">
                  <c:v>8.93539566463574</c:v>
                </c:pt>
                <c:pt idx="29">
                  <c:v>9.3708126390423736</c:v>
                </c:pt>
                <c:pt idx="30">
                  <c:v>9.7793551831720205</c:v>
                </c:pt>
                <c:pt idx="31">
                  <c:v>10.148609938553808</c:v>
                </c:pt>
                <c:pt idx="32">
                  <c:v>10.467357286297378</c:v>
                </c:pt>
                <c:pt idx="33">
                  <c:v>10.725912249535487</c:v>
                </c:pt>
                <c:pt idx="34">
                  <c:v>10.91641876654527</c:v>
                </c:pt>
                <c:pt idx="35">
                  <c:v>11.033088393208329</c:v>
                </c:pt>
                <c:pt idx="36">
                  <c:v>11.072376181956191</c:v>
                </c:pt>
              </c:numCache>
            </c:numRef>
          </c:xVal>
          <c:yVal>
            <c:numRef>
              <c:f>'GearTrain Force'!$BN$1758:$BN$1794</c:f>
              <c:numCache>
                <c:formatCode>General</c:formatCode>
                <c:ptCount val="37"/>
                <c:pt idx="0">
                  <c:v>6</c:v>
                </c:pt>
                <c:pt idx="1">
                  <c:v>6.4490614802478907</c:v>
                </c:pt>
                <c:pt idx="2">
                  <c:v>6.8844784546545226</c:v>
                </c:pt>
                <c:pt idx="3">
                  <c:v>7.2930209987841703</c:v>
                </c:pt>
                <c:pt idx="4">
                  <c:v>7.6622757541659565</c:v>
                </c:pt>
                <c:pt idx="5">
                  <c:v>7.9810231019095284</c:v>
                </c:pt>
                <c:pt idx="6">
                  <c:v>8.2395780651476382</c:v>
                </c:pt>
                <c:pt idx="7">
                  <c:v>8.43008458215742</c:v>
                </c:pt>
                <c:pt idx="8">
                  <c:v>8.5467542088204791</c:v>
                </c:pt>
                <c:pt idx="9">
                  <c:v>8.5860419975683406</c:v>
                </c:pt>
                <c:pt idx="10">
                  <c:v>8.5467542088204791</c:v>
                </c:pt>
                <c:pt idx="11">
                  <c:v>8.43008458215742</c:v>
                </c:pt>
                <c:pt idx="12">
                  <c:v>8.2395780651476382</c:v>
                </c:pt>
                <c:pt idx="13">
                  <c:v>7.9810231019095284</c:v>
                </c:pt>
                <c:pt idx="14">
                  <c:v>7.6622757541659574</c:v>
                </c:pt>
                <c:pt idx="15">
                  <c:v>7.2930209987841703</c:v>
                </c:pt>
                <c:pt idx="16">
                  <c:v>6.8844784546545226</c:v>
                </c:pt>
                <c:pt idx="17">
                  <c:v>6.4490614802478907</c:v>
                </c:pt>
                <c:pt idx="18">
                  <c:v>6</c:v>
                </c:pt>
                <c:pt idx="19">
                  <c:v>5.5509385197521093</c:v>
                </c:pt>
                <c:pt idx="20">
                  <c:v>5.1155215453454774</c:v>
                </c:pt>
                <c:pt idx="21">
                  <c:v>4.7069790012158297</c:v>
                </c:pt>
                <c:pt idx="22">
                  <c:v>4.3377242458340435</c:v>
                </c:pt>
                <c:pt idx="23">
                  <c:v>4.0189768980904716</c:v>
                </c:pt>
                <c:pt idx="24">
                  <c:v>3.7604219348523626</c:v>
                </c:pt>
                <c:pt idx="25">
                  <c:v>3.5699154178425805</c:v>
                </c:pt>
                <c:pt idx="26">
                  <c:v>3.4532457911795209</c:v>
                </c:pt>
                <c:pt idx="27">
                  <c:v>3.4139580024316598</c:v>
                </c:pt>
                <c:pt idx="28">
                  <c:v>3.4532457911795209</c:v>
                </c:pt>
                <c:pt idx="29">
                  <c:v>3.5699154178425809</c:v>
                </c:pt>
                <c:pt idx="30">
                  <c:v>3.7604219348523622</c:v>
                </c:pt>
                <c:pt idx="31">
                  <c:v>4.0189768980904708</c:v>
                </c:pt>
                <c:pt idx="32">
                  <c:v>4.3377242458340426</c:v>
                </c:pt>
                <c:pt idx="33">
                  <c:v>4.7069790012158288</c:v>
                </c:pt>
                <c:pt idx="34">
                  <c:v>5.1155215453454783</c:v>
                </c:pt>
                <c:pt idx="35">
                  <c:v>5.5509385197521093</c:v>
                </c:pt>
                <c:pt idx="36">
                  <c:v>5.9999999999999991</c:v>
                </c:pt>
              </c:numCache>
            </c:numRef>
          </c:yVal>
          <c:smooth val="1"/>
          <c:extLst>
            <c:ext xmlns:c16="http://schemas.microsoft.com/office/drawing/2014/chart" uri="{C3380CC4-5D6E-409C-BE32-E72D297353CC}">
              <c16:uniqueId val="{00000000-09BD-45B3-BEDD-7C860B4676BD}"/>
            </c:ext>
          </c:extLst>
        </c:ser>
        <c:ser>
          <c:idx val="5"/>
          <c:order val="1"/>
          <c:spPr>
            <a:ln w="6350" cap="rnd">
              <a:solidFill>
                <a:schemeClr val="tx1"/>
              </a:solidFill>
              <a:prstDash val="sysDash"/>
              <a:round/>
            </a:ln>
            <a:effectLst/>
          </c:spPr>
          <c:marker>
            <c:symbol val="none"/>
          </c:marker>
          <c:xVal>
            <c:numRef>
              <c:f>'GearTrain Force'!$CC$1759:$CC$1765</c:f>
              <c:numCache>
                <c:formatCode>General</c:formatCode>
                <c:ptCount val="7"/>
                <c:pt idx="0">
                  <c:v>9.7330410000123173</c:v>
                </c:pt>
                <c:pt idx="1">
                  <c:v>9.9721015108199964</c:v>
                </c:pt>
                <c:pt idx="2">
                  <c:v>10.166017733248578</c:v>
                </c:pt>
                <c:pt idx="3">
                  <c:v>10.308897621005915</c:v>
                </c:pt>
                <c:pt idx="4">
                  <c:v>10.396399841003209</c:v>
                </c:pt>
                <c:pt idx="5">
                  <c:v>10.425865682564105</c:v>
                </c:pt>
                <c:pt idx="6">
                  <c:v>10.749120932260148</c:v>
                </c:pt>
              </c:numCache>
            </c:numRef>
          </c:xVal>
          <c:yVal>
            <c:numRef>
              <c:f>'GearTrain Force'!$CD$1759:$CD$1765</c:f>
              <c:numCache>
                <c:formatCode>General</c:formatCode>
                <c:ptCount val="7"/>
                <c:pt idx="0">
                  <c:v>4.5142326735678537</c:v>
                </c:pt>
                <c:pt idx="1">
                  <c:v>4.7532931843755328</c:v>
                </c:pt>
                <c:pt idx="2">
                  <c:v>5.0302342509118727</c:v>
                </c:pt>
                <c:pt idx="3">
                  <c:v>5.3366411590091083</c:v>
                </c:pt>
                <c:pt idx="4">
                  <c:v>5.6632038898140822</c:v>
                </c:pt>
                <c:pt idx="5">
                  <c:v>6</c:v>
                </c:pt>
                <c:pt idx="6">
                  <c:v>5.6767447503039579</c:v>
                </c:pt>
              </c:numCache>
            </c:numRef>
          </c:yVal>
          <c:smooth val="1"/>
          <c:extLst>
            <c:ext xmlns:c16="http://schemas.microsoft.com/office/drawing/2014/chart" uri="{C3380CC4-5D6E-409C-BE32-E72D297353CC}">
              <c16:uniqueId val="{00000001-09BD-45B3-BEDD-7C860B4676BD}"/>
            </c:ext>
          </c:extLst>
        </c:ser>
        <c:ser>
          <c:idx val="1"/>
          <c:order val="2"/>
          <c:tx>
            <c:strRef>
              <c:f>'GearTrain Force'!$O$823</c:f>
              <c:strCache>
                <c:ptCount val="1"/>
                <c:pt idx="0">
                  <c:v>Wr_5-6</c:v>
                </c:pt>
              </c:strCache>
            </c:strRef>
          </c:tx>
          <c:spPr>
            <a:ln w="19050" cap="rnd">
              <a:solidFill>
                <a:schemeClr val="accent2"/>
              </a:solidFill>
              <a:round/>
            </a:ln>
            <a:effectLst/>
          </c:spPr>
          <c:marker>
            <c:symbol val="none"/>
          </c:marker>
          <c:xVal>
            <c:numRef>
              <c:f>'GearTrain Force'!$U$823:$V$823</c:f>
              <c:numCache>
                <c:formatCode>General</c:formatCode>
                <c:ptCount val="2"/>
                <c:pt idx="0">
                  <c:v>7.0898595759822181</c:v>
                </c:pt>
                <c:pt idx="1">
                  <c:v>6.6692448596256702</c:v>
                </c:pt>
              </c:numCache>
            </c:numRef>
          </c:xVal>
          <c:yVal>
            <c:numRef>
              <c:f>'GearTrain Force'!$W$823:$X$823</c:f>
              <c:numCache>
                <c:formatCode>General</c:formatCode>
                <c:ptCount val="2"/>
                <c:pt idx="0">
                  <c:v>3.8234265734265733</c:v>
                </c:pt>
                <c:pt idx="1">
                  <c:v>3.1678480122863792</c:v>
                </c:pt>
              </c:numCache>
            </c:numRef>
          </c:yVal>
          <c:smooth val="1"/>
          <c:extLst>
            <c:ext xmlns:c16="http://schemas.microsoft.com/office/drawing/2014/chart" uri="{C3380CC4-5D6E-409C-BE32-E72D297353CC}">
              <c16:uniqueId val="{00000002-09BD-45B3-BEDD-7C860B4676BD}"/>
            </c:ext>
          </c:extLst>
        </c:ser>
        <c:ser>
          <c:idx val="2"/>
          <c:order val="3"/>
          <c:tx>
            <c:strRef>
              <c:f>'GearTrain Force'!$O$824</c:f>
              <c:strCache>
                <c:ptCount val="1"/>
                <c:pt idx="0">
                  <c:v>Wr_7-6</c:v>
                </c:pt>
              </c:strCache>
            </c:strRef>
          </c:tx>
          <c:spPr>
            <a:ln w="19050" cap="rnd">
              <a:solidFill>
                <a:schemeClr val="accent3"/>
              </a:solidFill>
              <a:round/>
            </a:ln>
            <a:effectLst/>
          </c:spPr>
          <c:marker>
            <c:symbol val="none"/>
          </c:marker>
          <c:xVal>
            <c:numRef>
              <c:f>'GearTrain Force'!$U$824:$V$824</c:f>
              <c:numCache>
                <c:formatCode>General</c:formatCode>
                <c:ptCount val="2"/>
                <c:pt idx="0">
                  <c:v>10.814850495944901</c:v>
                </c:pt>
                <c:pt idx="1">
                  <c:v>11.516193880222659</c:v>
                </c:pt>
              </c:numCache>
            </c:numRef>
          </c:xVal>
          <c:yVal>
            <c:numRef>
              <c:f>'GearTrain Force'!$W$824:$X$824</c:f>
              <c:numCache>
                <c:formatCode>General</c:formatCode>
                <c:ptCount val="2"/>
                <c:pt idx="0">
                  <c:v>4.875</c:v>
                </c:pt>
                <c:pt idx="1">
                  <c:v>4.5361527677962128</c:v>
                </c:pt>
              </c:numCache>
            </c:numRef>
          </c:yVal>
          <c:smooth val="1"/>
          <c:extLst>
            <c:ext xmlns:c16="http://schemas.microsoft.com/office/drawing/2014/chart" uri="{C3380CC4-5D6E-409C-BE32-E72D297353CC}">
              <c16:uniqueId val="{00000003-09BD-45B3-BEDD-7C860B4676BD}"/>
            </c:ext>
          </c:extLst>
        </c:ser>
        <c:ser>
          <c:idx val="3"/>
          <c:order val="4"/>
          <c:tx>
            <c:strRef>
              <c:f>'GearTrain Force'!$Y$823</c:f>
              <c:strCache>
                <c:ptCount val="1"/>
                <c:pt idx="0">
                  <c:v>Wt_5-6</c:v>
                </c:pt>
              </c:strCache>
            </c:strRef>
          </c:tx>
          <c:spPr>
            <a:ln w="19050" cap="rnd">
              <a:solidFill>
                <a:schemeClr val="accent4"/>
              </a:solidFill>
              <a:round/>
            </a:ln>
            <a:effectLst/>
          </c:spPr>
          <c:marker>
            <c:symbol val="none"/>
          </c:marker>
          <c:xVal>
            <c:numRef>
              <c:f>'GearTrain Force'!$AE$823:$AF$823</c:f>
              <c:numCache>
                <c:formatCode>General</c:formatCode>
                <c:ptCount val="2"/>
                <c:pt idx="0">
                  <c:v>7.0898595759822181</c:v>
                </c:pt>
                <c:pt idx="1">
                  <c:v>5.457429506052148</c:v>
                </c:pt>
              </c:numCache>
            </c:numRef>
          </c:xVal>
          <c:yVal>
            <c:numRef>
              <c:f>'GearTrain Force'!$AG$823:$AH$823</c:f>
              <c:numCache>
                <c:formatCode>General</c:formatCode>
                <c:ptCount val="2"/>
                <c:pt idx="0">
                  <c:v>3.8234265734265733</c:v>
                </c:pt>
                <c:pt idx="1">
                  <c:v>4.8707825297307972</c:v>
                </c:pt>
              </c:numCache>
            </c:numRef>
          </c:yVal>
          <c:smooth val="1"/>
          <c:extLst>
            <c:ext xmlns:c16="http://schemas.microsoft.com/office/drawing/2014/chart" uri="{C3380CC4-5D6E-409C-BE32-E72D297353CC}">
              <c16:uniqueId val="{00000004-09BD-45B3-BEDD-7C860B4676BD}"/>
            </c:ext>
          </c:extLst>
        </c:ser>
        <c:ser>
          <c:idx val="4"/>
          <c:order val="5"/>
          <c:tx>
            <c:strRef>
              <c:f>'GearTrain Force'!$Y$824</c:f>
              <c:strCache>
                <c:ptCount val="1"/>
                <c:pt idx="0">
                  <c:v>Wt_7-6</c:v>
                </c:pt>
              </c:strCache>
            </c:strRef>
          </c:tx>
          <c:spPr>
            <a:ln w="19050" cap="rnd">
              <a:solidFill>
                <a:schemeClr val="accent5"/>
              </a:solidFill>
              <a:round/>
            </a:ln>
            <a:effectLst/>
          </c:spPr>
          <c:marker>
            <c:symbol val="none"/>
          </c:marker>
          <c:xVal>
            <c:numRef>
              <c:f>'GearTrain Force'!$AE$824:$AF$824</c:f>
              <c:numCache>
                <c:formatCode>General</c:formatCode>
                <c:ptCount val="2"/>
                <c:pt idx="0">
                  <c:v>10.814850495944901</c:v>
                </c:pt>
                <c:pt idx="1">
                  <c:v>11.658600495944901</c:v>
                </c:pt>
              </c:numCache>
            </c:numRef>
          </c:xVal>
          <c:yVal>
            <c:numRef>
              <c:f>'GearTrain Force'!$AG$824:$AH$824</c:f>
              <c:numCache>
                <c:formatCode>General</c:formatCode>
                <c:ptCount val="2"/>
                <c:pt idx="0">
                  <c:v>4.875</c:v>
                </c:pt>
                <c:pt idx="1">
                  <c:v>6.6213872336677877</c:v>
                </c:pt>
              </c:numCache>
            </c:numRef>
          </c:yVal>
          <c:smooth val="1"/>
          <c:extLst>
            <c:ext xmlns:c16="http://schemas.microsoft.com/office/drawing/2014/chart" uri="{C3380CC4-5D6E-409C-BE32-E72D297353CC}">
              <c16:uniqueId val="{00000005-09BD-45B3-BEDD-7C860B4676BD}"/>
            </c:ext>
          </c:extLst>
        </c:ser>
        <c:ser>
          <c:idx val="6"/>
          <c:order val="6"/>
          <c:tx>
            <c:strRef>
              <c:f>'GearTrain Force'!$AI$823</c:f>
              <c:strCache>
                <c:ptCount val="1"/>
                <c:pt idx="0">
                  <c:v>W_5-6 (exclude axial)</c:v>
                </c:pt>
              </c:strCache>
            </c:strRef>
          </c:tx>
          <c:spPr>
            <a:ln w="19050" cap="rnd">
              <a:solidFill>
                <a:schemeClr val="accent1">
                  <a:lumMod val="60000"/>
                </a:schemeClr>
              </a:solidFill>
              <a:round/>
            </a:ln>
            <a:effectLst/>
          </c:spPr>
          <c:marker>
            <c:symbol val="none"/>
          </c:marker>
          <c:xVal>
            <c:numRef>
              <c:f>'GearTrain Force'!$AO$823:$AP$823</c:f>
              <c:numCache>
                <c:formatCode>General</c:formatCode>
                <c:ptCount val="2"/>
                <c:pt idx="0">
                  <c:v>7.0898595759822181</c:v>
                </c:pt>
                <c:pt idx="1">
                  <c:v>5.0368147896956001</c:v>
                </c:pt>
              </c:numCache>
            </c:numRef>
          </c:xVal>
          <c:yVal>
            <c:numRef>
              <c:f>'GearTrain Force'!$AQ$823:$AR$823</c:f>
              <c:numCache>
                <c:formatCode>General</c:formatCode>
                <c:ptCount val="2"/>
                <c:pt idx="0">
                  <c:v>3.8234265734265733</c:v>
                </c:pt>
                <c:pt idx="1">
                  <c:v>4.2152039685906031</c:v>
                </c:pt>
              </c:numCache>
            </c:numRef>
          </c:yVal>
          <c:smooth val="1"/>
          <c:extLst xmlns:c15="http://schemas.microsoft.com/office/drawing/2012/chart">
            <c:ext xmlns:c16="http://schemas.microsoft.com/office/drawing/2014/chart" uri="{C3380CC4-5D6E-409C-BE32-E72D297353CC}">
              <c16:uniqueId val="{00000006-09BD-45B3-BEDD-7C860B4676BD}"/>
            </c:ext>
          </c:extLst>
        </c:ser>
        <c:ser>
          <c:idx val="7"/>
          <c:order val="7"/>
          <c:tx>
            <c:strRef>
              <c:f>'GearTrain Force'!$AI$824</c:f>
              <c:strCache>
                <c:ptCount val="1"/>
                <c:pt idx="0">
                  <c:v>W_7-6 (exclude axial)</c:v>
                </c:pt>
              </c:strCache>
            </c:strRef>
          </c:tx>
          <c:spPr>
            <a:ln w="19050" cap="rnd">
              <a:solidFill>
                <a:schemeClr val="accent2">
                  <a:lumMod val="60000"/>
                </a:schemeClr>
              </a:solidFill>
              <a:round/>
            </a:ln>
            <a:effectLst/>
          </c:spPr>
          <c:marker>
            <c:symbol val="none"/>
          </c:marker>
          <c:xVal>
            <c:numRef>
              <c:f>'GearTrain Force'!$AO$824:$AP$824</c:f>
              <c:numCache>
                <c:formatCode>General</c:formatCode>
                <c:ptCount val="2"/>
                <c:pt idx="0">
                  <c:v>10.814850495944901</c:v>
                </c:pt>
                <c:pt idx="1">
                  <c:v>12.359943880222659</c:v>
                </c:pt>
              </c:numCache>
            </c:numRef>
          </c:xVal>
          <c:yVal>
            <c:numRef>
              <c:f>'GearTrain Force'!$AQ$824:$AR$824</c:f>
              <c:numCache>
                <c:formatCode>General</c:formatCode>
                <c:ptCount val="2"/>
                <c:pt idx="0">
                  <c:v>4.875</c:v>
                </c:pt>
                <c:pt idx="1">
                  <c:v>6.2825400014640005</c:v>
                </c:pt>
              </c:numCache>
            </c:numRef>
          </c:yVal>
          <c:smooth val="1"/>
          <c:extLst xmlns:c15="http://schemas.microsoft.com/office/drawing/2012/chart">
            <c:ext xmlns:c16="http://schemas.microsoft.com/office/drawing/2014/chart" uri="{C3380CC4-5D6E-409C-BE32-E72D297353CC}">
              <c16:uniqueId val="{00000007-09BD-45B3-BEDD-7C860B4676BD}"/>
            </c:ext>
          </c:extLst>
        </c:ser>
        <c:ser>
          <c:idx val="8"/>
          <c:order val="8"/>
          <c:tx>
            <c:strRef>
              <c:f>'GearTrain Force'!$AS$823</c:f>
              <c:strCache>
                <c:ptCount val="1"/>
                <c:pt idx="0">
                  <c:v>W_e6</c:v>
                </c:pt>
              </c:strCache>
            </c:strRef>
          </c:tx>
          <c:spPr>
            <a:ln w="19050" cap="rnd">
              <a:solidFill>
                <a:schemeClr val="accent3">
                  <a:lumMod val="60000"/>
                </a:schemeClr>
              </a:solidFill>
              <a:round/>
            </a:ln>
            <a:effectLst/>
          </c:spPr>
          <c:marker>
            <c:symbol val="none"/>
          </c:marker>
          <c:xVal>
            <c:numRef>
              <c:f>'GearTrain Force'!$AY$823:$AZ$823</c:f>
              <c:numCache>
                <c:formatCode>General</c:formatCode>
                <c:ptCount val="2"/>
                <c:pt idx="0">
                  <c:v>8.4863341843878501</c:v>
                </c:pt>
                <c:pt idx="1">
                  <c:v>8.9942855863967104</c:v>
                </c:pt>
              </c:numCache>
            </c:numRef>
          </c:xVal>
          <c:yVal>
            <c:numRef>
              <c:f>'GearTrain Force'!$BA$823:$BB$823</c:f>
              <c:numCache>
                <c:formatCode>General</c:formatCode>
                <c:ptCount val="2"/>
                <c:pt idx="0">
                  <c:v>6</c:v>
                </c:pt>
                <c:pt idx="1">
                  <c:v>4.2006826033719697</c:v>
                </c:pt>
              </c:numCache>
            </c:numRef>
          </c:yVal>
          <c:smooth val="1"/>
          <c:extLst xmlns:c15="http://schemas.microsoft.com/office/drawing/2012/chart">
            <c:ext xmlns:c16="http://schemas.microsoft.com/office/drawing/2014/chart" uri="{C3380CC4-5D6E-409C-BE32-E72D297353CC}">
              <c16:uniqueId val="{00000008-09BD-45B3-BEDD-7C860B4676BD}"/>
            </c:ext>
          </c:extLst>
        </c:ser>
        <c:dLbls>
          <c:showLegendKey val="0"/>
          <c:showVal val="0"/>
          <c:showCatName val="0"/>
          <c:showSerName val="0"/>
          <c:showPercent val="0"/>
          <c:showBubbleSize val="0"/>
        </c:dLbls>
        <c:axId val="725150128"/>
        <c:axId val="725143896"/>
        <c:extLst/>
      </c:scatterChart>
      <c:valAx>
        <c:axId val="72515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43896"/>
        <c:crosses val="autoZero"/>
        <c:crossBetween val="midCat"/>
      </c:valAx>
      <c:valAx>
        <c:axId val="72514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50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Gear 7 FBD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g7</c:v>
          </c:tx>
          <c:spPr>
            <a:ln w="19050" cap="rnd">
              <a:solidFill>
                <a:schemeClr val="accent1"/>
              </a:solidFill>
              <a:round/>
            </a:ln>
            <a:effectLst/>
          </c:spPr>
          <c:marker>
            <c:symbol val="none"/>
          </c:marker>
          <c:xVal>
            <c:numRef>
              <c:f>'GearTrain Force'!$BO$1758:$BO$1794</c:f>
              <c:numCache>
                <c:formatCode>General</c:formatCode>
                <c:ptCount val="37"/>
                <c:pt idx="0">
                  <c:v>19.005781011153886</c:v>
                </c:pt>
                <c:pt idx="1">
                  <c:v>18.940301363240785</c:v>
                </c:pt>
                <c:pt idx="2">
                  <c:v>18.745851985469017</c:v>
                </c:pt>
                <c:pt idx="3">
                  <c:v>18.428341123786048</c:v>
                </c:pt>
                <c:pt idx="4">
                  <c:v>17.997416185055865</c:v>
                </c:pt>
                <c:pt idx="5">
                  <c:v>17.466170605483246</c:v>
                </c:pt>
                <c:pt idx="6">
                  <c:v>16.85074601318027</c:v>
                </c:pt>
                <c:pt idx="7">
                  <c:v>16.16984177296419</c:v>
                </c:pt>
                <c:pt idx="8">
                  <c:v>15.444146815619803</c:v>
                </c:pt>
                <c:pt idx="9">
                  <c:v>14.695711015206651</c:v>
                </c:pt>
                <c:pt idx="10">
                  <c:v>13.9472752147935</c:v>
                </c:pt>
                <c:pt idx="11">
                  <c:v>13.221580257449114</c:v>
                </c:pt>
                <c:pt idx="12">
                  <c:v>12.540676017233036</c:v>
                </c:pt>
                <c:pt idx="13">
                  <c:v>11.925251424930057</c:v>
                </c:pt>
                <c:pt idx="14">
                  <c:v>11.394005845357437</c:v>
                </c:pt>
                <c:pt idx="15">
                  <c:v>10.963080906627255</c:v>
                </c:pt>
                <c:pt idx="16">
                  <c:v>10.645570044944286</c:v>
                </c:pt>
                <c:pt idx="17">
                  <c:v>10.451120667172519</c:v>
                </c:pt>
                <c:pt idx="18">
                  <c:v>10.385641019259417</c:v>
                </c:pt>
                <c:pt idx="19">
                  <c:v>10.451120667172519</c:v>
                </c:pt>
                <c:pt idx="20">
                  <c:v>10.645570044944286</c:v>
                </c:pt>
                <c:pt idx="21">
                  <c:v>10.963080906627255</c:v>
                </c:pt>
                <c:pt idx="22">
                  <c:v>11.394005845357437</c:v>
                </c:pt>
                <c:pt idx="23">
                  <c:v>11.925251424930057</c:v>
                </c:pt>
                <c:pt idx="24">
                  <c:v>12.540676017233032</c:v>
                </c:pt>
                <c:pt idx="25">
                  <c:v>13.221580257449116</c:v>
                </c:pt>
                <c:pt idx="26">
                  <c:v>13.9472752147935</c:v>
                </c:pt>
                <c:pt idx="27">
                  <c:v>14.695711015206651</c:v>
                </c:pt>
                <c:pt idx="28">
                  <c:v>15.444146815619801</c:v>
                </c:pt>
                <c:pt idx="29">
                  <c:v>16.16984177296419</c:v>
                </c:pt>
                <c:pt idx="30">
                  <c:v>16.85074601318027</c:v>
                </c:pt>
                <c:pt idx="31">
                  <c:v>17.466170605483246</c:v>
                </c:pt>
                <c:pt idx="32">
                  <c:v>17.997416185055865</c:v>
                </c:pt>
                <c:pt idx="33">
                  <c:v>18.428341123786048</c:v>
                </c:pt>
                <c:pt idx="34">
                  <c:v>18.745851985469017</c:v>
                </c:pt>
                <c:pt idx="35">
                  <c:v>18.940301363240785</c:v>
                </c:pt>
                <c:pt idx="36">
                  <c:v>19.005781011153886</c:v>
                </c:pt>
              </c:numCache>
            </c:numRef>
          </c:xVal>
          <c:yVal>
            <c:numRef>
              <c:f>'GearTrain Force'!$BP$1758:$BP$1794</c:f>
              <c:numCache>
                <c:formatCode>General</c:formatCode>
                <c:ptCount val="37"/>
                <c:pt idx="0">
                  <c:v>3</c:v>
                </c:pt>
                <c:pt idx="1">
                  <c:v>3.7484358004131511</c:v>
                </c:pt>
                <c:pt idx="2">
                  <c:v>4.4741307577575373</c:v>
                </c:pt>
                <c:pt idx="3">
                  <c:v>5.1550349979736163</c:v>
                </c:pt>
                <c:pt idx="4">
                  <c:v>5.7704595902765945</c:v>
                </c:pt>
                <c:pt idx="5">
                  <c:v>6.3017051698492139</c:v>
                </c:pt>
                <c:pt idx="6">
                  <c:v>6.7326301085793965</c:v>
                </c:pt>
                <c:pt idx="7">
                  <c:v>7.0501409702623654</c:v>
                </c:pt>
                <c:pt idx="8">
                  <c:v>7.2445903480341318</c:v>
                </c:pt>
                <c:pt idx="9">
                  <c:v>7.3100699959472335</c:v>
                </c:pt>
                <c:pt idx="10">
                  <c:v>7.2445903480341318</c:v>
                </c:pt>
                <c:pt idx="11">
                  <c:v>7.0501409702623654</c:v>
                </c:pt>
                <c:pt idx="12">
                  <c:v>6.7326301085793965</c:v>
                </c:pt>
                <c:pt idx="13">
                  <c:v>6.3017051698492139</c:v>
                </c:pt>
                <c:pt idx="14">
                  <c:v>5.7704595902765945</c:v>
                </c:pt>
                <c:pt idx="15">
                  <c:v>5.1550349979736163</c:v>
                </c:pt>
                <c:pt idx="16">
                  <c:v>4.4741307577575382</c:v>
                </c:pt>
                <c:pt idx="17">
                  <c:v>3.7484358004131506</c:v>
                </c:pt>
                <c:pt idx="18">
                  <c:v>3.0000000000000004</c:v>
                </c:pt>
                <c:pt idx="19">
                  <c:v>2.2515641995868485</c:v>
                </c:pt>
                <c:pt idx="20">
                  <c:v>1.5258692422424631</c:v>
                </c:pt>
                <c:pt idx="21">
                  <c:v>0.84496500202638281</c:v>
                </c:pt>
                <c:pt idx="22">
                  <c:v>0.22954040972340595</c:v>
                </c:pt>
                <c:pt idx="23">
                  <c:v>-0.30170516984921392</c:v>
                </c:pt>
                <c:pt idx="24">
                  <c:v>-0.73263010857939559</c:v>
                </c:pt>
                <c:pt idx="25">
                  <c:v>-1.0501409702623654</c:v>
                </c:pt>
                <c:pt idx="26">
                  <c:v>-1.2445903480341318</c:v>
                </c:pt>
                <c:pt idx="27">
                  <c:v>-1.3100699959472335</c:v>
                </c:pt>
                <c:pt idx="28">
                  <c:v>-1.2445903480341318</c:v>
                </c:pt>
                <c:pt idx="29">
                  <c:v>-1.0501409702623654</c:v>
                </c:pt>
                <c:pt idx="30">
                  <c:v>-0.73263010857939648</c:v>
                </c:pt>
                <c:pt idx="31">
                  <c:v>-0.3017051698492148</c:v>
                </c:pt>
                <c:pt idx="32">
                  <c:v>0.22954040972340461</c:v>
                </c:pt>
                <c:pt idx="33">
                  <c:v>0.84496500202638147</c:v>
                </c:pt>
                <c:pt idx="34">
                  <c:v>1.5258692422424633</c:v>
                </c:pt>
                <c:pt idx="35">
                  <c:v>2.2515641995868489</c:v>
                </c:pt>
                <c:pt idx="36">
                  <c:v>2.9999999999999991</c:v>
                </c:pt>
              </c:numCache>
            </c:numRef>
          </c:yVal>
          <c:smooth val="1"/>
          <c:extLst>
            <c:ext xmlns:c16="http://schemas.microsoft.com/office/drawing/2014/chart" uri="{C3380CC4-5D6E-409C-BE32-E72D297353CC}">
              <c16:uniqueId val="{00000000-DA76-4BA7-B6F1-B7254A557817}"/>
            </c:ext>
          </c:extLst>
        </c:ser>
        <c:ser>
          <c:idx val="5"/>
          <c:order val="1"/>
          <c:tx>
            <c:v>dir</c:v>
          </c:tx>
          <c:spPr>
            <a:ln w="6350" cap="rnd">
              <a:solidFill>
                <a:schemeClr val="tx1"/>
              </a:solidFill>
              <a:prstDash val="sysDash"/>
              <a:round/>
            </a:ln>
            <a:effectLst/>
          </c:spPr>
          <c:marker>
            <c:symbol val="none"/>
          </c:marker>
          <c:xVal>
            <c:numRef>
              <c:f>'GearTrain Force'!$CE$1759:$CE$1765</c:f>
              <c:numCache>
                <c:formatCode>General</c:formatCode>
                <c:ptCount val="7"/>
                <c:pt idx="0">
                  <c:v>17.312314457407503</c:v>
                </c:pt>
                <c:pt idx="1">
                  <c:v>16.773555707914099</c:v>
                </c:pt>
                <c:pt idx="2">
                  <c:v>17.171989892593562</c:v>
                </c:pt>
                <c:pt idx="3">
                  <c:v>17.495183596641198</c:v>
                </c:pt>
                <c:pt idx="4">
                  <c:v>17.733316742903426</c:v>
                </c:pt>
                <c:pt idx="5">
                  <c:v>17.879153776232251</c:v>
                </c:pt>
                <c:pt idx="6">
                  <c:v>17.928263512167078</c:v>
                </c:pt>
              </c:numCache>
            </c:numRef>
          </c:xVal>
          <c:yVal>
            <c:numRef>
              <c:f>'GearTrain Force'!$CF$1759:$CF$1765</c:f>
              <c:numCache>
                <c:formatCode>General</c:formatCode>
                <c:ptCount val="7"/>
                <c:pt idx="0">
                  <c:v>-1.5037626880314625E-2</c:v>
                </c:pt>
                <c:pt idx="1">
                  <c:v>0.52372112261308956</c:v>
                </c:pt>
                <c:pt idx="2">
                  <c:v>0.92215530729255457</c:v>
                </c:pt>
                <c:pt idx="3">
                  <c:v>1.3837237515197878</c:v>
                </c:pt>
                <c:pt idx="4">
                  <c:v>1.8944019316818472</c:v>
                </c:pt>
                <c:pt idx="5">
                  <c:v>2.4386731496901368</c:v>
                </c:pt>
                <c:pt idx="6">
                  <c:v>3</c:v>
                </c:pt>
              </c:numCache>
            </c:numRef>
          </c:yVal>
          <c:smooth val="1"/>
          <c:extLst>
            <c:ext xmlns:c16="http://schemas.microsoft.com/office/drawing/2014/chart" uri="{C3380CC4-5D6E-409C-BE32-E72D297353CC}">
              <c16:uniqueId val="{00000001-DA76-4BA7-B6F1-B7254A557817}"/>
            </c:ext>
          </c:extLst>
        </c:ser>
        <c:ser>
          <c:idx val="1"/>
          <c:order val="2"/>
          <c:tx>
            <c:strRef>
              <c:f>'GearTrain Force'!$O$825</c:f>
              <c:strCache>
                <c:ptCount val="1"/>
                <c:pt idx="0">
                  <c:v>Wr_6-7</c:v>
                </c:pt>
              </c:strCache>
            </c:strRef>
          </c:tx>
          <c:spPr>
            <a:ln w="19050" cap="rnd">
              <a:solidFill>
                <a:schemeClr val="accent2"/>
              </a:solidFill>
              <a:round/>
            </a:ln>
            <a:effectLst/>
          </c:spPr>
          <c:marker>
            <c:symbol val="none"/>
          </c:marker>
          <c:xVal>
            <c:numRef>
              <c:f>'GearTrain Force'!$U$825:$V$825</c:f>
              <c:numCache>
                <c:formatCode>General</c:formatCode>
                <c:ptCount val="2"/>
                <c:pt idx="0">
                  <c:v>10.814850495944901</c:v>
                </c:pt>
                <c:pt idx="1">
                  <c:v>9.6459448554819716</c:v>
                </c:pt>
              </c:numCache>
            </c:numRef>
          </c:xVal>
          <c:yVal>
            <c:numRef>
              <c:f>'GearTrain Force'!$W$825:$X$825</c:f>
              <c:numCache>
                <c:formatCode>General</c:formatCode>
                <c:ptCount val="2"/>
                <c:pt idx="0">
                  <c:v>4.875</c:v>
                </c:pt>
                <c:pt idx="1">
                  <c:v>5.4397453870063117</c:v>
                </c:pt>
              </c:numCache>
            </c:numRef>
          </c:yVal>
          <c:smooth val="1"/>
          <c:extLst>
            <c:ext xmlns:c16="http://schemas.microsoft.com/office/drawing/2014/chart" uri="{C3380CC4-5D6E-409C-BE32-E72D297353CC}">
              <c16:uniqueId val="{00000002-DA76-4BA7-B6F1-B7254A557817}"/>
            </c:ext>
          </c:extLst>
        </c:ser>
        <c:ser>
          <c:idx val="3"/>
          <c:order val="3"/>
          <c:tx>
            <c:strRef>
              <c:f>'GearTrain Force'!$Y$825</c:f>
              <c:strCache>
                <c:ptCount val="1"/>
                <c:pt idx="0">
                  <c:v>Wt_6-7</c:v>
                </c:pt>
              </c:strCache>
            </c:strRef>
          </c:tx>
          <c:spPr>
            <a:ln w="19050" cap="rnd">
              <a:solidFill>
                <a:schemeClr val="accent4"/>
              </a:solidFill>
              <a:round/>
            </a:ln>
            <a:effectLst/>
          </c:spPr>
          <c:marker>
            <c:symbol val="none"/>
          </c:marker>
          <c:xVal>
            <c:numRef>
              <c:f>'GearTrain Force'!$AE$825:$AF$825</c:f>
              <c:numCache>
                <c:formatCode>General</c:formatCode>
                <c:ptCount val="2"/>
                <c:pt idx="0">
                  <c:v>10.814850495944901</c:v>
                </c:pt>
                <c:pt idx="1">
                  <c:v>9.408600495944901</c:v>
                </c:pt>
              </c:numCache>
            </c:numRef>
          </c:xVal>
          <c:yVal>
            <c:numRef>
              <c:f>'GearTrain Force'!$AG$825:$AH$825</c:f>
              <c:numCache>
                <c:formatCode>General</c:formatCode>
                <c:ptCount val="2"/>
                <c:pt idx="0">
                  <c:v>4.875</c:v>
                </c:pt>
                <c:pt idx="1">
                  <c:v>1.9643546105536873</c:v>
                </c:pt>
              </c:numCache>
            </c:numRef>
          </c:yVal>
          <c:smooth val="1"/>
          <c:extLst>
            <c:ext xmlns:c16="http://schemas.microsoft.com/office/drawing/2014/chart" uri="{C3380CC4-5D6E-409C-BE32-E72D297353CC}">
              <c16:uniqueId val="{00000003-DA76-4BA7-B6F1-B7254A557817}"/>
            </c:ext>
          </c:extLst>
        </c:ser>
        <c:ser>
          <c:idx val="2"/>
          <c:order val="4"/>
          <c:tx>
            <c:strRef>
              <c:f>'GearTrain Force'!$AI$825</c:f>
              <c:strCache>
                <c:ptCount val="1"/>
                <c:pt idx="0">
                  <c:v>W_6-7 (exclude axial)</c:v>
                </c:pt>
              </c:strCache>
            </c:strRef>
          </c:tx>
          <c:spPr>
            <a:ln w="19050" cap="rnd">
              <a:solidFill>
                <a:srgbClr val="002060"/>
              </a:solidFill>
              <a:round/>
            </a:ln>
            <a:effectLst/>
          </c:spPr>
          <c:marker>
            <c:symbol val="none"/>
          </c:marker>
          <c:xVal>
            <c:numRef>
              <c:f>'GearTrain Force'!$AO$825:$AP$825</c:f>
              <c:numCache>
                <c:formatCode>General</c:formatCode>
                <c:ptCount val="2"/>
                <c:pt idx="0">
                  <c:v>10.814850495944901</c:v>
                </c:pt>
                <c:pt idx="1">
                  <c:v>8.2396948554819716</c:v>
                </c:pt>
              </c:numCache>
            </c:numRef>
          </c:xVal>
          <c:yVal>
            <c:numRef>
              <c:f>'GearTrain Force'!$AQ$825:$AR$825</c:f>
              <c:numCache>
                <c:formatCode>General</c:formatCode>
                <c:ptCount val="2"/>
                <c:pt idx="0">
                  <c:v>4.875</c:v>
                </c:pt>
                <c:pt idx="1">
                  <c:v>2.529099997559999</c:v>
                </c:pt>
              </c:numCache>
            </c:numRef>
          </c:yVal>
          <c:smooth val="1"/>
          <c:extLst>
            <c:ext xmlns:c16="http://schemas.microsoft.com/office/drawing/2014/chart" uri="{C3380CC4-5D6E-409C-BE32-E72D297353CC}">
              <c16:uniqueId val="{00000004-DA76-4BA7-B6F1-B7254A557817}"/>
            </c:ext>
          </c:extLst>
        </c:ser>
        <c:ser>
          <c:idx val="8"/>
          <c:order val="5"/>
          <c:tx>
            <c:strRef>
              <c:f>'GearTrain Force'!$AS$825</c:f>
              <c:strCache>
                <c:ptCount val="1"/>
                <c:pt idx="0">
                  <c:v>W_f7</c:v>
                </c:pt>
              </c:strCache>
            </c:strRef>
          </c:tx>
          <c:spPr>
            <a:ln w="19050" cap="rnd">
              <a:solidFill>
                <a:schemeClr val="accent3">
                  <a:lumMod val="60000"/>
                </a:schemeClr>
              </a:solidFill>
              <a:round/>
            </a:ln>
            <a:effectLst/>
          </c:spPr>
          <c:marker>
            <c:symbol val="none"/>
          </c:marker>
          <c:xVal>
            <c:numRef>
              <c:f>'GearTrain Force'!$AY$825:$AZ$825</c:f>
              <c:numCache>
                <c:formatCode>General</c:formatCode>
                <c:ptCount val="2"/>
                <c:pt idx="0">
                  <c:v>14.695711015206651</c:v>
                </c:pt>
                <c:pt idx="1">
                  <c:v>17.270866655669579</c:v>
                </c:pt>
              </c:numCache>
            </c:numRef>
          </c:xVal>
          <c:yVal>
            <c:numRef>
              <c:f>'GearTrain Force'!$BA$825:$BB$825</c:f>
              <c:numCache>
                <c:formatCode>General</c:formatCode>
                <c:ptCount val="2"/>
                <c:pt idx="0">
                  <c:v>3</c:v>
                </c:pt>
                <c:pt idx="1">
                  <c:v>5.3459000024400005</c:v>
                </c:pt>
              </c:numCache>
            </c:numRef>
          </c:yVal>
          <c:smooth val="1"/>
          <c:extLst xmlns:c15="http://schemas.microsoft.com/office/drawing/2012/chart">
            <c:ext xmlns:c16="http://schemas.microsoft.com/office/drawing/2014/chart" uri="{C3380CC4-5D6E-409C-BE32-E72D297353CC}">
              <c16:uniqueId val="{00000005-DA76-4BA7-B6F1-B7254A557817}"/>
            </c:ext>
          </c:extLst>
        </c:ser>
        <c:dLbls>
          <c:showLegendKey val="0"/>
          <c:showVal val="0"/>
          <c:showCatName val="0"/>
          <c:showSerName val="0"/>
          <c:showPercent val="0"/>
          <c:showBubbleSize val="0"/>
        </c:dLbls>
        <c:axId val="725150128"/>
        <c:axId val="725143896"/>
        <c:extLst/>
      </c:scatterChart>
      <c:valAx>
        <c:axId val="72515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43896"/>
        <c:crosses val="autoZero"/>
        <c:crossBetween val="midCat"/>
      </c:valAx>
      <c:valAx>
        <c:axId val="72514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50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GearTrain Layout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g1</c:v>
          </c:tx>
          <c:spPr>
            <a:ln w="19050" cap="rnd">
              <a:solidFill>
                <a:schemeClr val="accent1"/>
              </a:solidFill>
              <a:round/>
            </a:ln>
            <a:effectLst/>
          </c:spPr>
          <c:marker>
            <c:symbol val="none"/>
          </c:marker>
          <c:xVal>
            <c:numRef>
              <c:f>'GearTrain Force'!$BC$1758:$BC$1794</c:f>
              <c:numCache>
                <c:formatCode>General</c:formatCode>
                <c:ptCount val="37"/>
                <c:pt idx="0">
                  <c:v>0.87350751917863934</c:v>
                </c:pt>
                <c:pt idx="1">
                  <c:v>0.86023697720158399</c:v>
                </c:pt>
                <c:pt idx="2">
                  <c:v>0.82082856997317277</c:v>
                </c:pt>
                <c:pt idx="3">
                  <c:v>0.75647970200542447</c:v>
                </c:pt>
                <c:pt idx="4">
                  <c:v>0.66914558108944078</c:v>
                </c:pt>
                <c:pt idx="5">
                  <c:v>0.56147981029605654</c:v>
                </c:pt>
                <c:pt idx="6">
                  <c:v>0.43675375958931978</c:v>
                </c:pt>
                <c:pt idx="7">
                  <c:v>0.29875716690552762</c:v>
                </c:pt>
                <c:pt idx="8">
                  <c:v>0.151682988883732</c:v>
                </c:pt>
                <c:pt idx="9">
                  <c:v>5.3508819373638589E-17</c:v>
                </c:pt>
                <c:pt idx="10">
                  <c:v>-0.15168298888373188</c:v>
                </c:pt>
                <c:pt idx="11">
                  <c:v>-0.29875716690552756</c:v>
                </c:pt>
                <c:pt idx="12">
                  <c:v>-0.4367537595893195</c:v>
                </c:pt>
                <c:pt idx="13">
                  <c:v>-0.56147981029605654</c:v>
                </c:pt>
                <c:pt idx="14">
                  <c:v>-0.66914558108944067</c:v>
                </c:pt>
                <c:pt idx="15">
                  <c:v>-0.75647970200542447</c:v>
                </c:pt>
                <c:pt idx="16">
                  <c:v>-0.82082856997317266</c:v>
                </c:pt>
                <c:pt idx="17">
                  <c:v>-0.86023697720158399</c:v>
                </c:pt>
                <c:pt idx="18">
                  <c:v>-0.87350751917863934</c:v>
                </c:pt>
                <c:pt idx="19">
                  <c:v>-0.86023697720158399</c:v>
                </c:pt>
                <c:pt idx="20">
                  <c:v>-0.82082856997317277</c:v>
                </c:pt>
                <c:pt idx="21">
                  <c:v>-0.75647970200542436</c:v>
                </c:pt>
                <c:pt idx="22">
                  <c:v>-0.66914558108944078</c:v>
                </c:pt>
                <c:pt idx="23">
                  <c:v>-0.56147981029605665</c:v>
                </c:pt>
                <c:pt idx="24">
                  <c:v>-0.43675375958932006</c:v>
                </c:pt>
                <c:pt idx="25">
                  <c:v>-0.29875716690552739</c:v>
                </c:pt>
                <c:pt idx="26">
                  <c:v>-0.15168298888373191</c:v>
                </c:pt>
                <c:pt idx="27">
                  <c:v>-1.6052645812091576E-16</c:v>
                </c:pt>
                <c:pt idx="28">
                  <c:v>0.15168298888373161</c:v>
                </c:pt>
                <c:pt idx="29">
                  <c:v>0.29875716690552778</c:v>
                </c:pt>
                <c:pt idx="30">
                  <c:v>0.43675375958931978</c:v>
                </c:pt>
                <c:pt idx="31">
                  <c:v>0.56147981029605643</c:v>
                </c:pt>
                <c:pt idx="32">
                  <c:v>0.66914558108944056</c:v>
                </c:pt>
                <c:pt idx="33">
                  <c:v>0.75647970200542414</c:v>
                </c:pt>
                <c:pt idx="34">
                  <c:v>0.82082856997317277</c:v>
                </c:pt>
                <c:pt idx="35">
                  <c:v>0.86023697720158399</c:v>
                </c:pt>
                <c:pt idx="36">
                  <c:v>0.87350751917863934</c:v>
                </c:pt>
              </c:numCache>
            </c:numRef>
          </c:xVal>
          <c:yVal>
            <c:numRef>
              <c:f>'GearTrain Force'!$BD$1758:$BD$1794</c:f>
              <c:numCache>
                <c:formatCode>General</c:formatCode>
                <c:ptCount val="37"/>
                <c:pt idx="0">
                  <c:v>0</c:v>
                </c:pt>
                <c:pt idx="1">
                  <c:v>0.15168298888373191</c:v>
                </c:pt>
                <c:pt idx="2">
                  <c:v>0.29875716690552756</c:v>
                </c:pt>
                <c:pt idx="3">
                  <c:v>0.43675375958931961</c:v>
                </c:pt>
                <c:pt idx="4">
                  <c:v>0.56147981029605643</c:v>
                </c:pt>
                <c:pt idx="5">
                  <c:v>0.66914558108944078</c:v>
                </c:pt>
                <c:pt idx="6">
                  <c:v>0.75647970200542436</c:v>
                </c:pt>
                <c:pt idx="7">
                  <c:v>0.82082856997317266</c:v>
                </c:pt>
                <c:pt idx="8">
                  <c:v>0.86023697720158399</c:v>
                </c:pt>
                <c:pt idx="9">
                  <c:v>0.87350751917863934</c:v>
                </c:pt>
                <c:pt idx="10">
                  <c:v>0.86023697720158399</c:v>
                </c:pt>
                <c:pt idx="11">
                  <c:v>0.82082856997317277</c:v>
                </c:pt>
                <c:pt idx="12">
                  <c:v>0.75647970200542447</c:v>
                </c:pt>
                <c:pt idx="13">
                  <c:v>0.66914558108944078</c:v>
                </c:pt>
                <c:pt idx="14">
                  <c:v>0.56147981029605665</c:v>
                </c:pt>
                <c:pt idx="15">
                  <c:v>0.43675375958931961</c:v>
                </c:pt>
                <c:pt idx="16">
                  <c:v>0.29875716690552767</c:v>
                </c:pt>
                <c:pt idx="17">
                  <c:v>0.15168298888373186</c:v>
                </c:pt>
                <c:pt idx="18">
                  <c:v>1.0701763874727718E-16</c:v>
                </c:pt>
                <c:pt idx="19">
                  <c:v>-0.15168298888373205</c:v>
                </c:pt>
                <c:pt idx="20">
                  <c:v>-0.2987571669055275</c:v>
                </c:pt>
                <c:pt idx="21">
                  <c:v>-0.43675375958931978</c:v>
                </c:pt>
                <c:pt idx="22">
                  <c:v>-0.56147981029605643</c:v>
                </c:pt>
                <c:pt idx="23">
                  <c:v>-0.66914558108944067</c:v>
                </c:pt>
                <c:pt idx="24">
                  <c:v>-0.75647970200542414</c:v>
                </c:pt>
                <c:pt idx="25">
                  <c:v>-0.82082856997317277</c:v>
                </c:pt>
                <c:pt idx="26">
                  <c:v>-0.86023697720158399</c:v>
                </c:pt>
                <c:pt idx="27">
                  <c:v>-0.87350751917863934</c:v>
                </c:pt>
                <c:pt idx="28">
                  <c:v>-0.8602369772015841</c:v>
                </c:pt>
                <c:pt idx="29">
                  <c:v>-0.82082856997317266</c:v>
                </c:pt>
                <c:pt idx="30">
                  <c:v>-0.75647970200542436</c:v>
                </c:pt>
                <c:pt idx="31">
                  <c:v>-0.66914558108944089</c:v>
                </c:pt>
                <c:pt idx="32">
                  <c:v>-0.56147981029605676</c:v>
                </c:pt>
                <c:pt idx="33">
                  <c:v>-0.43675375958932006</c:v>
                </c:pt>
                <c:pt idx="34">
                  <c:v>-0.29875716690552745</c:v>
                </c:pt>
                <c:pt idx="35">
                  <c:v>-0.15168298888373197</c:v>
                </c:pt>
                <c:pt idx="36">
                  <c:v>-2.1403527749455436E-16</c:v>
                </c:pt>
              </c:numCache>
            </c:numRef>
          </c:yVal>
          <c:smooth val="1"/>
          <c:extLst>
            <c:ext xmlns:c16="http://schemas.microsoft.com/office/drawing/2014/chart" uri="{C3380CC4-5D6E-409C-BE32-E72D297353CC}">
              <c16:uniqueId val="{00000000-ED18-44D1-BCFF-EEB44FF0BA88}"/>
            </c:ext>
          </c:extLst>
        </c:ser>
        <c:ser>
          <c:idx val="1"/>
          <c:order val="1"/>
          <c:tx>
            <c:v>g2</c:v>
          </c:tx>
          <c:spPr>
            <a:ln w="19050" cap="rnd">
              <a:solidFill>
                <a:schemeClr val="accent2"/>
              </a:solidFill>
              <a:round/>
            </a:ln>
            <a:effectLst/>
          </c:spPr>
          <c:marker>
            <c:symbol val="none"/>
          </c:marker>
          <c:xVal>
            <c:numRef>
              <c:f>'GearTrain Force'!$BE$1758:$BE$1794</c:f>
              <c:numCache>
                <c:formatCode>General</c:formatCode>
                <c:ptCount val="37"/>
                <c:pt idx="0">
                  <c:v>5.4035534490012678</c:v>
                </c:pt>
                <c:pt idx="1">
                  <c:v>5.3679325205365398</c:v>
                </c:pt>
                <c:pt idx="2">
                  <c:v>5.2621520590286996</c:v>
                </c:pt>
                <c:pt idx="3">
                  <c:v>5.0894261502731641</c:v>
                </c:pt>
                <c:pt idx="4">
                  <c:v>4.8550029836039457</c:v>
                </c:pt>
                <c:pt idx="5">
                  <c:v>4.56600538831644</c:v>
                </c:pt>
                <c:pt idx="6">
                  <c:v>4.23121441010362</c:v>
                </c:pt>
                <c:pt idx="7">
                  <c:v>3.8608025034260729</c:v>
                </c:pt>
                <c:pt idx="8">
                  <c:v>3.4660244466307271</c:v>
                </c:pt>
                <c:pt idx="9">
                  <c:v>3.0588753712059726</c:v>
                </c:pt>
                <c:pt idx="10">
                  <c:v>2.6517262957812187</c:v>
                </c:pt>
                <c:pt idx="11">
                  <c:v>2.2569482389858724</c:v>
                </c:pt>
                <c:pt idx="12">
                  <c:v>1.8865363323083255</c:v>
                </c:pt>
                <c:pt idx="13">
                  <c:v>1.5517453540955051</c:v>
                </c:pt>
                <c:pt idx="14">
                  <c:v>1.2627477588080003</c:v>
                </c:pt>
                <c:pt idx="15">
                  <c:v>1.0283245921387807</c:v>
                </c:pt>
                <c:pt idx="16">
                  <c:v>0.85559868338324607</c:v>
                </c:pt>
                <c:pt idx="17">
                  <c:v>0.74981822187540503</c:v>
                </c:pt>
                <c:pt idx="18">
                  <c:v>0.7141972934106775</c:v>
                </c:pt>
                <c:pt idx="19">
                  <c:v>0.74981822187540503</c:v>
                </c:pt>
                <c:pt idx="20">
                  <c:v>0.85559868338324563</c:v>
                </c:pt>
                <c:pt idx="21">
                  <c:v>1.0283245921387807</c:v>
                </c:pt>
                <c:pt idx="22">
                  <c:v>1.2627477588080001</c:v>
                </c:pt>
                <c:pt idx="23">
                  <c:v>1.5517453540955048</c:v>
                </c:pt>
                <c:pt idx="24">
                  <c:v>1.886536332308324</c:v>
                </c:pt>
                <c:pt idx="25">
                  <c:v>2.2569482389858728</c:v>
                </c:pt>
                <c:pt idx="26">
                  <c:v>2.6517262957812187</c:v>
                </c:pt>
                <c:pt idx="27">
                  <c:v>3.0588753712059722</c:v>
                </c:pt>
                <c:pt idx="28">
                  <c:v>3.4660244466307257</c:v>
                </c:pt>
                <c:pt idx="29">
                  <c:v>3.8608025034260738</c:v>
                </c:pt>
                <c:pt idx="30">
                  <c:v>4.23121441010362</c:v>
                </c:pt>
                <c:pt idx="31">
                  <c:v>4.56600538831644</c:v>
                </c:pt>
                <c:pt idx="32">
                  <c:v>4.8550029836039448</c:v>
                </c:pt>
                <c:pt idx="33">
                  <c:v>5.0894261502731641</c:v>
                </c:pt>
                <c:pt idx="34">
                  <c:v>5.2621520590286996</c:v>
                </c:pt>
                <c:pt idx="35">
                  <c:v>5.3679325205365398</c:v>
                </c:pt>
                <c:pt idx="36">
                  <c:v>5.4035534490012678</c:v>
                </c:pt>
              </c:numCache>
            </c:numRef>
          </c:xVal>
          <c:yVal>
            <c:numRef>
              <c:f>'GearTrain Force'!$BF$1758:$BF$1794</c:f>
              <c:numCache>
                <c:formatCode>General</c:formatCode>
                <c:ptCount val="37"/>
                <c:pt idx="0">
                  <c:v>1</c:v>
                </c:pt>
                <c:pt idx="1">
                  <c:v>1.407149075424754</c:v>
                </c:pt>
                <c:pt idx="2">
                  <c:v>1.8019271322201003</c:v>
                </c:pt>
                <c:pt idx="3">
                  <c:v>2.1723390388976473</c:v>
                </c:pt>
                <c:pt idx="4">
                  <c:v>2.5071300171104673</c:v>
                </c:pt>
                <c:pt idx="5">
                  <c:v>2.7961276123979726</c:v>
                </c:pt>
                <c:pt idx="6">
                  <c:v>3.0305507790671919</c:v>
                </c:pt>
                <c:pt idx="7">
                  <c:v>3.2032766878227266</c:v>
                </c:pt>
                <c:pt idx="8">
                  <c:v>3.3090571493305676</c:v>
                </c:pt>
                <c:pt idx="9">
                  <c:v>3.3446780777952951</c:v>
                </c:pt>
                <c:pt idx="10">
                  <c:v>3.3090571493305676</c:v>
                </c:pt>
                <c:pt idx="11">
                  <c:v>3.203276687822727</c:v>
                </c:pt>
                <c:pt idx="12">
                  <c:v>3.0305507790671919</c:v>
                </c:pt>
                <c:pt idx="13">
                  <c:v>2.7961276123979726</c:v>
                </c:pt>
                <c:pt idx="14">
                  <c:v>2.5071300171104678</c:v>
                </c:pt>
                <c:pt idx="15">
                  <c:v>2.1723390388976473</c:v>
                </c:pt>
                <c:pt idx="16">
                  <c:v>1.8019271322201007</c:v>
                </c:pt>
                <c:pt idx="17">
                  <c:v>1.407149075424754</c:v>
                </c:pt>
                <c:pt idx="18">
                  <c:v>1.0000000000000002</c:v>
                </c:pt>
                <c:pt idx="19">
                  <c:v>0.59285092457524557</c:v>
                </c:pt>
                <c:pt idx="20">
                  <c:v>0.19807286777989985</c:v>
                </c:pt>
                <c:pt idx="21">
                  <c:v>-0.17233903889764779</c:v>
                </c:pt>
                <c:pt idx="22">
                  <c:v>-0.50713001711046735</c:v>
                </c:pt>
                <c:pt idx="23">
                  <c:v>-0.79612761239797236</c:v>
                </c:pt>
                <c:pt idx="24">
                  <c:v>-1.0305507790671915</c:v>
                </c:pt>
                <c:pt idx="25">
                  <c:v>-1.203276687822727</c:v>
                </c:pt>
                <c:pt idx="26">
                  <c:v>-1.3090571493305676</c:v>
                </c:pt>
                <c:pt idx="27">
                  <c:v>-1.3446780777952951</c:v>
                </c:pt>
                <c:pt idx="28">
                  <c:v>-1.309057149330568</c:v>
                </c:pt>
                <c:pt idx="29">
                  <c:v>-1.2032766878227266</c:v>
                </c:pt>
                <c:pt idx="30">
                  <c:v>-1.0305507790671919</c:v>
                </c:pt>
                <c:pt idx="31">
                  <c:v>-0.79612761239797303</c:v>
                </c:pt>
                <c:pt idx="32">
                  <c:v>-0.50713001711046801</c:v>
                </c:pt>
                <c:pt idx="33">
                  <c:v>-0.17233903889764868</c:v>
                </c:pt>
                <c:pt idx="34">
                  <c:v>0.19807286777989996</c:v>
                </c:pt>
                <c:pt idx="35">
                  <c:v>0.5928509245752458</c:v>
                </c:pt>
                <c:pt idx="36">
                  <c:v>0.99999999999999944</c:v>
                </c:pt>
              </c:numCache>
            </c:numRef>
          </c:yVal>
          <c:smooth val="1"/>
          <c:extLst>
            <c:ext xmlns:c16="http://schemas.microsoft.com/office/drawing/2014/chart" uri="{C3380CC4-5D6E-409C-BE32-E72D297353CC}">
              <c16:uniqueId val="{00000001-ED18-44D1-BCFF-EEB44FF0BA88}"/>
            </c:ext>
          </c:extLst>
        </c:ser>
        <c:ser>
          <c:idx val="2"/>
          <c:order val="2"/>
          <c:tx>
            <c:v>g3</c:v>
          </c:tx>
          <c:spPr>
            <a:ln w="19050" cap="rnd">
              <a:solidFill>
                <a:schemeClr val="accent3"/>
              </a:solidFill>
              <a:round/>
            </a:ln>
            <a:effectLst/>
          </c:spPr>
          <c:marker>
            <c:symbol val="none"/>
          </c:marker>
          <c:xVal>
            <c:numRef>
              <c:f>'GearTrain Force'!$BG$1758:$BG$1794</c:f>
              <c:numCache>
                <c:formatCode>General</c:formatCode>
                <c:ptCount val="37"/>
                <c:pt idx="0">
                  <c:v>3.6450448906547965</c:v>
                </c:pt>
                <c:pt idx="1">
                  <c:v>3.6361396585386148</c:v>
                </c:pt>
                <c:pt idx="2">
                  <c:v>3.6096945431616545</c:v>
                </c:pt>
                <c:pt idx="3">
                  <c:v>3.5665130659727708</c:v>
                </c:pt>
                <c:pt idx="4">
                  <c:v>3.5079072743054658</c:v>
                </c:pt>
                <c:pt idx="5">
                  <c:v>3.4356578754835896</c:v>
                </c:pt>
                <c:pt idx="6">
                  <c:v>3.3519601309303848</c:v>
                </c:pt>
                <c:pt idx="7">
                  <c:v>3.2593571542609978</c:v>
                </c:pt>
                <c:pt idx="8">
                  <c:v>3.1606626400621614</c:v>
                </c:pt>
                <c:pt idx="9">
                  <c:v>3.0588753712059726</c:v>
                </c:pt>
                <c:pt idx="10">
                  <c:v>2.9570881023497839</c:v>
                </c:pt>
                <c:pt idx="11">
                  <c:v>2.8583935881509475</c:v>
                </c:pt>
                <c:pt idx="12">
                  <c:v>2.7657906114815609</c:v>
                </c:pt>
                <c:pt idx="13">
                  <c:v>2.6820928669283557</c:v>
                </c:pt>
                <c:pt idx="14">
                  <c:v>2.6098434681064795</c:v>
                </c:pt>
                <c:pt idx="15">
                  <c:v>2.5512376764391744</c:v>
                </c:pt>
                <c:pt idx="16">
                  <c:v>2.5080561992502908</c:v>
                </c:pt>
                <c:pt idx="17">
                  <c:v>2.4816110838733305</c:v>
                </c:pt>
                <c:pt idx="18">
                  <c:v>2.4727058517571487</c:v>
                </c:pt>
                <c:pt idx="19">
                  <c:v>2.4816110838733305</c:v>
                </c:pt>
                <c:pt idx="20">
                  <c:v>2.5080561992502908</c:v>
                </c:pt>
                <c:pt idx="21">
                  <c:v>2.5512376764391744</c:v>
                </c:pt>
                <c:pt idx="22">
                  <c:v>2.6098434681064795</c:v>
                </c:pt>
                <c:pt idx="23">
                  <c:v>2.6820928669283557</c:v>
                </c:pt>
                <c:pt idx="24">
                  <c:v>2.7657906114815605</c:v>
                </c:pt>
                <c:pt idx="25">
                  <c:v>2.8583935881509479</c:v>
                </c:pt>
                <c:pt idx="26">
                  <c:v>2.9570881023497839</c:v>
                </c:pt>
                <c:pt idx="27">
                  <c:v>3.0588753712059726</c:v>
                </c:pt>
                <c:pt idx="28">
                  <c:v>3.1606626400621609</c:v>
                </c:pt>
                <c:pt idx="29">
                  <c:v>3.2593571542609978</c:v>
                </c:pt>
                <c:pt idx="30">
                  <c:v>3.3519601309303848</c:v>
                </c:pt>
                <c:pt idx="31">
                  <c:v>3.4356578754835896</c:v>
                </c:pt>
                <c:pt idx="32">
                  <c:v>3.5079072743054658</c:v>
                </c:pt>
                <c:pt idx="33">
                  <c:v>3.5665130659727704</c:v>
                </c:pt>
                <c:pt idx="34">
                  <c:v>3.6096945431616545</c:v>
                </c:pt>
                <c:pt idx="35">
                  <c:v>3.6361396585386148</c:v>
                </c:pt>
                <c:pt idx="36">
                  <c:v>3.6450448906547965</c:v>
                </c:pt>
              </c:numCache>
            </c:numRef>
          </c:xVal>
          <c:yVal>
            <c:numRef>
              <c:f>'GearTrain Force'!$BH$1758:$BH$1794</c:f>
              <c:numCache>
                <c:formatCode>General</c:formatCode>
                <c:ptCount val="37"/>
                <c:pt idx="0">
                  <c:v>1</c:v>
                </c:pt>
                <c:pt idx="1">
                  <c:v>1.1017872688561885</c:v>
                </c:pt>
                <c:pt idx="2">
                  <c:v>1.2004817830550252</c:v>
                </c:pt>
                <c:pt idx="3">
                  <c:v>1.2930847597244117</c:v>
                </c:pt>
                <c:pt idx="4">
                  <c:v>1.3767825042776169</c:v>
                </c:pt>
                <c:pt idx="5">
                  <c:v>1.4490319030994931</c:v>
                </c:pt>
                <c:pt idx="6">
                  <c:v>1.507637694766798</c:v>
                </c:pt>
                <c:pt idx="7">
                  <c:v>1.5508191719556816</c:v>
                </c:pt>
                <c:pt idx="8">
                  <c:v>1.5772642873326419</c:v>
                </c:pt>
                <c:pt idx="9">
                  <c:v>1.5861695194488239</c:v>
                </c:pt>
                <c:pt idx="10">
                  <c:v>1.5772642873326419</c:v>
                </c:pt>
                <c:pt idx="11">
                  <c:v>1.5508191719556819</c:v>
                </c:pt>
                <c:pt idx="12">
                  <c:v>1.507637694766798</c:v>
                </c:pt>
                <c:pt idx="13">
                  <c:v>1.4490319030994931</c:v>
                </c:pt>
                <c:pt idx="14">
                  <c:v>1.3767825042776169</c:v>
                </c:pt>
                <c:pt idx="15">
                  <c:v>1.2930847597244117</c:v>
                </c:pt>
                <c:pt idx="16">
                  <c:v>1.2004817830550252</c:v>
                </c:pt>
                <c:pt idx="17">
                  <c:v>1.1017872688561885</c:v>
                </c:pt>
                <c:pt idx="18">
                  <c:v>1</c:v>
                </c:pt>
                <c:pt idx="19">
                  <c:v>0.89821273114381139</c:v>
                </c:pt>
                <c:pt idx="20">
                  <c:v>0.79951821694497494</c:v>
                </c:pt>
                <c:pt idx="21">
                  <c:v>0.70691524027558805</c:v>
                </c:pt>
                <c:pt idx="22">
                  <c:v>0.62321749572238316</c:v>
                </c:pt>
                <c:pt idx="23">
                  <c:v>0.55096809690050685</c:v>
                </c:pt>
                <c:pt idx="24">
                  <c:v>0.49236230523320212</c:v>
                </c:pt>
                <c:pt idx="25">
                  <c:v>0.44918082804431825</c:v>
                </c:pt>
                <c:pt idx="26">
                  <c:v>0.4227357126673581</c:v>
                </c:pt>
                <c:pt idx="27">
                  <c:v>0.41383048055117622</c:v>
                </c:pt>
                <c:pt idx="28">
                  <c:v>0.42273571266735799</c:v>
                </c:pt>
                <c:pt idx="29">
                  <c:v>0.44918082804431836</c:v>
                </c:pt>
                <c:pt idx="30">
                  <c:v>0.49236230523320201</c:v>
                </c:pt>
                <c:pt idx="31">
                  <c:v>0.55096809690050674</c:v>
                </c:pt>
                <c:pt idx="32">
                  <c:v>0.62321749572238305</c:v>
                </c:pt>
                <c:pt idx="33">
                  <c:v>0.70691524027558783</c:v>
                </c:pt>
                <c:pt idx="34">
                  <c:v>0.79951821694497505</c:v>
                </c:pt>
                <c:pt idx="35">
                  <c:v>0.89821273114381139</c:v>
                </c:pt>
                <c:pt idx="36">
                  <c:v>0.99999999999999989</c:v>
                </c:pt>
              </c:numCache>
            </c:numRef>
          </c:yVal>
          <c:smooth val="1"/>
          <c:extLst>
            <c:ext xmlns:c16="http://schemas.microsoft.com/office/drawing/2014/chart" uri="{C3380CC4-5D6E-409C-BE32-E72D297353CC}">
              <c16:uniqueId val="{00000002-ED18-44D1-BCFF-EEB44FF0BA88}"/>
            </c:ext>
          </c:extLst>
        </c:ser>
        <c:ser>
          <c:idx val="3"/>
          <c:order val="3"/>
          <c:tx>
            <c:v>g4</c:v>
          </c:tx>
          <c:spPr>
            <a:ln w="19050" cap="rnd">
              <a:solidFill>
                <a:schemeClr val="accent4"/>
              </a:solidFill>
              <a:round/>
            </a:ln>
            <a:effectLst/>
          </c:spPr>
          <c:marker>
            <c:symbol val="none"/>
          </c:marker>
          <c:xVal>
            <c:numRef>
              <c:f>'GearTrain Force'!$BI$1758:$BI$1794</c:f>
              <c:numCache>
                <c:formatCode>General</c:formatCode>
                <c:ptCount val="37"/>
                <c:pt idx="0">
                  <c:v>3.6010911362014539</c:v>
                </c:pt>
                <c:pt idx="1">
                  <c:v>3.5796138116859564</c:v>
                </c:pt>
                <c:pt idx="2">
                  <c:v>3.5158344157768173</c:v>
                </c:pt>
                <c:pt idx="3">
                  <c:v>3.4116908531448034</c:v>
                </c:pt>
                <c:pt idx="4">
                  <c:v>3.2703474732413031</c:v>
                </c:pt>
                <c:pt idx="5">
                  <c:v>3.0960989231414842</c:v>
                </c:pt>
                <c:pt idx="6">
                  <c:v>2.8942396568661075</c:v>
                </c:pt>
                <c:pt idx="7">
                  <c:v>2.6709030660752333</c:v>
                </c:pt>
                <c:pt idx="8">
                  <c:v>2.4328751200662748</c:v>
                </c:pt>
                <c:pt idx="9">
                  <c:v>2.1873881775307611</c:v>
                </c:pt>
                <c:pt idx="10">
                  <c:v>1.9419012349952476</c:v>
                </c:pt>
                <c:pt idx="11">
                  <c:v>1.7038732889862889</c:v>
                </c:pt>
                <c:pt idx="12">
                  <c:v>1.4805366981954151</c:v>
                </c:pt>
                <c:pt idx="13">
                  <c:v>1.278677431920038</c:v>
                </c:pt>
                <c:pt idx="14">
                  <c:v>1.104428881820219</c:v>
                </c:pt>
                <c:pt idx="15">
                  <c:v>0.96308550191671882</c:v>
                </c:pt>
                <c:pt idx="16">
                  <c:v>0.8589419392847053</c:v>
                </c:pt>
                <c:pt idx="17">
                  <c:v>0.7951625433755658</c:v>
                </c:pt>
                <c:pt idx="18">
                  <c:v>0.77368521886006847</c:v>
                </c:pt>
                <c:pt idx="19">
                  <c:v>0.7951625433755658</c:v>
                </c:pt>
                <c:pt idx="20">
                  <c:v>0.85894193928470508</c:v>
                </c:pt>
                <c:pt idx="21">
                  <c:v>0.96308550191671904</c:v>
                </c:pt>
                <c:pt idx="22">
                  <c:v>1.1044288818202188</c:v>
                </c:pt>
                <c:pt idx="23">
                  <c:v>1.278677431920038</c:v>
                </c:pt>
                <c:pt idx="24">
                  <c:v>1.4805366981954142</c:v>
                </c:pt>
                <c:pt idx="25">
                  <c:v>1.7038732889862891</c:v>
                </c:pt>
                <c:pt idx="26">
                  <c:v>1.9419012349952476</c:v>
                </c:pt>
                <c:pt idx="27">
                  <c:v>2.1873881775307606</c:v>
                </c:pt>
                <c:pt idx="28">
                  <c:v>2.4328751200662739</c:v>
                </c:pt>
                <c:pt idx="29">
                  <c:v>2.6709030660752338</c:v>
                </c:pt>
                <c:pt idx="30">
                  <c:v>2.8942396568661075</c:v>
                </c:pt>
                <c:pt idx="31">
                  <c:v>3.0960989231414837</c:v>
                </c:pt>
                <c:pt idx="32">
                  <c:v>3.2703474732413031</c:v>
                </c:pt>
                <c:pt idx="33">
                  <c:v>3.4116908531448029</c:v>
                </c:pt>
                <c:pt idx="34">
                  <c:v>3.5158344157768173</c:v>
                </c:pt>
                <c:pt idx="35">
                  <c:v>3.5796138116859564</c:v>
                </c:pt>
                <c:pt idx="36">
                  <c:v>3.6010911362014539</c:v>
                </c:pt>
              </c:numCache>
            </c:numRef>
          </c:xVal>
          <c:yVal>
            <c:numRef>
              <c:f>'GearTrain Force'!$BJ$1758:$BJ$1794</c:f>
              <c:numCache>
                <c:formatCode>General</c:formatCode>
                <c:ptCount val="37"/>
                <c:pt idx="0">
                  <c:v>2.8</c:v>
                </c:pt>
                <c:pt idx="1">
                  <c:v>3.0454869425355131</c:v>
                </c:pt>
                <c:pt idx="2">
                  <c:v>3.283514888544472</c:v>
                </c:pt>
                <c:pt idx="3">
                  <c:v>3.5068514793353458</c:v>
                </c:pt>
                <c:pt idx="4">
                  <c:v>3.7087107456107224</c:v>
                </c:pt>
                <c:pt idx="5">
                  <c:v>3.8829592957105419</c:v>
                </c:pt>
                <c:pt idx="6">
                  <c:v>4.0243026756140416</c:v>
                </c:pt>
                <c:pt idx="7">
                  <c:v>4.1284462382460561</c:v>
                </c:pt>
                <c:pt idx="8">
                  <c:v>4.1922256341551947</c:v>
                </c:pt>
                <c:pt idx="9">
                  <c:v>4.2137029586706927</c:v>
                </c:pt>
                <c:pt idx="10">
                  <c:v>4.1922256341551947</c:v>
                </c:pt>
                <c:pt idx="11">
                  <c:v>4.1284462382460561</c:v>
                </c:pt>
                <c:pt idx="12">
                  <c:v>4.0243026756140416</c:v>
                </c:pt>
                <c:pt idx="13">
                  <c:v>3.8829592957105419</c:v>
                </c:pt>
                <c:pt idx="14">
                  <c:v>3.7087107456107229</c:v>
                </c:pt>
                <c:pt idx="15">
                  <c:v>3.5068514793353458</c:v>
                </c:pt>
                <c:pt idx="16">
                  <c:v>3.283514888544472</c:v>
                </c:pt>
                <c:pt idx="17">
                  <c:v>3.0454869425355131</c:v>
                </c:pt>
                <c:pt idx="18">
                  <c:v>2.8</c:v>
                </c:pt>
                <c:pt idx="19">
                  <c:v>2.5545130574644861</c:v>
                </c:pt>
                <c:pt idx="20">
                  <c:v>2.3164851114555276</c:v>
                </c:pt>
                <c:pt idx="21">
                  <c:v>2.0931485206646534</c:v>
                </c:pt>
                <c:pt idx="22">
                  <c:v>1.891289254389277</c:v>
                </c:pt>
                <c:pt idx="23">
                  <c:v>1.7170407042894578</c:v>
                </c:pt>
                <c:pt idx="24">
                  <c:v>1.575697324385958</c:v>
                </c:pt>
                <c:pt idx="25">
                  <c:v>1.4715537617539438</c:v>
                </c:pt>
                <c:pt idx="26">
                  <c:v>1.4077743658448045</c:v>
                </c:pt>
                <c:pt idx="27">
                  <c:v>1.3862970413293072</c:v>
                </c:pt>
                <c:pt idx="28">
                  <c:v>1.4077743658448045</c:v>
                </c:pt>
                <c:pt idx="29">
                  <c:v>1.471553761753944</c:v>
                </c:pt>
                <c:pt idx="30">
                  <c:v>1.5756973243859578</c:v>
                </c:pt>
                <c:pt idx="31">
                  <c:v>1.7170407042894573</c:v>
                </c:pt>
                <c:pt idx="32">
                  <c:v>1.8912892543892763</c:v>
                </c:pt>
                <c:pt idx="33">
                  <c:v>2.093148520664653</c:v>
                </c:pt>
                <c:pt idx="34">
                  <c:v>2.3164851114555276</c:v>
                </c:pt>
                <c:pt idx="35">
                  <c:v>2.5545130574644861</c:v>
                </c:pt>
                <c:pt idx="36">
                  <c:v>2.7999999999999994</c:v>
                </c:pt>
              </c:numCache>
            </c:numRef>
          </c:yVal>
          <c:smooth val="1"/>
          <c:extLst>
            <c:ext xmlns:c16="http://schemas.microsoft.com/office/drawing/2014/chart" uri="{C3380CC4-5D6E-409C-BE32-E72D297353CC}">
              <c16:uniqueId val="{00000003-ED18-44D1-BCFF-EEB44FF0BA88}"/>
            </c:ext>
          </c:extLst>
        </c:ser>
        <c:ser>
          <c:idx val="4"/>
          <c:order val="4"/>
          <c:tx>
            <c:v>g5</c:v>
          </c:tx>
          <c:spPr>
            <a:ln w="19050" cap="rnd">
              <a:solidFill>
                <a:schemeClr val="accent5"/>
              </a:solidFill>
              <a:round/>
            </a:ln>
            <a:effectLst/>
          </c:spPr>
          <c:marker>
            <c:symbol val="none"/>
          </c:marker>
          <c:xVal>
            <c:numRef>
              <c:f>'GearTrain Force'!$BK$1758:$BK$1794</c:f>
              <c:numCache>
                <c:formatCode>General</c:formatCode>
                <c:ptCount val="37"/>
                <c:pt idx="0">
                  <c:v>8.1684006754897389</c:v>
                </c:pt>
                <c:pt idx="1">
                  <c:v>8.1327797470250118</c:v>
                </c:pt>
                <c:pt idx="2">
                  <c:v>8.0269992855171708</c:v>
                </c:pt>
                <c:pt idx="3">
                  <c:v>7.8542733767616362</c:v>
                </c:pt>
                <c:pt idx="4">
                  <c:v>7.6198502100924168</c:v>
                </c:pt>
                <c:pt idx="5">
                  <c:v>7.330852614804912</c:v>
                </c:pt>
                <c:pt idx="6">
                  <c:v>6.996061636592092</c:v>
                </c:pt>
                <c:pt idx="7">
                  <c:v>6.6256497299145449</c:v>
                </c:pt>
                <c:pt idx="8">
                  <c:v>6.2308716731191982</c:v>
                </c:pt>
                <c:pt idx="9">
                  <c:v>5.8237225976944442</c:v>
                </c:pt>
                <c:pt idx="10">
                  <c:v>5.4165735222696902</c:v>
                </c:pt>
                <c:pt idx="11">
                  <c:v>5.0217954654743444</c:v>
                </c:pt>
                <c:pt idx="12">
                  <c:v>4.6513835587967973</c:v>
                </c:pt>
                <c:pt idx="13">
                  <c:v>4.3165925805839764</c:v>
                </c:pt>
                <c:pt idx="14">
                  <c:v>4.0275949852964716</c:v>
                </c:pt>
                <c:pt idx="15">
                  <c:v>3.7931718186272523</c:v>
                </c:pt>
                <c:pt idx="16">
                  <c:v>3.6204459098717177</c:v>
                </c:pt>
                <c:pt idx="17">
                  <c:v>3.5146654483638766</c:v>
                </c:pt>
                <c:pt idx="18">
                  <c:v>3.4790445198991491</c:v>
                </c:pt>
                <c:pt idx="19">
                  <c:v>3.5146654483638766</c:v>
                </c:pt>
                <c:pt idx="20">
                  <c:v>3.6204459098717172</c:v>
                </c:pt>
                <c:pt idx="21">
                  <c:v>3.7931718186272523</c:v>
                </c:pt>
                <c:pt idx="22">
                  <c:v>4.0275949852964716</c:v>
                </c:pt>
                <c:pt idx="23">
                  <c:v>4.3165925805839764</c:v>
                </c:pt>
                <c:pt idx="24">
                  <c:v>4.6513835587967955</c:v>
                </c:pt>
                <c:pt idx="25">
                  <c:v>5.0217954654743444</c:v>
                </c:pt>
                <c:pt idx="26">
                  <c:v>5.4165735222696902</c:v>
                </c:pt>
                <c:pt idx="27">
                  <c:v>5.8237225976944442</c:v>
                </c:pt>
                <c:pt idx="28">
                  <c:v>6.2308716731191973</c:v>
                </c:pt>
                <c:pt idx="29">
                  <c:v>6.6256497299145449</c:v>
                </c:pt>
                <c:pt idx="30">
                  <c:v>6.996061636592092</c:v>
                </c:pt>
                <c:pt idx="31">
                  <c:v>7.3308526148049111</c:v>
                </c:pt>
                <c:pt idx="32">
                  <c:v>7.6198502100924159</c:v>
                </c:pt>
                <c:pt idx="33">
                  <c:v>7.8542733767616362</c:v>
                </c:pt>
                <c:pt idx="34">
                  <c:v>8.0269992855171708</c:v>
                </c:pt>
                <c:pt idx="35">
                  <c:v>8.1327797470250118</c:v>
                </c:pt>
                <c:pt idx="36">
                  <c:v>8.1684006754897389</c:v>
                </c:pt>
              </c:numCache>
            </c:numRef>
          </c:xVal>
          <c:yVal>
            <c:numRef>
              <c:f>'GearTrain Force'!$BL$1758:$BL$1794</c:f>
              <c:numCache>
                <c:formatCode>General</c:formatCode>
                <c:ptCount val="37"/>
                <c:pt idx="0">
                  <c:v>1.85</c:v>
                </c:pt>
                <c:pt idx="1">
                  <c:v>2.2571490754247541</c:v>
                </c:pt>
                <c:pt idx="2">
                  <c:v>2.6519271322201003</c:v>
                </c:pt>
                <c:pt idx="3">
                  <c:v>3.0223390388976474</c:v>
                </c:pt>
                <c:pt idx="4">
                  <c:v>3.3571300171104674</c:v>
                </c:pt>
                <c:pt idx="5">
                  <c:v>3.6461276123979727</c:v>
                </c:pt>
                <c:pt idx="6">
                  <c:v>3.880550779067192</c:v>
                </c:pt>
                <c:pt idx="7">
                  <c:v>4.0532766878227271</c:v>
                </c:pt>
                <c:pt idx="8">
                  <c:v>4.1590571493305681</c:v>
                </c:pt>
                <c:pt idx="9">
                  <c:v>4.1946780777952952</c:v>
                </c:pt>
                <c:pt idx="10">
                  <c:v>4.1590571493305681</c:v>
                </c:pt>
                <c:pt idx="11">
                  <c:v>4.0532766878227271</c:v>
                </c:pt>
                <c:pt idx="12">
                  <c:v>3.880550779067192</c:v>
                </c:pt>
                <c:pt idx="13">
                  <c:v>3.6461276123979727</c:v>
                </c:pt>
                <c:pt idx="14">
                  <c:v>3.3571300171104679</c:v>
                </c:pt>
                <c:pt idx="15">
                  <c:v>3.0223390388976474</c:v>
                </c:pt>
                <c:pt idx="16">
                  <c:v>2.6519271322201008</c:v>
                </c:pt>
                <c:pt idx="17">
                  <c:v>2.2571490754247541</c:v>
                </c:pt>
                <c:pt idx="18">
                  <c:v>1.8500000000000003</c:v>
                </c:pt>
                <c:pt idx="19">
                  <c:v>1.4428509245752457</c:v>
                </c:pt>
                <c:pt idx="20">
                  <c:v>1.0480728677798998</c:v>
                </c:pt>
                <c:pt idx="21">
                  <c:v>0.6776609611023523</c:v>
                </c:pt>
                <c:pt idx="22">
                  <c:v>0.34286998288953274</c:v>
                </c:pt>
                <c:pt idx="23">
                  <c:v>5.3872387602027727E-2</c:v>
                </c:pt>
                <c:pt idx="24">
                  <c:v>-0.18055077906719141</c:v>
                </c:pt>
                <c:pt idx="25">
                  <c:v>-0.35327668782272692</c:v>
                </c:pt>
                <c:pt idx="26">
                  <c:v>-0.45905714933056752</c:v>
                </c:pt>
                <c:pt idx="27">
                  <c:v>-0.49467807779529505</c:v>
                </c:pt>
                <c:pt idx="28">
                  <c:v>-0.45905714933056796</c:v>
                </c:pt>
                <c:pt idx="29">
                  <c:v>-0.35327668782272648</c:v>
                </c:pt>
                <c:pt idx="30">
                  <c:v>-0.18055077906719186</c:v>
                </c:pt>
                <c:pt idx="31">
                  <c:v>5.3872387602027061E-2</c:v>
                </c:pt>
                <c:pt idx="32">
                  <c:v>0.34286998288953208</c:v>
                </c:pt>
                <c:pt idx="33">
                  <c:v>0.67766096110235141</c:v>
                </c:pt>
                <c:pt idx="34">
                  <c:v>1.0480728677799001</c:v>
                </c:pt>
                <c:pt idx="35">
                  <c:v>1.4428509245752459</c:v>
                </c:pt>
                <c:pt idx="36">
                  <c:v>1.8499999999999994</c:v>
                </c:pt>
              </c:numCache>
            </c:numRef>
          </c:yVal>
          <c:smooth val="1"/>
          <c:extLst>
            <c:ext xmlns:c16="http://schemas.microsoft.com/office/drawing/2014/chart" uri="{C3380CC4-5D6E-409C-BE32-E72D297353CC}">
              <c16:uniqueId val="{00000004-ED18-44D1-BCFF-EEB44FF0BA88}"/>
            </c:ext>
          </c:extLst>
        </c:ser>
        <c:ser>
          <c:idx val="5"/>
          <c:order val="5"/>
          <c:tx>
            <c:v>g6</c:v>
          </c:tx>
          <c:spPr>
            <a:ln w="19050" cap="rnd">
              <a:solidFill>
                <a:schemeClr val="accent6"/>
              </a:solidFill>
              <a:round/>
            </a:ln>
            <a:effectLst/>
          </c:spPr>
          <c:marker>
            <c:symbol val="none"/>
          </c:marker>
          <c:xVal>
            <c:numRef>
              <c:f>'GearTrain Force'!$BM$1758:$BM$1794</c:f>
              <c:numCache>
                <c:formatCode>General</c:formatCode>
                <c:ptCount val="37"/>
                <c:pt idx="0">
                  <c:v>11.072376181956191</c:v>
                </c:pt>
                <c:pt idx="1">
                  <c:v>11.033088393208329</c:v>
                </c:pt>
                <c:pt idx="2">
                  <c:v>10.91641876654527</c:v>
                </c:pt>
                <c:pt idx="3">
                  <c:v>10.725912249535488</c:v>
                </c:pt>
                <c:pt idx="4">
                  <c:v>10.467357286297378</c:v>
                </c:pt>
                <c:pt idx="5">
                  <c:v>10.148609938553808</c:v>
                </c:pt>
                <c:pt idx="6">
                  <c:v>9.7793551831720205</c:v>
                </c:pt>
                <c:pt idx="7">
                  <c:v>9.3708126390423736</c:v>
                </c:pt>
                <c:pt idx="8">
                  <c:v>8.9353956646357418</c:v>
                </c:pt>
                <c:pt idx="9">
                  <c:v>8.4863341843878501</c:v>
                </c:pt>
                <c:pt idx="10">
                  <c:v>8.0372727041399603</c:v>
                </c:pt>
                <c:pt idx="11">
                  <c:v>7.6018557297333276</c:v>
                </c:pt>
                <c:pt idx="12">
                  <c:v>7.1933131856036807</c:v>
                </c:pt>
                <c:pt idx="13">
                  <c:v>6.8240584302218936</c:v>
                </c:pt>
                <c:pt idx="14">
                  <c:v>6.5053110824783218</c:v>
                </c:pt>
                <c:pt idx="15">
                  <c:v>6.2467561192402119</c:v>
                </c:pt>
                <c:pt idx="16">
                  <c:v>6.0562496022304311</c:v>
                </c:pt>
                <c:pt idx="17">
                  <c:v>5.9395799755673711</c:v>
                </c:pt>
                <c:pt idx="18">
                  <c:v>5.9002921868195095</c:v>
                </c:pt>
                <c:pt idx="19">
                  <c:v>5.9395799755673711</c:v>
                </c:pt>
                <c:pt idx="20">
                  <c:v>6.0562496022304302</c:v>
                </c:pt>
                <c:pt idx="21">
                  <c:v>6.2467561192402119</c:v>
                </c:pt>
                <c:pt idx="22">
                  <c:v>6.5053110824783218</c:v>
                </c:pt>
                <c:pt idx="23">
                  <c:v>6.8240584302218927</c:v>
                </c:pt>
                <c:pt idx="24">
                  <c:v>7.1933131856036789</c:v>
                </c:pt>
                <c:pt idx="25">
                  <c:v>7.6018557297333285</c:v>
                </c:pt>
                <c:pt idx="26">
                  <c:v>8.0372727041399603</c:v>
                </c:pt>
                <c:pt idx="27">
                  <c:v>8.4863341843878501</c:v>
                </c:pt>
                <c:pt idx="28">
                  <c:v>8.93539566463574</c:v>
                </c:pt>
                <c:pt idx="29">
                  <c:v>9.3708126390423736</c:v>
                </c:pt>
                <c:pt idx="30">
                  <c:v>9.7793551831720205</c:v>
                </c:pt>
                <c:pt idx="31">
                  <c:v>10.148609938553808</c:v>
                </c:pt>
                <c:pt idx="32">
                  <c:v>10.467357286297378</c:v>
                </c:pt>
                <c:pt idx="33">
                  <c:v>10.725912249535487</c:v>
                </c:pt>
                <c:pt idx="34">
                  <c:v>10.91641876654527</c:v>
                </c:pt>
                <c:pt idx="35">
                  <c:v>11.033088393208329</c:v>
                </c:pt>
                <c:pt idx="36">
                  <c:v>11.072376181956191</c:v>
                </c:pt>
              </c:numCache>
            </c:numRef>
          </c:xVal>
          <c:yVal>
            <c:numRef>
              <c:f>'GearTrain Force'!$BN$1758:$BN$1794</c:f>
              <c:numCache>
                <c:formatCode>General</c:formatCode>
                <c:ptCount val="37"/>
                <c:pt idx="0">
                  <c:v>6</c:v>
                </c:pt>
                <c:pt idx="1">
                  <c:v>6.4490614802478907</c:v>
                </c:pt>
                <c:pt idx="2">
                  <c:v>6.8844784546545226</c:v>
                </c:pt>
                <c:pt idx="3">
                  <c:v>7.2930209987841703</c:v>
                </c:pt>
                <c:pt idx="4">
                  <c:v>7.6622757541659565</c:v>
                </c:pt>
                <c:pt idx="5">
                  <c:v>7.9810231019095284</c:v>
                </c:pt>
                <c:pt idx="6">
                  <c:v>8.2395780651476382</c:v>
                </c:pt>
                <c:pt idx="7">
                  <c:v>8.43008458215742</c:v>
                </c:pt>
                <c:pt idx="8">
                  <c:v>8.5467542088204791</c:v>
                </c:pt>
                <c:pt idx="9">
                  <c:v>8.5860419975683406</c:v>
                </c:pt>
                <c:pt idx="10">
                  <c:v>8.5467542088204791</c:v>
                </c:pt>
                <c:pt idx="11">
                  <c:v>8.43008458215742</c:v>
                </c:pt>
                <c:pt idx="12">
                  <c:v>8.2395780651476382</c:v>
                </c:pt>
                <c:pt idx="13">
                  <c:v>7.9810231019095284</c:v>
                </c:pt>
                <c:pt idx="14">
                  <c:v>7.6622757541659574</c:v>
                </c:pt>
                <c:pt idx="15">
                  <c:v>7.2930209987841703</c:v>
                </c:pt>
                <c:pt idx="16">
                  <c:v>6.8844784546545226</c:v>
                </c:pt>
                <c:pt idx="17">
                  <c:v>6.4490614802478907</c:v>
                </c:pt>
                <c:pt idx="18">
                  <c:v>6</c:v>
                </c:pt>
                <c:pt idx="19">
                  <c:v>5.5509385197521093</c:v>
                </c:pt>
                <c:pt idx="20">
                  <c:v>5.1155215453454774</c:v>
                </c:pt>
                <c:pt idx="21">
                  <c:v>4.7069790012158297</c:v>
                </c:pt>
                <c:pt idx="22">
                  <c:v>4.3377242458340435</c:v>
                </c:pt>
                <c:pt idx="23">
                  <c:v>4.0189768980904716</c:v>
                </c:pt>
                <c:pt idx="24">
                  <c:v>3.7604219348523626</c:v>
                </c:pt>
                <c:pt idx="25">
                  <c:v>3.5699154178425805</c:v>
                </c:pt>
                <c:pt idx="26">
                  <c:v>3.4532457911795209</c:v>
                </c:pt>
                <c:pt idx="27">
                  <c:v>3.4139580024316598</c:v>
                </c:pt>
                <c:pt idx="28">
                  <c:v>3.4532457911795209</c:v>
                </c:pt>
                <c:pt idx="29">
                  <c:v>3.5699154178425809</c:v>
                </c:pt>
                <c:pt idx="30">
                  <c:v>3.7604219348523622</c:v>
                </c:pt>
                <c:pt idx="31">
                  <c:v>4.0189768980904708</c:v>
                </c:pt>
                <c:pt idx="32">
                  <c:v>4.3377242458340426</c:v>
                </c:pt>
                <c:pt idx="33">
                  <c:v>4.7069790012158288</c:v>
                </c:pt>
                <c:pt idx="34">
                  <c:v>5.1155215453454783</c:v>
                </c:pt>
                <c:pt idx="35">
                  <c:v>5.5509385197521093</c:v>
                </c:pt>
                <c:pt idx="36">
                  <c:v>5.9999999999999991</c:v>
                </c:pt>
              </c:numCache>
            </c:numRef>
          </c:yVal>
          <c:smooth val="1"/>
          <c:extLst>
            <c:ext xmlns:c16="http://schemas.microsoft.com/office/drawing/2014/chart" uri="{C3380CC4-5D6E-409C-BE32-E72D297353CC}">
              <c16:uniqueId val="{00000005-ED18-44D1-BCFF-EEB44FF0BA88}"/>
            </c:ext>
          </c:extLst>
        </c:ser>
        <c:ser>
          <c:idx val="6"/>
          <c:order val="6"/>
          <c:tx>
            <c:v>g7</c:v>
          </c:tx>
          <c:spPr>
            <a:ln w="19050" cap="rnd">
              <a:solidFill>
                <a:schemeClr val="accent1">
                  <a:lumMod val="60000"/>
                </a:schemeClr>
              </a:solidFill>
              <a:round/>
            </a:ln>
            <a:effectLst/>
          </c:spPr>
          <c:marker>
            <c:symbol val="none"/>
          </c:marker>
          <c:xVal>
            <c:numRef>
              <c:f>'GearTrain Force'!$BO$1758:$BO$1794</c:f>
              <c:numCache>
                <c:formatCode>General</c:formatCode>
                <c:ptCount val="37"/>
                <c:pt idx="0">
                  <c:v>19.005781011153886</c:v>
                </c:pt>
                <c:pt idx="1">
                  <c:v>18.940301363240785</c:v>
                </c:pt>
                <c:pt idx="2">
                  <c:v>18.745851985469017</c:v>
                </c:pt>
                <c:pt idx="3">
                  <c:v>18.428341123786048</c:v>
                </c:pt>
                <c:pt idx="4">
                  <c:v>17.997416185055865</c:v>
                </c:pt>
                <c:pt idx="5">
                  <c:v>17.466170605483246</c:v>
                </c:pt>
                <c:pt idx="6">
                  <c:v>16.85074601318027</c:v>
                </c:pt>
                <c:pt idx="7">
                  <c:v>16.16984177296419</c:v>
                </c:pt>
                <c:pt idx="8">
                  <c:v>15.444146815619803</c:v>
                </c:pt>
                <c:pt idx="9">
                  <c:v>14.695711015206651</c:v>
                </c:pt>
                <c:pt idx="10">
                  <c:v>13.9472752147935</c:v>
                </c:pt>
                <c:pt idx="11">
                  <c:v>13.221580257449114</c:v>
                </c:pt>
                <c:pt idx="12">
                  <c:v>12.540676017233036</c:v>
                </c:pt>
                <c:pt idx="13">
                  <c:v>11.925251424930057</c:v>
                </c:pt>
                <c:pt idx="14">
                  <c:v>11.394005845357437</c:v>
                </c:pt>
                <c:pt idx="15">
                  <c:v>10.963080906627255</c:v>
                </c:pt>
                <c:pt idx="16">
                  <c:v>10.645570044944286</c:v>
                </c:pt>
                <c:pt idx="17">
                  <c:v>10.451120667172519</c:v>
                </c:pt>
                <c:pt idx="18">
                  <c:v>10.385641019259417</c:v>
                </c:pt>
                <c:pt idx="19">
                  <c:v>10.451120667172519</c:v>
                </c:pt>
                <c:pt idx="20">
                  <c:v>10.645570044944286</c:v>
                </c:pt>
                <c:pt idx="21">
                  <c:v>10.963080906627255</c:v>
                </c:pt>
                <c:pt idx="22">
                  <c:v>11.394005845357437</c:v>
                </c:pt>
                <c:pt idx="23">
                  <c:v>11.925251424930057</c:v>
                </c:pt>
                <c:pt idx="24">
                  <c:v>12.540676017233032</c:v>
                </c:pt>
                <c:pt idx="25">
                  <c:v>13.221580257449116</c:v>
                </c:pt>
                <c:pt idx="26">
                  <c:v>13.9472752147935</c:v>
                </c:pt>
                <c:pt idx="27">
                  <c:v>14.695711015206651</c:v>
                </c:pt>
                <c:pt idx="28">
                  <c:v>15.444146815619801</c:v>
                </c:pt>
                <c:pt idx="29">
                  <c:v>16.16984177296419</c:v>
                </c:pt>
                <c:pt idx="30">
                  <c:v>16.85074601318027</c:v>
                </c:pt>
                <c:pt idx="31">
                  <c:v>17.466170605483246</c:v>
                </c:pt>
                <c:pt idx="32">
                  <c:v>17.997416185055865</c:v>
                </c:pt>
                <c:pt idx="33">
                  <c:v>18.428341123786048</c:v>
                </c:pt>
                <c:pt idx="34">
                  <c:v>18.745851985469017</c:v>
                </c:pt>
                <c:pt idx="35">
                  <c:v>18.940301363240785</c:v>
                </c:pt>
                <c:pt idx="36">
                  <c:v>19.005781011153886</c:v>
                </c:pt>
              </c:numCache>
            </c:numRef>
          </c:xVal>
          <c:yVal>
            <c:numRef>
              <c:f>'GearTrain Force'!$BP$1758:$BP$1794</c:f>
              <c:numCache>
                <c:formatCode>General</c:formatCode>
                <c:ptCount val="37"/>
                <c:pt idx="0">
                  <c:v>3</c:v>
                </c:pt>
                <c:pt idx="1">
                  <c:v>3.7484358004131511</c:v>
                </c:pt>
                <c:pt idx="2">
                  <c:v>4.4741307577575373</c:v>
                </c:pt>
                <c:pt idx="3">
                  <c:v>5.1550349979736163</c:v>
                </c:pt>
                <c:pt idx="4">
                  <c:v>5.7704595902765945</c:v>
                </c:pt>
                <c:pt idx="5">
                  <c:v>6.3017051698492139</c:v>
                </c:pt>
                <c:pt idx="6">
                  <c:v>6.7326301085793965</c:v>
                </c:pt>
                <c:pt idx="7">
                  <c:v>7.0501409702623654</c:v>
                </c:pt>
                <c:pt idx="8">
                  <c:v>7.2445903480341318</c:v>
                </c:pt>
                <c:pt idx="9">
                  <c:v>7.3100699959472335</c:v>
                </c:pt>
                <c:pt idx="10">
                  <c:v>7.2445903480341318</c:v>
                </c:pt>
                <c:pt idx="11">
                  <c:v>7.0501409702623654</c:v>
                </c:pt>
                <c:pt idx="12">
                  <c:v>6.7326301085793965</c:v>
                </c:pt>
                <c:pt idx="13">
                  <c:v>6.3017051698492139</c:v>
                </c:pt>
                <c:pt idx="14">
                  <c:v>5.7704595902765945</c:v>
                </c:pt>
                <c:pt idx="15">
                  <c:v>5.1550349979736163</c:v>
                </c:pt>
                <c:pt idx="16">
                  <c:v>4.4741307577575382</c:v>
                </c:pt>
                <c:pt idx="17">
                  <c:v>3.7484358004131506</c:v>
                </c:pt>
                <c:pt idx="18">
                  <c:v>3.0000000000000004</c:v>
                </c:pt>
                <c:pt idx="19">
                  <c:v>2.2515641995868485</c:v>
                </c:pt>
                <c:pt idx="20">
                  <c:v>1.5258692422424631</c:v>
                </c:pt>
                <c:pt idx="21">
                  <c:v>0.84496500202638281</c:v>
                </c:pt>
                <c:pt idx="22">
                  <c:v>0.22954040972340595</c:v>
                </c:pt>
                <c:pt idx="23">
                  <c:v>-0.30170516984921392</c:v>
                </c:pt>
                <c:pt idx="24">
                  <c:v>-0.73263010857939559</c:v>
                </c:pt>
                <c:pt idx="25">
                  <c:v>-1.0501409702623654</c:v>
                </c:pt>
                <c:pt idx="26">
                  <c:v>-1.2445903480341318</c:v>
                </c:pt>
                <c:pt idx="27">
                  <c:v>-1.3100699959472335</c:v>
                </c:pt>
                <c:pt idx="28">
                  <c:v>-1.2445903480341318</c:v>
                </c:pt>
                <c:pt idx="29">
                  <c:v>-1.0501409702623654</c:v>
                </c:pt>
                <c:pt idx="30">
                  <c:v>-0.73263010857939648</c:v>
                </c:pt>
                <c:pt idx="31">
                  <c:v>-0.3017051698492148</c:v>
                </c:pt>
                <c:pt idx="32">
                  <c:v>0.22954040972340461</c:v>
                </c:pt>
                <c:pt idx="33">
                  <c:v>0.84496500202638147</c:v>
                </c:pt>
                <c:pt idx="34">
                  <c:v>1.5258692422424633</c:v>
                </c:pt>
                <c:pt idx="35">
                  <c:v>2.2515641995868489</c:v>
                </c:pt>
                <c:pt idx="36">
                  <c:v>2.9999999999999991</c:v>
                </c:pt>
              </c:numCache>
            </c:numRef>
          </c:yVal>
          <c:smooth val="1"/>
          <c:extLst>
            <c:ext xmlns:c16="http://schemas.microsoft.com/office/drawing/2014/chart" uri="{C3380CC4-5D6E-409C-BE32-E72D297353CC}">
              <c16:uniqueId val="{00000006-ED18-44D1-BCFF-EEB44FF0BA88}"/>
            </c:ext>
          </c:extLst>
        </c:ser>
        <c:ser>
          <c:idx val="7"/>
          <c:order val="7"/>
          <c:tx>
            <c:v>shaft a</c:v>
          </c:tx>
          <c:spPr>
            <a:ln w="19050" cap="rnd">
              <a:noFill/>
              <a:round/>
            </a:ln>
            <a:effectLst/>
          </c:spPr>
          <c:marker>
            <c:symbol val="plus"/>
            <c:size val="5"/>
            <c:spPr>
              <a:noFill/>
              <a:ln w="9525">
                <a:solidFill>
                  <a:schemeClr val="accent1"/>
                </a:solidFill>
              </a:ln>
              <a:effectLst/>
            </c:spPr>
          </c:marker>
          <c:dLbls>
            <c:dLbl>
              <c:idx val="0"/>
              <c:layout>
                <c:manualLayout>
                  <c:x val="7.6091131637391479E-2"/>
                  <c:y val="6.753519446432831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ED18-44D1-BCFF-EEB44FF0BA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'GearTrain Force'!$R$776</c:f>
              <c:numCache>
                <c:formatCode>General</c:formatCode>
                <c:ptCount val="1"/>
                <c:pt idx="0">
                  <c:v>0</c:v>
                </c:pt>
              </c:numCache>
            </c:numRef>
          </c:xVal>
          <c:yVal>
            <c:numRef>
              <c:f>'GearTrain Force'!$S$776</c:f>
              <c:numCache>
                <c:formatCode>General</c:formatCode>
                <c:ptCount val="1"/>
                <c:pt idx="0">
                  <c:v>0</c:v>
                </c:pt>
              </c:numCache>
            </c:numRef>
          </c:yVal>
          <c:smooth val="1"/>
          <c:extLst>
            <c:ext xmlns:c16="http://schemas.microsoft.com/office/drawing/2014/chart" uri="{C3380CC4-5D6E-409C-BE32-E72D297353CC}">
              <c16:uniqueId val="{00000008-ED18-44D1-BCFF-EEB44FF0BA88}"/>
            </c:ext>
          </c:extLst>
        </c:ser>
        <c:ser>
          <c:idx val="8"/>
          <c:order val="8"/>
          <c:tx>
            <c:v>shaft b</c:v>
          </c:tx>
          <c:spPr>
            <a:ln w="19050" cap="rnd">
              <a:noFill/>
              <a:round/>
            </a:ln>
            <a:effectLst/>
          </c:spPr>
          <c:marker>
            <c:symbol val="plus"/>
            <c:size val="5"/>
            <c:spPr>
              <a:noFill/>
              <a:ln w="9525">
                <a:solidFill>
                  <a:schemeClr val="accent2"/>
                </a:solidFill>
              </a:ln>
              <a:effectLst/>
            </c:spPr>
          </c:marker>
          <c:dLbls>
            <c:dLbl>
              <c:idx val="0"/>
              <c:layout>
                <c:manualLayout>
                  <c:x val="-8.7197895511929788E-2"/>
                  <c:y val="-0.1402011112247333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ED18-44D1-BCFF-EEB44FF0BA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'GearTrain Force'!$R$777</c:f>
              <c:numCache>
                <c:formatCode>General</c:formatCode>
                <c:ptCount val="1"/>
                <c:pt idx="0">
                  <c:v>3.0588753712059726</c:v>
                </c:pt>
              </c:numCache>
            </c:numRef>
          </c:xVal>
          <c:yVal>
            <c:numRef>
              <c:f>'GearTrain Force'!$S$777</c:f>
              <c:numCache>
                <c:formatCode>General</c:formatCode>
                <c:ptCount val="1"/>
                <c:pt idx="0">
                  <c:v>1</c:v>
                </c:pt>
              </c:numCache>
            </c:numRef>
          </c:yVal>
          <c:smooth val="1"/>
          <c:extLst>
            <c:ext xmlns:c16="http://schemas.microsoft.com/office/drawing/2014/chart" uri="{C3380CC4-5D6E-409C-BE32-E72D297353CC}">
              <c16:uniqueId val="{0000000A-ED18-44D1-BCFF-EEB44FF0BA88}"/>
            </c:ext>
          </c:extLst>
        </c:ser>
        <c:ser>
          <c:idx val="9"/>
          <c:order val="9"/>
          <c:tx>
            <c:v>shaft c</c:v>
          </c:tx>
          <c:spPr>
            <a:ln w="19050" cap="rnd">
              <a:noFill/>
              <a:round/>
            </a:ln>
            <a:effectLst/>
          </c:spPr>
          <c:marker>
            <c:symbol val="plus"/>
            <c:size val="5"/>
            <c:spPr>
              <a:noFill/>
              <a:ln w="9525">
                <a:solidFill>
                  <a:schemeClr val="accent3"/>
                </a:solidFill>
              </a:ln>
              <a:effectLst/>
            </c:spPr>
          </c:marker>
          <c:dLbls>
            <c:dLbl>
              <c:idx val="0"/>
              <c:layout>
                <c:manualLayout>
                  <c:x val="-9.7246113466585932E-2"/>
                  <c:y val="-0.12088791931311617"/>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ED18-44D1-BCFF-EEB44FF0BA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'GearTrain Force'!$R$778</c:f>
              <c:numCache>
                <c:formatCode>General</c:formatCode>
                <c:ptCount val="1"/>
                <c:pt idx="0">
                  <c:v>2.1873881775307611</c:v>
                </c:pt>
              </c:numCache>
            </c:numRef>
          </c:xVal>
          <c:yVal>
            <c:numRef>
              <c:f>'GearTrain Force'!$S$778</c:f>
              <c:numCache>
                <c:formatCode>General</c:formatCode>
                <c:ptCount val="1"/>
                <c:pt idx="0">
                  <c:v>2.8</c:v>
                </c:pt>
              </c:numCache>
            </c:numRef>
          </c:yVal>
          <c:smooth val="1"/>
          <c:extLst>
            <c:ext xmlns:c16="http://schemas.microsoft.com/office/drawing/2014/chart" uri="{C3380CC4-5D6E-409C-BE32-E72D297353CC}">
              <c16:uniqueId val="{0000000C-ED18-44D1-BCFF-EEB44FF0BA88}"/>
            </c:ext>
          </c:extLst>
        </c:ser>
        <c:ser>
          <c:idx val="10"/>
          <c:order val="10"/>
          <c:tx>
            <c:v>shaft d</c:v>
          </c:tx>
          <c:spPr>
            <a:ln w="19050" cap="rnd">
              <a:noFill/>
              <a:round/>
            </a:ln>
            <a:effectLst/>
          </c:spPr>
          <c:marker>
            <c:symbol val="plus"/>
            <c:size val="5"/>
            <c:spPr>
              <a:noFill/>
              <a:ln w="9525">
                <a:solidFill>
                  <a:schemeClr val="accent4"/>
                </a:solidFill>
              </a:ln>
              <a:effectLst/>
            </c:spPr>
          </c:marker>
          <c:dLbls>
            <c:dLbl>
              <c:idx val="0"/>
              <c:layout>
                <c:manualLayout>
                  <c:x val="-5.9925093632958804E-3"/>
                  <c:y val="5.0724637681159424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D-ED18-44D1-BCFF-EEB44FF0BA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'GearTrain Force'!$R$779</c:f>
              <c:numCache>
                <c:formatCode>General</c:formatCode>
                <c:ptCount val="1"/>
                <c:pt idx="0">
                  <c:v>5.8237225976944442</c:v>
                </c:pt>
              </c:numCache>
            </c:numRef>
          </c:xVal>
          <c:yVal>
            <c:numRef>
              <c:f>'GearTrain Force'!$S$779</c:f>
              <c:numCache>
                <c:formatCode>General</c:formatCode>
                <c:ptCount val="1"/>
                <c:pt idx="0">
                  <c:v>1.85</c:v>
                </c:pt>
              </c:numCache>
            </c:numRef>
          </c:yVal>
          <c:smooth val="1"/>
          <c:extLst>
            <c:ext xmlns:c16="http://schemas.microsoft.com/office/drawing/2014/chart" uri="{C3380CC4-5D6E-409C-BE32-E72D297353CC}">
              <c16:uniqueId val="{0000000E-ED18-44D1-BCFF-EEB44FF0BA88}"/>
            </c:ext>
          </c:extLst>
        </c:ser>
        <c:ser>
          <c:idx val="11"/>
          <c:order val="11"/>
          <c:tx>
            <c:v>shaft e</c:v>
          </c:tx>
          <c:spPr>
            <a:ln w="19050" cap="rnd">
              <a:noFill/>
              <a:round/>
            </a:ln>
            <a:effectLst/>
          </c:spPr>
          <c:marker>
            <c:symbol val="plus"/>
            <c:size val="5"/>
            <c:spPr>
              <a:noFill/>
              <a:ln w="9525">
                <a:solidFill>
                  <a:schemeClr val="accent5"/>
                </a:solidFill>
              </a:ln>
              <a:effectLst/>
            </c:spPr>
          </c:marker>
          <c:dLbls>
            <c:dLbl>
              <c:idx val="0"/>
              <c:layout>
                <c:manualLayout>
                  <c:x val="4.5248868778279992E-3"/>
                  <c:y val="5.3872053872053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F-ED18-44D1-BCFF-EEB44FF0BA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'GearTrain Force'!$R$780</c:f>
              <c:numCache>
                <c:formatCode>General</c:formatCode>
                <c:ptCount val="1"/>
                <c:pt idx="0">
                  <c:v>8.4863341843878501</c:v>
                </c:pt>
              </c:numCache>
            </c:numRef>
          </c:xVal>
          <c:yVal>
            <c:numRef>
              <c:f>'GearTrain Force'!$S$780</c:f>
              <c:numCache>
                <c:formatCode>General</c:formatCode>
                <c:ptCount val="1"/>
                <c:pt idx="0">
                  <c:v>6</c:v>
                </c:pt>
              </c:numCache>
            </c:numRef>
          </c:yVal>
          <c:smooth val="1"/>
          <c:extLst>
            <c:ext xmlns:c16="http://schemas.microsoft.com/office/drawing/2014/chart" uri="{C3380CC4-5D6E-409C-BE32-E72D297353CC}">
              <c16:uniqueId val="{00000010-ED18-44D1-BCFF-EEB44FF0BA88}"/>
            </c:ext>
          </c:extLst>
        </c:ser>
        <c:ser>
          <c:idx val="12"/>
          <c:order val="12"/>
          <c:tx>
            <c:v>shaft f</c:v>
          </c:tx>
          <c:spPr>
            <a:ln w="19050" cap="rnd">
              <a:noFill/>
              <a:round/>
            </a:ln>
            <a:effectLst/>
          </c:spPr>
          <c:marker>
            <c:symbol val="plus"/>
            <c:size val="5"/>
            <c:spPr>
              <a:noFill/>
              <a:ln w="9525">
                <a:solidFill>
                  <a:schemeClr val="accent6"/>
                </a:solidFill>
              </a:ln>
              <a:effectLst/>
            </c:spPr>
          </c:marker>
          <c:dLbls>
            <c:dLbl>
              <c:idx val="0"/>
              <c:layout>
                <c:manualLayout>
                  <c:x val="0"/>
                  <c:y val="4.6176046176046107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1-ED18-44D1-BCFF-EEB44FF0BA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'GearTrain Force'!$R$781</c:f>
              <c:numCache>
                <c:formatCode>General</c:formatCode>
                <c:ptCount val="1"/>
                <c:pt idx="0">
                  <c:v>14.695711015206651</c:v>
                </c:pt>
              </c:numCache>
            </c:numRef>
          </c:xVal>
          <c:yVal>
            <c:numRef>
              <c:f>'GearTrain Force'!$S$781</c:f>
              <c:numCache>
                <c:formatCode>General</c:formatCode>
                <c:ptCount val="1"/>
                <c:pt idx="0">
                  <c:v>3</c:v>
                </c:pt>
              </c:numCache>
            </c:numRef>
          </c:yVal>
          <c:smooth val="1"/>
          <c:extLst>
            <c:ext xmlns:c16="http://schemas.microsoft.com/office/drawing/2014/chart" uri="{C3380CC4-5D6E-409C-BE32-E72D297353CC}">
              <c16:uniqueId val="{00000012-ED18-44D1-BCFF-EEB44FF0BA88}"/>
            </c:ext>
          </c:extLst>
        </c:ser>
        <c:ser>
          <c:idx val="13"/>
          <c:order val="13"/>
          <c:tx>
            <c:v>shaft g</c:v>
          </c:tx>
          <c:spPr>
            <a:ln w="19050" cap="rnd">
              <a:noFill/>
              <a:round/>
            </a:ln>
            <a:effectLst/>
          </c:spPr>
          <c:marker>
            <c:symbol val="plus"/>
            <c:size val="5"/>
            <c:spPr>
              <a:noFill/>
              <a:ln w="9525">
                <a:solidFill>
                  <a:srgbClr val="002060"/>
                </a:solidFill>
              </a:ln>
              <a:effectLst/>
            </c:spPr>
          </c:marker>
          <c:dLbls>
            <c:dLbl>
              <c:idx val="0"/>
              <c:layout>
                <c:manualLayout>
                  <c:x val="1.3574660633484052E-2"/>
                  <c:y val="2.88600288600288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3-ED18-44D1-BCFF-EEB44FF0BA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'GearTrain Force'!$R$782</c:f>
            </c:numRef>
          </c:xVal>
          <c:yVal>
            <c:numRef>
              <c:f>'GearTrain Force'!$S$782</c:f>
              <c:numCache>
                <c:formatCode>General</c:formatCode>
                <c:ptCount val="1"/>
                <c:pt idx="0">
                  <c:v>6</c:v>
                </c:pt>
              </c:numCache>
            </c:numRef>
          </c:yVal>
          <c:smooth val="1"/>
          <c:extLst>
            <c:ext xmlns:c16="http://schemas.microsoft.com/office/drawing/2014/chart" uri="{C3380CC4-5D6E-409C-BE32-E72D297353CC}">
              <c16:uniqueId val="{00000014-ED18-44D1-BCFF-EEB44FF0BA88}"/>
            </c:ext>
          </c:extLst>
        </c:ser>
        <c:ser>
          <c:idx val="14"/>
          <c:order val="14"/>
          <c:tx>
            <c:v>tp1</c:v>
          </c:tx>
          <c:spPr>
            <a:ln w="19050" cap="rnd">
              <a:solidFill>
                <a:schemeClr val="accent3">
                  <a:lumMod val="80000"/>
                  <a:lumOff val="20000"/>
                </a:schemeClr>
              </a:solidFill>
              <a:round/>
            </a:ln>
            <a:effectLst/>
          </c:spPr>
          <c:marker>
            <c:symbol val="none"/>
          </c:marker>
          <c:xVal>
            <c:numRef>
              <c:f>'GearTrain Force Analysis (3)'!#REF!</c:f>
            </c:numRef>
          </c:xVal>
          <c:yVal>
            <c:numRef>
              <c:f>'GearTrain Force Analysis (3)'!#REF!</c:f>
              <c:numCache>
                <c:formatCode>General</c:formatCode>
                <c:ptCount val="1"/>
                <c:pt idx="0">
                  <c:v>1</c:v>
                </c:pt>
              </c:numCache>
            </c:numRef>
          </c:yVal>
          <c:smooth val="1"/>
          <c:extLst>
            <c:ext xmlns:c16="http://schemas.microsoft.com/office/drawing/2014/chart" uri="{C3380CC4-5D6E-409C-BE32-E72D297353CC}">
              <c16:uniqueId val="{00000015-ED18-44D1-BCFF-EEB44FF0BA88}"/>
            </c:ext>
          </c:extLst>
        </c:ser>
        <c:ser>
          <c:idx val="15"/>
          <c:order val="15"/>
          <c:tx>
            <c:v>tp2</c:v>
          </c:tx>
          <c:spPr>
            <a:ln w="19050" cap="rnd">
              <a:solidFill>
                <a:schemeClr val="accent4">
                  <a:lumMod val="80000"/>
                  <a:lumOff val="20000"/>
                </a:schemeClr>
              </a:solidFill>
              <a:round/>
            </a:ln>
            <a:effectLst/>
          </c:spPr>
          <c:marker>
            <c:symbol val="none"/>
          </c:marker>
          <c:xVal>
            <c:numRef>
              <c:f>'GearTrain Force Analysis (3)'!#REF!</c:f>
            </c:numRef>
          </c:xVal>
          <c:yVal>
            <c:numRef>
              <c:f>'GearTrain Force Analysis (3)'!#REF!</c:f>
              <c:numCache>
                <c:formatCode>General</c:formatCode>
                <c:ptCount val="1"/>
                <c:pt idx="0">
                  <c:v>1</c:v>
                </c:pt>
              </c:numCache>
            </c:numRef>
          </c:yVal>
          <c:smooth val="1"/>
          <c:extLst>
            <c:ext xmlns:c16="http://schemas.microsoft.com/office/drawing/2014/chart" uri="{C3380CC4-5D6E-409C-BE32-E72D297353CC}">
              <c16:uniqueId val="{00000016-ED18-44D1-BCFF-EEB44FF0BA88}"/>
            </c:ext>
          </c:extLst>
        </c:ser>
        <c:ser>
          <c:idx val="16"/>
          <c:order val="16"/>
          <c:tx>
            <c:v>tp3</c:v>
          </c:tx>
          <c:spPr>
            <a:ln w="19050" cap="rnd">
              <a:solidFill>
                <a:schemeClr val="accent5">
                  <a:lumMod val="80000"/>
                  <a:lumOff val="20000"/>
                </a:schemeClr>
              </a:solidFill>
              <a:round/>
            </a:ln>
            <a:effectLst/>
          </c:spPr>
          <c:marker>
            <c:symbol val="none"/>
          </c:marker>
          <c:xVal>
            <c:numRef>
              <c:f>'GearTrain Force Analysis (3)'!#REF!</c:f>
            </c:numRef>
          </c:xVal>
          <c:yVal>
            <c:numRef>
              <c:f>'GearTrain Force Analysis (3)'!#REF!</c:f>
              <c:numCache>
                <c:formatCode>General</c:formatCode>
                <c:ptCount val="1"/>
                <c:pt idx="0">
                  <c:v>1</c:v>
                </c:pt>
              </c:numCache>
            </c:numRef>
          </c:yVal>
          <c:smooth val="1"/>
          <c:extLst>
            <c:ext xmlns:c16="http://schemas.microsoft.com/office/drawing/2014/chart" uri="{C3380CC4-5D6E-409C-BE32-E72D297353CC}">
              <c16:uniqueId val="{00000017-ED18-44D1-BCFF-EEB44FF0BA88}"/>
            </c:ext>
          </c:extLst>
        </c:ser>
        <c:ser>
          <c:idx val="17"/>
          <c:order val="17"/>
          <c:tx>
            <c:v>tp4</c:v>
          </c:tx>
          <c:spPr>
            <a:ln w="19050" cap="rnd">
              <a:solidFill>
                <a:schemeClr val="accent6">
                  <a:lumMod val="80000"/>
                  <a:lumOff val="20000"/>
                </a:schemeClr>
              </a:solidFill>
              <a:round/>
            </a:ln>
            <a:effectLst/>
          </c:spPr>
          <c:marker>
            <c:symbol val="none"/>
          </c:marker>
          <c:xVal>
            <c:numRef>
              <c:f>'GearTrain Force Analysis (3)'!#REF!</c:f>
            </c:numRef>
          </c:xVal>
          <c:yVal>
            <c:numRef>
              <c:f>'GearTrain Force Analysis (3)'!#REF!</c:f>
              <c:numCache>
                <c:formatCode>General</c:formatCode>
                <c:ptCount val="1"/>
                <c:pt idx="0">
                  <c:v>1</c:v>
                </c:pt>
              </c:numCache>
            </c:numRef>
          </c:yVal>
          <c:smooth val="1"/>
          <c:extLst>
            <c:ext xmlns:c16="http://schemas.microsoft.com/office/drawing/2014/chart" uri="{C3380CC4-5D6E-409C-BE32-E72D297353CC}">
              <c16:uniqueId val="{00000018-ED18-44D1-BCFF-EEB44FF0BA88}"/>
            </c:ext>
          </c:extLst>
        </c:ser>
        <c:ser>
          <c:idx val="18"/>
          <c:order val="18"/>
          <c:tx>
            <c:v>tp5</c:v>
          </c:tx>
          <c:spPr>
            <a:ln w="19050" cap="rnd">
              <a:solidFill>
                <a:schemeClr val="accent1">
                  <a:lumMod val="80000"/>
                </a:schemeClr>
              </a:solidFill>
              <a:round/>
            </a:ln>
            <a:effectLst/>
          </c:spPr>
          <c:marker>
            <c:symbol val="none"/>
          </c:marker>
          <c:xVal>
            <c:numRef>
              <c:f>'GearTrain Force Analysis (3)'!#REF!</c:f>
            </c:numRef>
          </c:xVal>
          <c:yVal>
            <c:numRef>
              <c:f>'GearTrain Force Analysis (3)'!#REF!</c:f>
              <c:numCache>
                <c:formatCode>General</c:formatCode>
                <c:ptCount val="1"/>
                <c:pt idx="0">
                  <c:v>1</c:v>
                </c:pt>
              </c:numCache>
            </c:numRef>
          </c:yVal>
          <c:smooth val="1"/>
          <c:extLst>
            <c:ext xmlns:c16="http://schemas.microsoft.com/office/drawing/2014/chart" uri="{C3380CC4-5D6E-409C-BE32-E72D297353CC}">
              <c16:uniqueId val="{00000019-ED18-44D1-BCFF-EEB44FF0BA88}"/>
            </c:ext>
          </c:extLst>
        </c:ser>
        <c:ser>
          <c:idx val="19"/>
          <c:order val="19"/>
          <c:tx>
            <c:v>tp6</c:v>
          </c:tx>
          <c:spPr>
            <a:ln w="19050" cap="rnd">
              <a:solidFill>
                <a:schemeClr val="accent2">
                  <a:lumMod val="80000"/>
                </a:schemeClr>
              </a:solidFill>
              <a:round/>
            </a:ln>
            <a:effectLst/>
          </c:spPr>
          <c:marker>
            <c:symbol val="none"/>
          </c:marker>
          <c:xVal>
            <c:numRef>
              <c:f>'GearTrain Force Analysis (3)'!#REF!</c:f>
            </c:numRef>
          </c:xVal>
          <c:yVal>
            <c:numRef>
              <c:f>'GearTrain Force Analysis (3)'!#REF!</c:f>
              <c:numCache>
                <c:formatCode>General</c:formatCode>
                <c:ptCount val="1"/>
                <c:pt idx="0">
                  <c:v>1</c:v>
                </c:pt>
              </c:numCache>
            </c:numRef>
          </c:yVal>
          <c:smooth val="1"/>
          <c:extLst>
            <c:ext xmlns:c16="http://schemas.microsoft.com/office/drawing/2014/chart" uri="{C3380CC4-5D6E-409C-BE32-E72D297353CC}">
              <c16:uniqueId val="{0000001A-ED18-44D1-BCFF-EEB44FF0BA88}"/>
            </c:ext>
          </c:extLst>
        </c:ser>
        <c:dLbls>
          <c:showLegendKey val="0"/>
          <c:showVal val="0"/>
          <c:showCatName val="0"/>
          <c:showSerName val="0"/>
          <c:showPercent val="0"/>
          <c:showBubbleSize val="0"/>
        </c:dLbls>
        <c:axId val="725150128"/>
        <c:axId val="725143896"/>
      </c:scatterChart>
      <c:valAx>
        <c:axId val="72515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43896"/>
        <c:crosses val="autoZero"/>
        <c:crossBetween val="midCat"/>
        <c:majorUnit val="2"/>
      </c:valAx>
      <c:valAx>
        <c:axId val="725143896"/>
        <c:scaling>
          <c:orientation val="minMax"/>
          <c:max val="12"/>
          <c:min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50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Gear 1 FBD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g1</c:v>
          </c:tx>
          <c:spPr>
            <a:ln w="19050" cap="rnd">
              <a:solidFill>
                <a:schemeClr val="accent1"/>
              </a:solidFill>
              <a:round/>
            </a:ln>
            <a:effectLst/>
          </c:spPr>
          <c:marker>
            <c:symbol val="none"/>
          </c:marker>
          <c:xVal>
            <c:numRef>
              <c:f>'GearTrain Force'!$BC$1758:$BC$1794</c:f>
              <c:numCache>
                <c:formatCode>General</c:formatCode>
                <c:ptCount val="37"/>
                <c:pt idx="0">
                  <c:v>0.87350751917863934</c:v>
                </c:pt>
                <c:pt idx="1">
                  <c:v>0.86023697720158399</c:v>
                </c:pt>
                <c:pt idx="2">
                  <c:v>0.82082856997317277</c:v>
                </c:pt>
                <c:pt idx="3">
                  <c:v>0.75647970200542447</c:v>
                </c:pt>
                <c:pt idx="4">
                  <c:v>0.66914558108944078</c:v>
                </c:pt>
                <c:pt idx="5">
                  <c:v>0.56147981029605654</c:v>
                </c:pt>
                <c:pt idx="6">
                  <c:v>0.43675375958931978</c:v>
                </c:pt>
                <c:pt idx="7">
                  <c:v>0.29875716690552762</c:v>
                </c:pt>
                <c:pt idx="8">
                  <c:v>0.151682988883732</c:v>
                </c:pt>
                <c:pt idx="9">
                  <c:v>5.3508819373638589E-17</c:v>
                </c:pt>
                <c:pt idx="10">
                  <c:v>-0.15168298888373188</c:v>
                </c:pt>
                <c:pt idx="11">
                  <c:v>-0.29875716690552756</c:v>
                </c:pt>
                <c:pt idx="12">
                  <c:v>-0.4367537595893195</c:v>
                </c:pt>
                <c:pt idx="13">
                  <c:v>-0.56147981029605654</c:v>
                </c:pt>
                <c:pt idx="14">
                  <c:v>-0.66914558108944067</c:v>
                </c:pt>
                <c:pt idx="15">
                  <c:v>-0.75647970200542447</c:v>
                </c:pt>
                <c:pt idx="16">
                  <c:v>-0.82082856997317266</c:v>
                </c:pt>
                <c:pt idx="17">
                  <c:v>-0.86023697720158399</c:v>
                </c:pt>
                <c:pt idx="18">
                  <c:v>-0.87350751917863934</c:v>
                </c:pt>
                <c:pt idx="19">
                  <c:v>-0.86023697720158399</c:v>
                </c:pt>
                <c:pt idx="20">
                  <c:v>-0.82082856997317277</c:v>
                </c:pt>
                <c:pt idx="21">
                  <c:v>-0.75647970200542436</c:v>
                </c:pt>
                <c:pt idx="22">
                  <c:v>-0.66914558108944078</c:v>
                </c:pt>
                <c:pt idx="23">
                  <c:v>-0.56147981029605665</c:v>
                </c:pt>
                <c:pt idx="24">
                  <c:v>-0.43675375958932006</c:v>
                </c:pt>
                <c:pt idx="25">
                  <c:v>-0.29875716690552739</c:v>
                </c:pt>
                <c:pt idx="26">
                  <c:v>-0.15168298888373191</c:v>
                </c:pt>
                <c:pt idx="27">
                  <c:v>-1.6052645812091576E-16</c:v>
                </c:pt>
                <c:pt idx="28">
                  <c:v>0.15168298888373161</c:v>
                </c:pt>
                <c:pt idx="29">
                  <c:v>0.29875716690552778</c:v>
                </c:pt>
                <c:pt idx="30">
                  <c:v>0.43675375958931978</c:v>
                </c:pt>
                <c:pt idx="31">
                  <c:v>0.56147981029605643</c:v>
                </c:pt>
                <c:pt idx="32">
                  <c:v>0.66914558108944056</c:v>
                </c:pt>
                <c:pt idx="33">
                  <c:v>0.75647970200542414</c:v>
                </c:pt>
                <c:pt idx="34">
                  <c:v>0.82082856997317277</c:v>
                </c:pt>
                <c:pt idx="35">
                  <c:v>0.86023697720158399</c:v>
                </c:pt>
                <c:pt idx="36">
                  <c:v>0.87350751917863934</c:v>
                </c:pt>
              </c:numCache>
            </c:numRef>
          </c:xVal>
          <c:yVal>
            <c:numRef>
              <c:f>'GearTrain Force'!$BD$1758:$BD$1794</c:f>
              <c:numCache>
                <c:formatCode>General</c:formatCode>
                <c:ptCount val="37"/>
                <c:pt idx="0">
                  <c:v>0</c:v>
                </c:pt>
                <c:pt idx="1">
                  <c:v>0.15168298888373191</c:v>
                </c:pt>
                <c:pt idx="2">
                  <c:v>0.29875716690552756</c:v>
                </c:pt>
                <c:pt idx="3">
                  <c:v>0.43675375958931961</c:v>
                </c:pt>
                <c:pt idx="4">
                  <c:v>0.56147981029605643</c:v>
                </c:pt>
                <c:pt idx="5">
                  <c:v>0.66914558108944078</c:v>
                </c:pt>
                <c:pt idx="6">
                  <c:v>0.75647970200542436</c:v>
                </c:pt>
                <c:pt idx="7">
                  <c:v>0.82082856997317266</c:v>
                </c:pt>
                <c:pt idx="8">
                  <c:v>0.86023697720158399</c:v>
                </c:pt>
                <c:pt idx="9">
                  <c:v>0.87350751917863934</c:v>
                </c:pt>
                <c:pt idx="10">
                  <c:v>0.86023697720158399</c:v>
                </c:pt>
                <c:pt idx="11">
                  <c:v>0.82082856997317277</c:v>
                </c:pt>
                <c:pt idx="12">
                  <c:v>0.75647970200542447</c:v>
                </c:pt>
                <c:pt idx="13">
                  <c:v>0.66914558108944078</c:v>
                </c:pt>
                <c:pt idx="14">
                  <c:v>0.56147981029605665</c:v>
                </c:pt>
                <c:pt idx="15">
                  <c:v>0.43675375958931961</c:v>
                </c:pt>
                <c:pt idx="16">
                  <c:v>0.29875716690552767</c:v>
                </c:pt>
                <c:pt idx="17">
                  <c:v>0.15168298888373186</c:v>
                </c:pt>
                <c:pt idx="18">
                  <c:v>1.0701763874727718E-16</c:v>
                </c:pt>
                <c:pt idx="19">
                  <c:v>-0.15168298888373205</c:v>
                </c:pt>
                <c:pt idx="20">
                  <c:v>-0.2987571669055275</c:v>
                </c:pt>
                <c:pt idx="21">
                  <c:v>-0.43675375958931978</c:v>
                </c:pt>
                <c:pt idx="22">
                  <c:v>-0.56147981029605643</c:v>
                </c:pt>
                <c:pt idx="23">
                  <c:v>-0.66914558108944067</c:v>
                </c:pt>
                <c:pt idx="24">
                  <c:v>-0.75647970200542414</c:v>
                </c:pt>
                <c:pt idx="25">
                  <c:v>-0.82082856997317277</c:v>
                </c:pt>
                <c:pt idx="26">
                  <c:v>-0.86023697720158399</c:v>
                </c:pt>
                <c:pt idx="27">
                  <c:v>-0.87350751917863934</c:v>
                </c:pt>
                <c:pt idx="28">
                  <c:v>-0.8602369772015841</c:v>
                </c:pt>
                <c:pt idx="29">
                  <c:v>-0.82082856997317266</c:v>
                </c:pt>
                <c:pt idx="30">
                  <c:v>-0.75647970200542436</c:v>
                </c:pt>
                <c:pt idx="31">
                  <c:v>-0.66914558108944089</c:v>
                </c:pt>
                <c:pt idx="32">
                  <c:v>-0.56147981029605676</c:v>
                </c:pt>
                <c:pt idx="33">
                  <c:v>-0.43675375958932006</c:v>
                </c:pt>
                <c:pt idx="34">
                  <c:v>-0.29875716690552745</c:v>
                </c:pt>
                <c:pt idx="35">
                  <c:v>-0.15168298888373197</c:v>
                </c:pt>
                <c:pt idx="36">
                  <c:v>-2.1403527749455436E-16</c:v>
                </c:pt>
              </c:numCache>
            </c:numRef>
          </c:yVal>
          <c:smooth val="1"/>
          <c:extLst>
            <c:ext xmlns:c16="http://schemas.microsoft.com/office/drawing/2014/chart" uri="{C3380CC4-5D6E-409C-BE32-E72D297353CC}">
              <c16:uniqueId val="{00000000-D95C-4C52-8505-B1F49FAAFFF7}"/>
            </c:ext>
          </c:extLst>
        </c:ser>
        <c:ser>
          <c:idx val="3"/>
          <c:order val="1"/>
          <c:tx>
            <c:strRef>
              <c:f>'GearTrain Force'!$O$814</c:f>
              <c:strCache>
                <c:ptCount val="1"/>
                <c:pt idx="0">
                  <c:v>Wr_2-1</c:v>
                </c:pt>
              </c:strCache>
            </c:strRef>
          </c:tx>
          <c:spPr>
            <a:ln w="19050" cap="rnd">
              <a:solidFill>
                <a:schemeClr val="bg1">
                  <a:lumMod val="50000"/>
                </a:schemeClr>
              </a:solidFill>
              <a:round/>
            </a:ln>
            <a:effectLst/>
          </c:spPr>
          <c:marker>
            <c:symbol val="none"/>
          </c:marker>
          <c:dPt>
            <c:idx val="1"/>
            <c:marker>
              <c:symbol val="none"/>
            </c:marker>
            <c:bubble3D val="0"/>
            <c:spPr>
              <a:ln w="19050" cap="rnd">
                <a:solidFill>
                  <a:schemeClr val="bg2">
                    <a:lumMod val="75000"/>
                  </a:schemeClr>
                </a:solidFill>
                <a:round/>
              </a:ln>
              <a:effectLst/>
            </c:spPr>
            <c:extLst>
              <c:ext xmlns:c16="http://schemas.microsoft.com/office/drawing/2014/chart" uri="{C3380CC4-5D6E-409C-BE32-E72D297353CC}">
                <c16:uniqueId val="{00000002-D95C-4C52-8505-B1F49FAAFFF7}"/>
              </c:ext>
            </c:extLst>
          </c:dPt>
          <c:xVal>
            <c:numRef>
              <c:f>'GearTrain Force'!$U$814:$V$814</c:f>
              <c:numCache>
                <c:formatCode>General</c:formatCode>
                <c:ptCount val="2"/>
                <c:pt idx="0">
                  <c:v>0.8302661721844784</c:v>
                </c:pt>
                <c:pt idx="1">
                  <c:v>1.0803403005730505</c:v>
                </c:pt>
              </c:numCache>
            </c:numRef>
          </c:xVal>
          <c:yVal>
            <c:numRef>
              <c:f>'GearTrain Force'!$W$814:$X$814</c:f>
              <c:numCache>
                <c:formatCode>General</c:formatCode>
                <c:ptCount val="2"/>
                <c:pt idx="0">
                  <c:v>0.27142857142857146</c:v>
                </c:pt>
                <c:pt idx="1">
                  <c:v>0.35318218935710421</c:v>
                </c:pt>
              </c:numCache>
            </c:numRef>
          </c:yVal>
          <c:smooth val="1"/>
          <c:extLst>
            <c:ext xmlns:c16="http://schemas.microsoft.com/office/drawing/2014/chart" uri="{C3380CC4-5D6E-409C-BE32-E72D297353CC}">
              <c16:uniqueId val="{00000003-D95C-4C52-8505-B1F49FAAFFF7}"/>
            </c:ext>
          </c:extLst>
        </c:ser>
        <c:ser>
          <c:idx val="4"/>
          <c:order val="2"/>
          <c:tx>
            <c:strRef>
              <c:f>'GearTrain Force'!$Y$814</c:f>
              <c:strCache>
                <c:ptCount val="1"/>
                <c:pt idx="0">
                  <c:v>Wt_2-1</c:v>
                </c:pt>
              </c:strCache>
            </c:strRef>
          </c:tx>
          <c:spPr>
            <a:ln w="19050" cap="rnd">
              <a:solidFill>
                <a:schemeClr val="accent5"/>
              </a:solidFill>
              <a:round/>
            </a:ln>
            <a:effectLst/>
          </c:spPr>
          <c:marker>
            <c:symbol val="none"/>
          </c:marker>
          <c:xVal>
            <c:numRef>
              <c:f>'GearTrain Force'!$AE$814:$AF$814</c:f>
              <c:numCache>
                <c:formatCode>General</c:formatCode>
                <c:ptCount val="2"/>
                <c:pt idx="0">
                  <c:v>0.8302661721844784</c:v>
                </c:pt>
                <c:pt idx="1">
                  <c:v>0.62669474361304989</c:v>
                </c:pt>
              </c:numCache>
            </c:numRef>
          </c:xVal>
          <c:yVal>
            <c:numRef>
              <c:f>'GearTrain Force'!$AG$814:$AH$814</c:f>
              <c:numCache>
                <c:formatCode>General</c:formatCode>
                <c:ptCount val="2"/>
                <c:pt idx="0">
                  <c:v>0.27142857142857146</c:v>
                </c:pt>
                <c:pt idx="1">
                  <c:v>0.89412820056693032</c:v>
                </c:pt>
              </c:numCache>
            </c:numRef>
          </c:yVal>
          <c:smooth val="1"/>
          <c:extLst>
            <c:ext xmlns:c16="http://schemas.microsoft.com/office/drawing/2014/chart" uri="{C3380CC4-5D6E-409C-BE32-E72D297353CC}">
              <c16:uniqueId val="{00000004-D95C-4C52-8505-B1F49FAAFFF7}"/>
            </c:ext>
          </c:extLst>
        </c:ser>
        <c:ser>
          <c:idx val="1"/>
          <c:order val="3"/>
          <c:tx>
            <c:v>Dir</c:v>
          </c:tx>
          <c:spPr>
            <a:ln w="6350" cap="rnd">
              <a:solidFill>
                <a:schemeClr val="tx1"/>
              </a:solidFill>
              <a:prstDash val="sysDash"/>
              <a:round/>
            </a:ln>
            <a:effectLst/>
          </c:spPr>
          <c:marker>
            <c:symbol val="none"/>
          </c:marker>
          <c:xVal>
            <c:numRef>
              <c:f>'GearTrain Force'!$BS$1759:$BS$1765</c:f>
              <c:numCache>
                <c:formatCode>General</c:formatCode>
                <c:ptCount val="7"/>
                <c:pt idx="0">
                  <c:v>0.4211098577220424</c:v>
                </c:pt>
                <c:pt idx="1">
                  <c:v>0.50185918581708056</c:v>
                </c:pt>
                <c:pt idx="2">
                  <c:v>0.56735977650406832</c:v>
                </c:pt>
                <c:pt idx="3">
                  <c:v>0.61562142747987958</c:v>
                </c:pt>
                <c:pt idx="4">
                  <c:v>0.64517773290118807</c:v>
                </c:pt>
                <c:pt idx="5">
                  <c:v>0.65513063938397953</c:v>
                </c:pt>
                <c:pt idx="6">
                  <c:v>0.76431907928130949</c:v>
                </c:pt>
              </c:numCache>
            </c:numRef>
          </c:xVal>
          <c:yVal>
            <c:numRef>
              <c:f>'GearTrain Force'!$BT$1759:$BT$1765</c:f>
              <c:numCache>
                <c:formatCode>General</c:formatCode>
                <c:ptCount val="7"/>
                <c:pt idx="0">
                  <c:v>-0.50185918581708056</c:v>
                </c:pt>
                <c:pt idx="1">
                  <c:v>-0.42110985772204235</c:v>
                </c:pt>
                <c:pt idx="2">
                  <c:v>-0.32756531969198971</c:v>
                </c:pt>
                <c:pt idx="3">
                  <c:v>-0.22406787517914567</c:v>
                </c:pt>
                <c:pt idx="4">
                  <c:v>-0.11376224166279894</c:v>
                </c:pt>
                <c:pt idx="5">
                  <c:v>0</c:v>
                </c:pt>
                <c:pt idx="6">
                  <c:v>-0.10918843989732992</c:v>
                </c:pt>
              </c:numCache>
            </c:numRef>
          </c:yVal>
          <c:smooth val="1"/>
          <c:extLst>
            <c:ext xmlns:c16="http://schemas.microsoft.com/office/drawing/2014/chart" uri="{C3380CC4-5D6E-409C-BE32-E72D297353CC}">
              <c16:uniqueId val="{00000005-D95C-4C52-8505-B1F49FAAFFF7}"/>
            </c:ext>
          </c:extLst>
        </c:ser>
        <c:ser>
          <c:idx val="2"/>
          <c:order val="4"/>
          <c:tx>
            <c:strRef>
              <c:f>'GearTrain Force'!$AI$814</c:f>
              <c:strCache>
                <c:ptCount val="1"/>
                <c:pt idx="0">
                  <c:v>W_2-1 (exclude axial)</c:v>
                </c:pt>
              </c:strCache>
            </c:strRef>
          </c:tx>
          <c:spPr>
            <a:ln w="19050" cap="rnd">
              <a:solidFill>
                <a:srgbClr val="74350A"/>
              </a:solidFill>
              <a:round/>
            </a:ln>
            <a:effectLst/>
          </c:spPr>
          <c:marker>
            <c:symbol val="none"/>
          </c:marker>
          <c:xVal>
            <c:numRef>
              <c:f>'GearTrain Force'!$AO$814:$AP$814</c:f>
              <c:numCache>
                <c:formatCode>General</c:formatCode>
                <c:ptCount val="2"/>
                <c:pt idx="0">
                  <c:v>0.8302661721844784</c:v>
                </c:pt>
                <c:pt idx="1">
                  <c:v>0.87676887200162201</c:v>
                </c:pt>
              </c:numCache>
            </c:numRef>
          </c:xVal>
          <c:yVal>
            <c:numRef>
              <c:f>'GearTrain Force'!$AQ$814:$AR$814</c:f>
              <c:numCache>
                <c:formatCode>General</c:formatCode>
                <c:ptCount val="2"/>
                <c:pt idx="0">
                  <c:v>0.27142857142857146</c:v>
                </c:pt>
                <c:pt idx="1">
                  <c:v>0.97588181849546307</c:v>
                </c:pt>
              </c:numCache>
            </c:numRef>
          </c:yVal>
          <c:smooth val="1"/>
          <c:extLst xmlns:c15="http://schemas.microsoft.com/office/drawing/2012/chart">
            <c:ext xmlns:c16="http://schemas.microsoft.com/office/drawing/2014/chart" uri="{C3380CC4-5D6E-409C-BE32-E72D297353CC}">
              <c16:uniqueId val="{00000006-D95C-4C52-8505-B1F49FAAFFF7}"/>
            </c:ext>
          </c:extLst>
        </c:ser>
        <c:ser>
          <c:idx val="5"/>
          <c:order val="5"/>
          <c:tx>
            <c:strRef>
              <c:f>'GearTrain Force'!$AS$813</c:f>
              <c:strCache>
                <c:ptCount val="1"/>
                <c:pt idx="0">
                  <c:v>W_a1</c:v>
                </c:pt>
              </c:strCache>
            </c:strRef>
          </c:tx>
          <c:spPr>
            <a:ln w="19050" cap="rnd">
              <a:solidFill>
                <a:schemeClr val="tx1">
                  <a:lumMod val="50000"/>
                  <a:lumOff val="50000"/>
                </a:schemeClr>
              </a:solidFill>
              <a:round/>
            </a:ln>
            <a:effectLst/>
          </c:spPr>
          <c:marker>
            <c:symbol val="none"/>
          </c:marker>
          <c:xVal>
            <c:numRef>
              <c:f>'GearTrain Force'!$AY$813:$AZ$813</c:f>
              <c:numCache>
                <c:formatCode>General</c:formatCode>
                <c:ptCount val="2"/>
                <c:pt idx="0">
                  <c:v>0</c:v>
                </c:pt>
                <c:pt idx="1">
                  <c:v>-4.6502699817143611E-2</c:v>
                </c:pt>
              </c:numCache>
            </c:numRef>
          </c:xVal>
          <c:yVal>
            <c:numRef>
              <c:f>'GearTrain Force'!$BA$813:$BB$813</c:f>
              <c:numCache>
                <c:formatCode>General</c:formatCode>
                <c:ptCount val="2"/>
                <c:pt idx="0">
                  <c:v>0</c:v>
                </c:pt>
                <c:pt idx="1">
                  <c:v>-0.70445324706689161</c:v>
                </c:pt>
              </c:numCache>
            </c:numRef>
          </c:yVal>
          <c:smooth val="1"/>
          <c:extLst xmlns:c15="http://schemas.microsoft.com/office/drawing/2012/chart">
            <c:ext xmlns:c16="http://schemas.microsoft.com/office/drawing/2014/chart" uri="{C3380CC4-5D6E-409C-BE32-E72D297353CC}">
              <c16:uniqueId val="{00000007-D95C-4C52-8505-B1F49FAAFFF7}"/>
            </c:ext>
          </c:extLst>
        </c:ser>
        <c:dLbls>
          <c:showLegendKey val="0"/>
          <c:showVal val="0"/>
          <c:showCatName val="0"/>
          <c:showSerName val="0"/>
          <c:showPercent val="0"/>
          <c:showBubbleSize val="0"/>
        </c:dLbls>
        <c:axId val="725150128"/>
        <c:axId val="725143896"/>
        <c:extLst/>
      </c:scatterChart>
      <c:valAx>
        <c:axId val="725150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43896"/>
        <c:crosses val="autoZero"/>
        <c:crossBetween val="midCat"/>
      </c:valAx>
      <c:valAx>
        <c:axId val="72514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501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28574</xdr:colOff>
      <xdr:row>8</xdr:row>
      <xdr:rowOff>38100</xdr:rowOff>
    </xdr:from>
    <xdr:to>
      <xdr:col>9</xdr:col>
      <xdr:colOff>457199</xdr:colOff>
      <xdr:row>19</xdr:row>
      <xdr:rowOff>66675</xdr:rowOff>
    </xdr:to>
    <xdr:pic>
      <xdr:nvPicPr>
        <xdr:cNvPr id="4" name="Picture 3">
          <a:extLst>
            <a:ext uri="{FF2B5EF4-FFF2-40B4-BE49-F238E27FC236}">
              <a16:creationId xmlns:a16="http://schemas.microsoft.com/office/drawing/2014/main" id="{8CF9500F-86DB-4D8B-BAA6-158D926F4325}"/>
            </a:ext>
          </a:extLst>
        </xdr:cNvPr>
        <xdr:cNvPicPr>
          <a:picLocks noChangeAspect="1"/>
        </xdr:cNvPicPr>
      </xdr:nvPicPr>
      <xdr:blipFill>
        <a:blip xmlns:r="http://schemas.openxmlformats.org/officeDocument/2006/relationships" r:embed="rId1"/>
        <a:stretch>
          <a:fillRect/>
        </a:stretch>
      </xdr:blipFill>
      <xdr:spPr>
        <a:xfrm>
          <a:off x="638174" y="609600"/>
          <a:ext cx="5486400" cy="3457575"/>
        </a:xfrm>
        <a:prstGeom prst="rect">
          <a:avLst/>
        </a:prstGeom>
        <a:ln>
          <a:solidFill>
            <a:sysClr val="windowText" lastClr="000000"/>
          </a:solidFill>
        </a:ln>
      </xdr:spPr>
    </xdr:pic>
    <xdr:clientData/>
  </xdr:twoCellAnchor>
  <xdr:twoCellAnchor editAs="oneCell">
    <xdr:from>
      <xdr:col>10</xdr:col>
      <xdr:colOff>35574</xdr:colOff>
      <xdr:row>8</xdr:row>
      <xdr:rowOff>38100</xdr:rowOff>
    </xdr:from>
    <xdr:to>
      <xdr:col>19</xdr:col>
      <xdr:colOff>492774</xdr:colOff>
      <xdr:row>19</xdr:row>
      <xdr:rowOff>325229</xdr:rowOff>
    </xdr:to>
    <xdr:pic>
      <xdr:nvPicPr>
        <xdr:cNvPr id="5" name="Picture 4">
          <a:extLst>
            <a:ext uri="{FF2B5EF4-FFF2-40B4-BE49-F238E27FC236}">
              <a16:creationId xmlns:a16="http://schemas.microsoft.com/office/drawing/2014/main" id="{80869E98-136D-450F-A20D-6DF30A218365}"/>
            </a:ext>
          </a:extLst>
        </xdr:cNvPr>
        <xdr:cNvPicPr>
          <a:picLocks noChangeAspect="1"/>
        </xdr:cNvPicPr>
      </xdr:nvPicPr>
      <xdr:blipFill>
        <a:blip xmlns:r="http://schemas.openxmlformats.org/officeDocument/2006/relationships" r:embed="rId2"/>
        <a:stretch>
          <a:fillRect/>
        </a:stretch>
      </xdr:blipFill>
      <xdr:spPr>
        <a:xfrm>
          <a:off x="6226824" y="609600"/>
          <a:ext cx="5943600" cy="3716129"/>
        </a:xfrm>
        <a:prstGeom prst="rect">
          <a:avLst/>
        </a:prstGeom>
        <a:ln>
          <a:solidFill>
            <a:sysClr val="windowText" lastClr="000000"/>
          </a:solidFill>
        </a:ln>
      </xdr:spPr>
    </xdr:pic>
    <xdr:clientData/>
  </xdr:twoCellAnchor>
  <xdr:twoCellAnchor editAs="oneCell">
    <xdr:from>
      <xdr:col>1</xdr:col>
      <xdr:colOff>28574</xdr:colOff>
      <xdr:row>20</xdr:row>
      <xdr:rowOff>104775</xdr:rowOff>
    </xdr:from>
    <xdr:to>
      <xdr:col>9</xdr:col>
      <xdr:colOff>457199</xdr:colOff>
      <xdr:row>34</xdr:row>
      <xdr:rowOff>45451</xdr:rowOff>
    </xdr:to>
    <xdr:pic>
      <xdr:nvPicPr>
        <xdr:cNvPr id="6" name="Picture 5">
          <a:extLst>
            <a:ext uri="{FF2B5EF4-FFF2-40B4-BE49-F238E27FC236}">
              <a16:creationId xmlns:a16="http://schemas.microsoft.com/office/drawing/2014/main" id="{4B501F86-5BB0-4145-8A77-1AC79C7A9CEE}"/>
            </a:ext>
          </a:extLst>
        </xdr:cNvPr>
        <xdr:cNvPicPr>
          <a:picLocks noChangeAspect="1"/>
        </xdr:cNvPicPr>
      </xdr:nvPicPr>
      <xdr:blipFill>
        <a:blip xmlns:r="http://schemas.openxmlformats.org/officeDocument/2006/relationships" r:embed="rId3"/>
        <a:stretch>
          <a:fillRect/>
        </a:stretch>
      </xdr:blipFill>
      <xdr:spPr>
        <a:xfrm>
          <a:off x="638174" y="4105275"/>
          <a:ext cx="5486400" cy="2607676"/>
        </a:xfrm>
        <a:prstGeom prst="rect">
          <a:avLst/>
        </a:prstGeom>
        <a:ln>
          <a:solidFill>
            <a:sysClr val="windowText" lastClr="000000"/>
          </a:solidFill>
        </a:ln>
      </xdr:spPr>
    </xdr:pic>
    <xdr:clientData/>
  </xdr:twoCellAnchor>
  <xdr:twoCellAnchor editAs="oneCell">
    <xdr:from>
      <xdr:col>1</xdr:col>
      <xdr:colOff>28574</xdr:colOff>
      <xdr:row>34</xdr:row>
      <xdr:rowOff>95250</xdr:rowOff>
    </xdr:from>
    <xdr:to>
      <xdr:col>9</xdr:col>
      <xdr:colOff>457199</xdr:colOff>
      <xdr:row>48</xdr:row>
      <xdr:rowOff>107866</xdr:rowOff>
    </xdr:to>
    <xdr:pic>
      <xdr:nvPicPr>
        <xdr:cNvPr id="7" name="Picture 6">
          <a:extLst>
            <a:ext uri="{FF2B5EF4-FFF2-40B4-BE49-F238E27FC236}">
              <a16:creationId xmlns:a16="http://schemas.microsoft.com/office/drawing/2014/main" id="{4CC19C44-88B8-4ACA-9551-A46698D88B95}"/>
            </a:ext>
          </a:extLst>
        </xdr:cNvPr>
        <xdr:cNvPicPr>
          <a:picLocks noChangeAspect="1"/>
        </xdr:cNvPicPr>
      </xdr:nvPicPr>
      <xdr:blipFill>
        <a:blip xmlns:r="http://schemas.openxmlformats.org/officeDocument/2006/relationships" r:embed="rId4"/>
        <a:stretch>
          <a:fillRect/>
        </a:stretch>
      </xdr:blipFill>
      <xdr:spPr>
        <a:xfrm>
          <a:off x="638174" y="6762750"/>
          <a:ext cx="5486400" cy="2679616"/>
        </a:xfrm>
        <a:prstGeom prst="rect">
          <a:avLst/>
        </a:prstGeom>
        <a:ln>
          <a:solidFill>
            <a:sysClr val="windowText" lastClr="000000"/>
          </a:solidFill>
        </a:ln>
      </xdr:spPr>
    </xdr:pic>
    <xdr:clientData/>
  </xdr:twoCellAnchor>
  <xdr:twoCellAnchor editAs="oneCell">
    <xdr:from>
      <xdr:col>1</xdr:col>
      <xdr:colOff>28574</xdr:colOff>
      <xdr:row>48</xdr:row>
      <xdr:rowOff>180975</xdr:rowOff>
    </xdr:from>
    <xdr:to>
      <xdr:col>9</xdr:col>
      <xdr:colOff>457199</xdr:colOff>
      <xdr:row>62</xdr:row>
      <xdr:rowOff>40835</xdr:rowOff>
    </xdr:to>
    <xdr:pic>
      <xdr:nvPicPr>
        <xdr:cNvPr id="8" name="Picture 7">
          <a:extLst>
            <a:ext uri="{FF2B5EF4-FFF2-40B4-BE49-F238E27FC236}">
              <a16:creationId xmlns:a16="http://schemas.microsoft.com/office/drawing/2014/main" id="{10C6A75C-D2E5-462A-98F6-85AD14166095}"/>
            </a:ext>
          </a:extLst>
        </xdr:cNvPr>
        <xdr:cNvPicPr>
          <a:picLocks noChangeAspect="1"/>
        </xdr:cNvPicPr>
      </xdr:nvPicPr>
      <xdr:blipFill>
        <a:blip xmlns:r="http://schemas.openxmlformats.org/officeDocument/2006/relationships" r:embed="rId5"/>
        <a:stretch>
          <a:fillRect/>
        </a:stretch>
      </xdr:blipFill>
      <xdr:spPr>
        <a:xfrm>
          <a:off x="638174" y="9515475"/>
          <a:ext cx="5486400" cy="2526860"/>
        </a:xfrm>
        <a:prstGeom prst="rect">
          <a:avLst/>
        </a:prstGeom>
        <a:ln>
          <a:solidFill>
            <a:sysClr val="windowText" lastClr="000000"/>
          </a:solidFill>
        </a:ln>
      </xdr:spPr>
    </xdr:pic>
    <xdr:clientData/>
  </xdr:twoCellAnchor>
  <xdr:twoCellAnchor editAs="oneCell">
    <xdr:from>
      <xdr:col>10</xdr:col>
      <xdr:colOff>35574</xdr:colOff>
      <xdr:row>22</xdr:row>
      <xdr:rowOff>38101</xdr:rowOff>
    </xdr:from>
    <xdr:to>
      <xdr:col>19</xdr:col>
      <xdr:colOff>492774</xdr:colOff>
      <xdr:row>48</xdr:row>
      <xdr:rowOff>65542</xdr:rowOff>
    </xdr:to>
    <xdr:pic>
      <xdr:nvPicPr>
        <xdr:cNvPr id="9" name="Picture 8">
          <a:extLst>
            <a:ext uri="{FF2B5EF4-FFF2-40B4-BE49-F238E27FC236}">
              <a16:creationId xmlns:a16="http://schemas.microsoft.com/office/drawing/2014/main" id="{64013663-F87C-4351-B54C-9BFC4A7F5191}"/>
            </a:ext>
          </a:extLst>
        </xdr:cNvPr>
        <xdr:cNvPicPr>
          <a:picLocks noChangeAspect="1"/>
        </xdr:cNvPicPr>
      </xdr:nvPicPr>
      <xdr:blipFill>
        <a:blip xmlns:r="http://schemas.openxmlformats.org/officeDocument/2006/relationships" r:embed="rId6"/>
        <a:stretch>
          <a:fillRect/>
        </a:stretch>
      </xdr:blipFill>
      <xdr:spPr>
        <a:xfrm>
          <a:off x="6226824" y="4419601"/>
          <a:ext cx="5943600" cy="4980441"/>
        </a:xfrm>
        <a:prstGeom prst="rect">
          <a:avLst/>
        </a:prstGeom>
        <a:ln>
          <a:solidFill>
            <a:sysClr val="windowText" lastClr="000000"/>
          </a:solidFill>
        </a:ln>
      </xdr:spPr>
    </xdr:pic>
    <xdr:clientData/>
  </xdr:twoCellAnchor>
  <xdr:twoCellAnchor editAs="oneCell">
    <xdr:from>
      <xdr:col>10</xdr:col>
      <xdr:colOff>35574</xdr:colOff>
      <xdr:row>48</xdr:row>
      <xdr:rowOff>152400</xdr:rowOff>
    </xdr:from>
    <xdr:to>
      <xdr:col>19</xdr:col>
      <xdr:colOff>492774</xdr:colOff>
      <xdr:row>73</xdr:row>
      <xdr:rowOff>144780</xdr:rowOff>
    </xdr:to>
    <xdr:pic>
      <xdr:nvPicPr>
        <xdr:cNvPr id="10" name="Picture 9">
          <a:extLst>
            <a:ext uri="{FF2B5EF4-FFF2-40B4-BE49-F238E27FC236}">
              <a16:creationId xmlns:a16="http://schemas.microsoft.com/office/drawing/2014/main" id="{8CEA0426-A9F8-44E7-A28C-B95E769E3EDF}"/>
            </a:ext>
          </a:extLst>
        </xdr:cNvPr>
        <xdr:cNvPicPr>
          <a:picLocks noChangeAspect="1"/>
        </xdr:cNvPicPr>
      </xdr:nvPicPr>
      <xdr:blipFill>
        <a:blip xmlns:r="http://schemas.openxmlformats.org/officeDocument/2006/relationships" r:embed="rId7"/>
        <a:stretch>
          <a:fillRect/>
        </a:stretch>
      </xdr:blipFill>
      <xdr:spPr>
        <a:xfrm>
          <a:off x="6226824" y="9486900"/>
          <a:ext cx="5943600" cy="4754880"/>
        </a:xfrm>
        <a:prstGeom prst="rect">
          <a:avLst/>
        </a:prstGeom>
        <a:ln>
          <a:solidFill>
            <a:sysClr val="windowText" lastClr="000000"/>
          </a:solidFill>
        </a:ln>
      </xdr:spPr>
    </xdr:pic>
    <xdr:clientData/>
  </xdr:twoCellAnchor>
  <xdr:twoCellAnchor editAs="oneCell">
    <xdr:from>
      <xdr:col>1</xdr:col>
      <xdr:colOff>28574</xdr:colOff>
      <xdr:row>62</xdr:row>
      <xdr:rowOff>95249</xdr:rowOff>
    </xdr:from>
    <xdr:to>
      <xdr:col>9</xdr:col>
      <xdr:colOff>457199</xdr:colOff>
      <xdr:row>76</xdr:row>
      <xdr:rowOff>19322</xdr:rowOff>
    </xdr:to>
    <xdr:pic>
      <xdr:nvPicPr>
        <xdr:cNvPr id="11" name="Picture 10">
          <a:extLst>
            <a:ext uri="{FF2B5EF4-FFF2-40B4-BE49-F238E27FC236}">
              <a16:creationId xmlns:a16="http://schemas.microsoft.com/office/drawing/2014/main" id="{40A777B7-5CDE-4F10-B764-465B1AC6A483}"/>
            </a:ext>
          </a:extLst>
        </xdr:cNvPr>
        <xdr:cNvPicPr>
          <a:picLocks noChangeAspect="1"/>
        </xdr:cNvPicPr>
      </xdr:nvPicPr>
      <xdr:blipFill>
        <a:blip xmlns:r="http://schemas.openxmlformats.org/officeDocument/2006/relationships" r:embed="rId8"/>
        <a:stretch>
          <a:fillRect/>
        </a:stretch>
      </xdr:blipFill>
      <xdr:spPr>
        <a:xfrm>
          <a:off x="638174" y="12096749"/>
          <a:ext cx="5486400" cy="2591073"/>
        </a:xfrm>
        <a:prstGeom prst="rect">
          <a:avLst/>
        </a:prstGeom>
        <a:ln>
          <a:solidFill>
            <a:sysClr val="windowText" lastClr="000000"/>
          </a:solidFill>
        </a:ln>
      </xdr:spPr>
    </xdr:pic>
    <xdr:clientData/>
  </xdr:twoCellAnchor>
  <xdr:twoCellAnchor editAs="oneCell">
    <xdr:from>
      <xdr:col>10</xdr:col>
      <xdr:colOff>35574</xdr:colOff>
      <xdr:row>74</xdr:row>
      <xdr:rowOff>19050</xdr:rowOff>
    </xdr:from>
    <xdr:to>
      <xdr:col>19</xdr:col>
      <xdr:colOff>492774</xdr:colOff>
      <xdr:row>84</xdr:row>
      <xdr:rowOff>75607</xdr:rowOff>
    </xdr:to>
    <xdr:pic>
      <xdr:nvPicPr>
        <xdr:cNvPr id="12" name="Picture 11">
          <a:extLst>
            <a:ext uri="{FF2B5EF4-FFF2-40B4-BE49-F238E27FC236}">
              <a16:creationId xmlns:a16="http://schemas.microsoft.com/office/drawing/2014/main" id="{A34BF7EB-E333-4CB7-8BBD-A530206A6CA4}"/>
            </a:ext>
          </a:extLst>
        </xdr:cNvPr>
        <xdr:cNvPicPr>
          <a:picLocks noChangeAspect="1"/>
        </xdr:cNvPicPr>
      </xdr:nvPicPr>
      <xdr:blipFill>
        <a:blip xmlns:r="http://schemas.openxmlformats.org/officeDocument/2006/relationships" r:embed="rId9"/>
        <a:stretch>
          <a:fillRect/>
        </a:stretch>
      </xdr:blipFill>
      <xdr:spPr>
        <a:xfrm>
          <a:off x="6226824" y="14306550"/>
          <a:ext cx="5943600" cy="1961557"/>
        </a:xfrm>
        <a:prstGeom prst="rect">
          <a:avLst/>
        </a:prstGeom>
        <a:ln>
          <a:solidFill>
            <a:sysClr val="windowText" lastClr="000000"/>
          </a:solidFill>
        </a:ln>
      </xdr:spPr>
    </xdr:pic>
    <xdr:clientData/>
  </xdr:twoCellAnchor>
  <xdr:twoCellAnchor editAs="oneCell">
    <xdr:from>
      <xdr:col>10</xdr:col>
      <xdr:colOff>35574</xdr:colOff>
      <xdr:row>84</xdr:row>
      <xdr:rowOff>152400</xdr:rowOff>
    </xdr:from>
    <xdr:to>
      <xdr:col>19</xdr:col>
      <xdr:colOff>492774</xdr:colOff>
      <xdr:row>108</xdr:row>
      <xdr:rowOff>126497</xdr:rowOff>
    </xdr:to>
    <xdr:pic>
      <xdr:nvPicPr>
        <xdr:cNvPr id="13" name="Picture 12">
          <a:extLst>
            <a:ext uri="{FF2B5EF4-FFF2-40B4-BE49-F238E27FC236}">
              <a16:creationId xmlns:a16="http://schemas.microsoft.com/office/drawing/2014/main" id="{914A1A4E-7C98-4B72-93E8-7ECA186884BB}"/>
            </a:ext>
          </a:extLst>
        </xdr:cNvPr>
        <xdr:cNvPicPr>
          <a:picLocks noChangeAspect="1"/>
        </xdr:cNvPicPr>
      </xdr:nvPicPr>
      <xdr:blipFill>
        <a:blip xmlns:r="http://schemas.openxmlformats.org/officeDocument/2006/relationships" r:embed="rId10"/>
        <a:stretch>
          <a:fillRect/>
        </a:stretch>
      </xdr:blipFill>
      <xdr:spPr>
        <a:xfrm>
          <a:off x="6226824" y="16344900"/>
          <a:ext cx="5943600" cy="4546097"/>
        </a:xfrm>
        <a:prstGeom prst="rect">
          <a:avLst/>
        </a:prstGeom>
        <a:ln>
          <a:solidFill>
            <a:sysClr val="windowText" lastClr="000000"/>
          </a:solidFill>
        </a:ln>
      </xdr:spPr>
    </xdr:pic>
    <xdr:clientData/>
  </xdr:twoCellAnchor>
  <xdr:twoCellAnchor editAs="oneCell">
    <xdr:from>
      <xdr:col>10</xdr:col>
      <xdr:colOff>35574</xdr:colOff>
      <xdr:row>108</xdr:row>
      <xdr:rowOff>180976</xdr:rowOff>
    </xdr:from>
    <xdr:to>
      <xdr:col>19</xdr:col>
      <xdr:colOff>492774</xdr:colOff>
      <xdr:row>133</xdr:row>
      <xdr:rowOff>13528</xdr:rowOff>
    </xdr:to>
    <xdr:pic>
      <xdr:nvPicPr>
        <xdr:cNvPr id="14" name="Picture 13">
          <a:extLst>
            <a:ext uri="{FF2B5EF4-FFF2-40B4-BE49-F238E27FC236}">
              <a16:creationId xmlns:a16="http://schemas.microsoft.com/office/drawing/2014/main" id="{F550FF2A-233B-40F3-8944-97D30ECC0864}"/>
            </a:ext>
          </a:extLst>
        </xdr:cNvPr>
        <xdr:cNvPicPr>
          <a:picLocks noChangeAspect="1"/>
        </xdr:cNvPicPr>
      </xdr:nvPicPr>
      <xdr:blipFill>
        <a:blip xmlns:r="http://schemas.openxmlformats.org/officeDocument/2006/relationships" r:embed="rId11"/>
        <a:stretch>
          <a:fillRect/>
        </a:stretch>
      </xdr:blipFill>
      <xdr:spPr>
        <a:xfrm>
          <a:off x="6226824" y="20945476"/>
          <a:ext cx="5943600" cy="4595052"/>
        </a:xfrm>
        <a:prstGeom prst="rect">
          <a:avLst/>
        </a:prstGeom>
        <a:ln>
          <a:solidFill>
            <a:sysClr val="windowText" lastClr="000000"/>
          </a:solidFill>
        </a:ln>
      </xdr:spPr>
    </xdr:pic>
    <xdr:clientData/>
  </xdr:twoCellAnchor>
  <xdr:twoCellAnchor editAs="oneCell">
    <xdr:from>
      <xdr:col>1</xdr:col>
      <xdr:colOff>28574</xdr:colOff>
      <xdr:row>76</xdr:row>
      <xdr:rowOff>76201</xdr:rowOff>
    </xdr:from>
    <xdr:to>
      <xdr:col>9</xdr:col>
      <xdr:colOff>457199</xdr:colOff>
      <xdr:row>100</xdr:row>
      <xdr:rowOff>179924</xdr:rowOff>
    </xdr:to>
    <xdr:pic>
      <xdr:nvPicPr>
        <xdr:cNvPr id="15" name="Picture 14">
          <a:extLst>
            <a:ext uri="{FF2B5EF4-FFF2-40B4-BE49-F238E27FC236}">
              <a16:creationId xmlns:a16="http://schemas.microsoft.com/office/drawing/2014/main" id="{890F62DB-4F59-43E7-859E-5DE7025678E7}"/>
            </a:ext>
          </a:extLst>
        </xdr:cNvPr>
        <xdr:cNvPicPr>
          <a:picLocks noChangeAspect="1"/>
        </xdr:cNvPicPr>
      </xdr:nvPicPr>
      <xdr:blipFill>
        <a:blip xmlns:r="http://schemas.openxmlformats.org/officeDocument/2006/relationships" r:embed="rId12"/>
        <a:stretch>
          <a:fillRect/>
        </a:stretch>
      </xdr:blipFill>
      <xdr:spPr>
        <a:xfrm>
          <a:off x="638174" y="14744701"/>
          <a:ext cx="5486400" cy="4675723"/>
        </a:xfrm>
        <a:prstGeom prst="rect">
          <a:avLst/>
        </a:prstGeom>
        <a:ln>
          <a:solidFill>
            <a:sysClr val="windowText" lastClr="000000"/>
          </a:solidFill>
        </a:ln>
      </xdr:spPr>
    </xdr:pic>
    <xdr:clientData/>
  </xdr:twoCellAnchor>
  <xdr:twoCellAnchor editAs="oneCell">
    <xdr:from>
      <xdr:col>1</xdr:col>
      <xdr:colOff>28574</xdr:colOff>
      <xdr:row>101</xdr:row>
      <xdr:rowOff>76200</xdr:rowOff>
    </xdr:from>
    <xdr:to>
      <xdr:col>9</xdr:col>
      <xdr:colOff>457199</xdr:colOff>
      <xdr:row>134</xdr:row>
      <xdr:rowOff>177844</xdr:rowOff>
    </xdr:to>
    <xdr:pic>
      <xdr:nvPicPr>
        <xdr:cNvPr id="16" name="Picture 15">
          <a:extLst>
            <a:ext uri="{FF2B5EF4-FFF2-40B4-BE49-F238E27FC236}">
              <a16:creationId xmlns:a16="http://schemas.microsoft.com/office/drawing/2014/main" id="{EDE01DB1-5B43-4F40-8358-D242C15C97C1}"/>
            </a:ext>
          </a:extLst>
        </xdr:cNvPr>
        <xdr:cNvPicPr>
          <a:picLocks noChangeAspect="1"/>
        </xdr:cNvPicPr>
      </xdr:nvPicPr>
      <xdr:blipFill>
        <a:blip xmlns:r="http://schemas.openxmlformats.org/officeDocument/2006/relationships" r:embed="rId13"/>
        <a:stretch>
          <a:fillRect/>
        </a:stretch>
      </xdr:blipFill>
      <xdr:spPr>
        <a:xfrm>
          <a:off x="638174" y="19507200"/>
          <a:ext cx="5486400" cy="6388144"/>
        </a:xfrm>
        <a:prstGeom prst="rect">
          <a:avLst/>
        </a:prstGeom>
        <a:ln>
          <a:solidFill>
            <a:sysClr val="windowText" lastClr="000000"/>
          </a:solidFill>
        </a:ln>
      </xdr:spPr>
    </xdr:pic>
    <xdr:clientData/>
  </xdr:twoCellAnchor>
  <xdr:twoCellAnchor editAs="oneCell">
    <xdr:from>
      <xdr:col>1</xdr:col>
      <xdr:colOff>28574</xdr:colOff>
      <xdr:row>135</xdr:row>
      <xdr:rowOff>47625</xdr:rowOff>
    </xdr:from>
    <xdr:to>
      <xdr:col>9</xdr:col>
      <xdr:colOff>457199</xdr:colOff>
      <xdr:row>149</xdr:row>
      <xdr:rowOff>17560</xdr:rowOff>
    </xdr:to>
    <xdr:pic>
      <xdr:nvPicPr>
        <xdr:cNvPr id="17" name="Picture 16">
          <a:extLst>
            <a:ext uri="{FF2B5EF4-FFF2-40B4-BE49-F238E27FC236}">
              <a16:creationId xmlns:a16="http://schemas.microsoft.com/office/drawing/2014/main" id="{B9A8F181-F298-4712-BE93-BAA913237896}"/>
            </a:ext>
          </a:extLst>
        </xdr:cNvPr>
        <xdr:cNvPicPr>
          <a:picLocks noChangeAspect="1"/>
        </xdr:cNvPicPr>
      </xdr:nvPicPr>
      <xdr:blipFill>
        <a:blip xmlns:r="http://schemas.openxmlformats.org/officeDocument/2006/relationships" r:embed="rId14"/>
        <a:stretch>
          <a:fillRect/>
        </a:stretch>
      </xdr:blipFill>
      <xdr:spPr>
        <a:xfrm>
          <a:off x="638174" y="25955625"/>
          <a:ext cx="5486400" cy="2636935"/>
        </a:xfrm>
        <a:prstGeom prst="rect">
          <a:avLst/>
        </a:prstGeom>
        <a:ln>
          <a:solidFill>
            <a:sysClr val="windowText" lastClr="000000"/>
          </a:solidFill>
        </a:ln>
      </xdr:spPr>
    </xdr:pic>
    <xdr:clientData/>
  </xdr:twoCellAnchor>
  <xdr:twoCellAnchor editAs="oneCell">
    <xdr:from>
      <xdr:col>10</xdr:col>
      <xdr:colOff>35575</xdr:colOff>
      <xdr:row>133</xdr:row>
      <xdr:rowOff>80699</xdr:rowOff>
    </xdr:from>
    <xdr:to>
      <xdr:col>19</xdr:col>
      <xdr:colOff>492775</xdr:colOff>
      <xdr:row>149</xdr:row>
      <xdr:rowOff>24312</xdr:rowOff>
    </xdr:to>
    <xdr:pic>
      <xdr:nvPicPr>
        <xdr:cNvPr id="18" name="Picture 17">
          <a:extLst>
            <a:ext uri="{FF2B5EF4-FFF2-40B4-BE49-F238E27FC236}">
              <a16:creationId xmlns:a16="http://schemas.microsoft.com/office/drawing/2014/main" id="{A7B0F85F-68A6-4AC7-9881-FA9C9EA46157}"/>
            </a:ext>
          </a:extLst>
        </xdr:cNvPr>
        <xdr:cNvPicPr>
          <a:picLocks noChangeAspect="1"/>
        </xdr:cNvPicPr>
      </xdr:nvPicPr>
      <xdr:blipFill>
        <a:blip xmlns:r="http://schemas.openxmlformats.org/officeDocument/2006/relationships" r:embed="rId15"/>
        <a:stretch>
          <a:fillRect/>
        </a:stretch>
      </xdr:blipFill>
      <xdr:spPr>
        <a:xfrm rot="5400000">
          <a:off x="7702818" y="24131706"/>
          <a:ext cx="2991613" cy="5943600"/>
        </a:xfrm>
        <a:prstGeom prst="rect">
          <a:avLst/>
        </a:prstGeom>
        <a:ln>
          <a:solidFill>
            <a:sysClr val="windowText" lastClr="000000"/>
          </a:solidFill>
        </a:ln>
      </xdr:spPr>
    </xdr:pic>
    <xdr:clientData/>
  </xdr:twoCellAnchor>
  <xdr:twoCellAnchor editAs="oneCell">
    <xdr:from>
      <xdr:col>1</xdr:col>
      <xdr:colOff>28574</xdr:colOff>
      <xdr:row>149</xdr:row>
      <xdr:rowOff>76199</xdr:rowOff>
    </xdr:from>
    <xdr:to>
      <xdr:col>9</xdr:col>
      <xdr:colOff>457199</xdr:colOff>
      <xdr:row>165</xdr:row>
      <xdr:rowOff>116697</xdr:rowOff>
    </xdr:to>
    <xdr:pic>
      <xdr:nvPicPr>
        <xdr:cNvPr id="19" name="Picture 18">
          <a:extLst>
            <a:ext uri="{FF2B5EF4-FFF2-40B4-BE49-F238E27FC236}">
              <a16:creationId xmlns:a16="http://schemas.microsoft.com/office/drawing/2014/main" id="{73A4635F-1E75-49F2-B870-E68F76DF56CC}"/>
            </a:ext>
          </a:extLst>
        </xdr:cNvPr>
        <xdr:cNvPicPr>
          <a:picLocks noChangeAspect="1"/>
        </xdr:cNvPicPr>
      </xdr:nvPicPr>
      <xdr:blipFill>
        <a:blip xmlns:r="http://schemas.openxmlformats.org/officeDocument/2006/relationships" r:embed="rId16"/>
        <a:stretch>
          <a:fillRect/>
        </a:stretch>
      </xdr:blipFill>
      <xdr:spPr>
        <a:xfrm>
          <a:off x="638174" y="28651199"/>
          <a:ext cx="5486400" cy="3088498"/>
        </a:xfrm>
        <a:prstGeom prst="rect">
          <a:avLst/>
        </a:prstGeom>
        <a:ln>
          <a:solidFill>
            <a:sysClr val="windowText" lastClr="000000"/>
          </a:solidFill>
        </a:ln>
      </xdr:spPr>
    </xdr:pic>
    <xdr:clientData/>
  </xdr:twoCellAnchor>
  <xdr:twoCellAnchor editAs="oneCell">
    <xdr:from>
      <xdr:col>10</xdr:col>
      <xdr:colOff>35574</xdr:colOff>
      <xdr:row>149</xdr:row>
      <xdr:rowOff>95249</xdr:rowOff>
    </xdr:from>
    <xdr:to>
      <xdr:col>19</xdr:col>
      <xdr:colOff>492774</xdr:colOff>
      <xdr:row>157</xdr:row>
      <xdr:rowOff>35888</xdr:rowOff>
    </xdr:to>
    <xdr:pic>
      <xdr:nvPicPr>
        <xdr:cNvPr id="20" name="Picture 19">
          <a:extLst>
            <a:ext uri="{FF2B5EF4-FFF2-40B4-BE49-F238E27FC236}">
              <a16:creationId xmlns:a16="http://schemas.microsoft.com/office/drawing/2014/main" id="{EE518A46-9561-4622-AE8E-C82A3AB7D1D2}"/>
            </a:ext>
          </a:extLst>
        </xdr:cNvPr>
        <xdr:cNvPicPr>
          <a:picLocks noChangeAspect="1"/>
        </xdr:cNvPicPr>
      </xdr:nvPicPr>
      <xdr:blipFill>
        <a:blip xmlns:r="http://schemas.openxmlformats.org/officeDocument/2006/relationships" r:embed="rId17"/>
        <a:stretch>
          <a:fillRect/>
        </a:stretch>
      </xdr:blipFill>
      <xdr:spPr>
        <a:xfrm>
          <a:off x="6226824" y="28670249"/>
          <a:ext cx="5943600" cy="1464639"/>
        </a:xfrm>
        <a:prstGeom prst="rect">
          <a:avLst/>
        </a:prstGeom>
        <a:ln>
          <a:solidFill>
            <a:sysClr val="windowText" lastClr="000000"/>
          </a:solidFill>
        </a:ln>
      </xdr:spPr>
    </xdr:pic>
    <xdr:clientData/>
  </xdr:twoCellAnchor>
  <xdr:twoCellAnchor editAs="oneCell">
    <xdr:from>
      <xdr:col>1</xdr:col>
      <xdr:colOff>28574</xdr:colOff>
      <xdr:row>165</xdr:row>
      <xdr:rowOff>180974</xdr:rowOff>
    </xdr:from>
    <xdr:to>
      <xdr:col>9</xdr:col>
      <xdr:colOff>457199</xdr:colOff>
      <xdr:row>178</xdr:row>
      <xdr:rowOff>19940</xdr:rowOff>
    </xdr:to>
    <xdr:pic>
      <xdr:nvPicPr>
        <xdr:cNvPr id="21" name="Picture 20">
          <a:extLst>
            <a:ext uri="{FF2B5EF4-FFF2-40B4-BE49-F238E27FC236}">
              <a16:creationId xmlns:a16="http://schemas.microsoft.com/office/drawing/2014/main" id="{9D991283-86A7-461D-A3FA-58803E051E9F}"/>
            </a:ext>
          </a:extLst>
        </xdr:cNvPr>
        <xdr:cNvPicPr>
          <a:picLocks noChangeAspect="1"/>
        </xdr:cNvPicPr>
      </xdr:nvPicPr>
      <xdr:blipFill>
        <a:blip xmlns:r="http://schemas.openxmlformats.org/officeDocument/2006/relationships" r:embed="rId18"/>
        <a:stretch>
          <a:fillRect/>
        </a:stretch>
      </xdr:blipFill>
      <xdr:spPr>
        <a:xfrm>
          <a:off x="638174" y="31803974"/>
          <a:ext cx="5486400" cy="2315466"/>
        </a:xfrm>
        <a:prstGeom prst="rect">
          <a:avLst/>
        </a:prstGeom>
        <a:ln>
          <a:solidFill>
            <a:sysClr val="windowText" lastClr="000000"/>
          </a:solidFill>
        </a:ln>
      </xdr:spPr>
    </xdr:pic>
    <xdr:clientData/>
  </xdr:twoCellAnchor>
  <xdr:twoCellAnchor editAs="oneCell">
    <xdr:from>
      <xdr:col>1</xdr:col>
      <xdr:colOff>28574</xdr:colOff>
      <xdr:row>178</xdr:row>
      <xdr:rowOff>76201</xdr:rowOff>
    </xdr:from>
    <xdr:to>
      <xdr:col>9</xdr:col>
      <xdr:colOff>457199</xdr:colOff>
      <xdr:row>195</xdr:row>
      <xdr:rowOff>44727</xdr:rowOff>
    </xdr:to>
    <xdr:pic>
      <xdr:nvPicPr>
        <xdr:cNvPr id="22" name="Picture 21">
          <a:extLst>
            <a:ext uri="{FF2B5EF4-FFF2-40B4-BE49-F238E27FC236}">
              <a16:creationId xmlns:a16="http://schemas.microsoft.com/office/drawing/2014/main" id="{33678FB2-EEC7-416A-9902-9BE40AA92BE1}"/>
            </a:ext>
          </a:extLst>
        </xdr:cNvPr>
        <xdr:cNvPicPr>
          <a:picLocks noChangeAspect="1"/>
        </xdr:cNvPicPr>
      </xdr:nvPicPr>
      <xdr:blipFill>
        <a:blip xmlns:r="http://schemas.openxmlformats.org/officeDocument/2006/relationships" r:embed="rId19"/>
        <a:stretch>
          <a:fillRect/>
        </a:stretch>
      </xdr:blipFill>
      <xdr:spPr>
        <a:xfrm>
          <a:off x="638174" y="34175701"/>
          <a:ext cx="5486400" cy="3207026"/>
        </a:xfrm>
        <a:prstGeom prst="rect">
          <a:avLst/>
        </a:prstGeom>
        <a:ln>
          <a:solidFill>
            <a:sysClr val="windowText" lastClr="000000"/>
          </a:solidFill>
        </a:ln>
      </xdr:spPr>
    </xdr:pic>
    <xdr:clientData/>
  </xdr:twoCellAnchor>
  <xdr:twoCellAnchor editAs="oneCell">
    <xdr:from>
      <xdr:col>1</xdr:col>
      <xdr:colOff>28574</xdr:colOff>
      <xdr:row>195</xdr:row>
      <xdr:rowOff>114299</xdr:rowOff>
    </xdr:from>
    <xdr:to>
      <xdr:col>9</xdr:col>
      <xdr:colOff>457199</xdr:colOff>
      <xdr:row>211</xdr:row>
      <xdr:rowOff>117666</xdr:rowOff>
    </xdr:to>
    <xdr:pic>
      <xdr:nvPicPr>
        <xdr:cNvPr id="23" name="Picture 22">
          <a:extLst>
            <a:ext uri="{FF2B5EF4-FFF2-40B4-BE49-F238E27FC236}">
              <a16:creationId xmlns:a16="http://schemas.microsoft.com/office/drawing/2014/main" id="{02F9ECF4-3A67-46D2-A4C6-22B7F0228B12}"/>
            </a:ext>
          </a:extLst>
        </xdr:cNvPr>
        <xdr:cNvPicPr>
          <a:picLocks noChangeAspect="1"/>
        </xdr:cNvPicPr>
      </xdr:nvPicPr>
      <xdr:blipFill>
        <a:blip xmlns:r="http://schemas.openxmlformats.org/officeDocument/2006/relationships" r:embed="rId20"/>
        <a:stretch>
          <a:fillRect/>
        </a:stretch>
      </xdr:blipFill>
      <xdr:spPr>
        <a:xfrm>
          <a:off x="638174" y="37452299"/>
          <a:ext cx="5486400" cy="3051367"/>
        </a:xfrm>
        <a:prstGeom prst="rect">
          <a:avLst/>
        </a:prstGeom>
        <a:ln>
          <a:solidFill>
            <a:sysClr val="windowText" lastClr="000000"/>
          </a:solidFill>
        </a:ln>
      </xdr:spPr>
    </xdr:pic>
    <xdr:clientData/>
  </xdr:twoCellAnchor>
  <xdr:twoCellAnchor editAs="oneCell">
    <xdr:from>
      <xdr:col>1</xdr:col>
      <xdr:colOff>28574</xdr:colOff>
      <xdr:row>211</xdr:row>
      <xdr:rowOff>180975</xdr:rowOff>
    </xdr:from>
    <xdr:to>
      <xdr:col>9</xdr:col>
      <xdr:colOff>457199</xdr:colOff>
      <xdr:row>229</xdr:row>
      <xdr:rowOff>15899</xdr:rowOff>
    </xdr:to>
    <xdr:pic>
      <xdr:nvPicPr>
        <xdr:cNvPr id="24" name="Picture 23">
          <a:extLst>
            <a:ext uri="{FF2B5EF4-FFF2-40B4-BE49-F238E27FC236}">
              <a16:creationId xmlns:a16="http://schemas.microsoft.com/office/drawing/2014/main" id="{59F75061-4712-4DE4-B8E6-6D92EB8E900A}"/>
            </a:ext>
          </a:extLst>
        </xdr:cNvPr>
        <xdr:cNvPicPr>
          <a:picLocks noChangeAspect="1"/>
        </xdr:cNvPicPr>
      </xdr:nvPicPr>
      <xdr:blipFill>
        <a:blip xmlns:r="http://schemas.openxmlformats.org/officeDocument/2006/relationships" r:embed="rId21"/>
        <a:stretch>
          <a:fillRect/>
        </a:stretch>
      </xdr:blipFill>
      <xdr:spPr>
        <a:xfrm>
          <a:off x="638174" y="40566975"/>
          <a:ext cx="5486400" cy="3263924"/>
        </a:xfrm>
        <a:prstGeom prst="rect">
          <a:avLst/>
        </a:prstGeom>
        <a:ln>
          <a:solidFill>
            <a:sysClr val="windowText" lastClr="000000"/>
          </a:solidFill>
        </a:ln>
      </xdr:spPr>
    </xdr:pic>
    <xdr:clientData/>
  </xdr:twoCellAnchor>
  <xdr:twoCellAnchor editAs="oneCell">
    <xdr:from>
      <xdr:col>1</xdr:col>
      <xdr:colOff>28574</xdr:colOff>
      <xdr:row>229</xdr:row>
      <xdr:rowOff>85725</xdr:rowOff>
    </xdr:from>
    <xdr:to>
      <xdr:col>9</xdr:col>
      <xdr:colOff>457199</xdr:colOff>
      <xdr:row>242</xdr:row>
      <xdr:rowOff>74633</xdr:rowOff>
    </xdr:to>
    <xdr:pic>
      <xdr:nvPicPr>
        <xdr:cNvPr id="25" name="Picture 24">
          <a:extLst>
            <a:ext uri="{FF2B5EF4-FFF2-40B4-BE49-F238E27FC236}">
              <a16:creationId xmlns:a16="http://schemas.microsoft.com/office/drawing/2014/main" id="{F78F02E7-FAF0-4E25-BE5E-3E33F4F0EA51}"/>
            </a:ext>
          </a:extLst>
        </xdr:cNvPr>
        <xdr:cNvPicPr>
          <a:picLocks noChangeAspect="1"/>
        </xdr:cNvPicPr>
      </xdr:nvPicPr>
      <xdr:blipFill>
        <a:blip xmlns:r="http://schemas.openxmlformats.org/officeDocument/2006/relationships" r:embed="rId22"/>
        <a:stretch>
          <a:fillRect/>
        </a:stretch>
      </xdr:blipFill>
      <xdr:spPr>
        <a:xfrm>
          <a:off x="638174" y="43900725"/>
          <a:ext cx="5486400" cy="2465408"/>
        </a:xfrm>
        <a:prstGeom prst="rect">
          <a:avLst/>
        </a:prstGeom>
        <a:ln>
          <a:solidFill>
            <a:sysClr val="windowText" lastClr="000000"/>
          </a:solidFill>
        </a:ln>
      </xdr:spPr>
    </xdr:pic>
    <xdr:clientData/>
  </xdr:twoCellAnchor>
  <xdr:twoCellAnchor editAs="oneCell">
    <xdr:from>
      <xdr:col>1</xdr:col>
      <xdr:colOff>28574</xdr:colOff>
      <xdr:row>242</xdr:row>
      <xdr:rowOff>142876</xdr:rowOff>
    </xdr:from>
    <xdr:to>
      <xdr:col>9</xdr:col>
      <xdr:colOff>457199</xdr:colOff>
      <xdr:row>255</xdr:row>
      <xdr:rowOff>143246</xdr:rowOff>
    </xdr:to>
    <xdr:pic>
      <xdr:nvPicPr>
        <xdr:cNvPr id="26" name="Picture 25">
          <a:extLst>
            <a:ext uri="{FF2B5EF4-FFF2-40B4-BE49-F238E27FC236}">
              <a16:creationId xmlns:a16="http://schemas.microsoft.com/office/drawing/2014/main" id="{5C461AD3-2BCA-4565-804E-DA9ECE90BBF6}"/>
            </a:ext>
          </a:extLst>
        </xdr:cNvPr>
        <xdr:cNvPicPr>
          <a:picLocks noChangeAspect="1"/>
        </xdr:cNvPicPr>
      </xdr:nvPicPr>
      <xdr:blipFill>
        <a:blip xmlns:r="http://schemas.openxmlformats.org/officeDocument/2006/relationships" r:embed="rId23"/>
        <a:stretch>
          <a:fillRect/>
        </a:stretch>
      </xdr:blipFill>
      <xdr:spPr>
        <a:xfrm>
          <a:off x="638174" y="46434376"/>
          <a:ext cx="5486400" cy="2476870"/>
        </a:xfrm>
        <a:prstGeom prst="rect">
          <a:avLst/>
        </a:prstGeom>
        <a:ln>
          <a:solidFill>
            <a:sysClr val="windowText" lastClr="000000"/>
          </a:solidFill>
        </a:ln>
      </xdr:spPr>
    </xdr:pic>
    <xdr:clientData/>
  </xdr:twoCellAnchor>
  <xdr:twoCellAnchor editAs="oneCell">
    <xdr:from>
      <xdr:col>10</xdr:col>
      <xdr:colOff>35574</xdr:colOff>
      <xdr:row>157</xdr:row>
      <xdr:rowOff>104774</xdr:rowOff>
    </xdr:from>
    <xdr:to>
      <xdr:col>19</xdr:col>
      <xdr:colOff>492774</xdr:colOff>
      <xdr:row>170</xdr:row>
      <xdr:rowOff>77559</xdr:rowOff>
    </xdr:to>
    <xdr:pic>
      <xdr:nvPicPr>
        <xdr:cNvPr id="27" name="Picture 26">
          <a:extLst>
            <a:ext uri="{FF2B5EF4-FFF2-40B4-BE49-F238E27FC236}">
              <a16:creationId xmlns:a16="http://schemas.microsoft.com/office/drawing/2014/main" id="{46F5729C-1B27-4010-B0C9-B66EE4813282}"/>
            </a:ext>
          </a:extLst>
        </xdr:cNvPr>
        <xdr:cNvPicPr>
          <a:picLocks noChangeAspect="1"/>
        </xdr:cNvPicPr>
      </xdr:nvPicPr>
      <xdr:blipFill>
        <a:blip xmlns:r="http://schemas.openxmlformats.org/officeDocument/2006/relationships" r:embed="rId24"/>
        <a:stretch>
          <a:fillRect/>
        </a:stretch>
      </xdr:blipFill>
      <xdr:spPr>
        <a:xfrm>
          <a:off x="6226824" y="30203774"/>
          <a:ext cx="5943600" cy="2449285"/>
        </a:xfrm>
        <a:prstGeom prst="rect">
          <a:avLst/>
        </a:prstGeom>
        <a:ln>
          <a:solidFill>
            <a:sysClr val="windowText" lastClr="000000"/>
          </a:solidFill>
        </a:ln>
      </xdr:spPr>
    </xdr:pic>
    <xdr:clientData/>
  </xdr:twoCellAnchor>
  <xdr:twoCellAnchor editAs="oneCell">
    <xdr:from>
      <xdr:col>1</xdr:col>
      <xdr:colOff>28574</xdr:colOff>
      <xdr:row>256</xdr:row>
      <xdr:rowOff>28573</xdr:rowOff>
    </xdr:from>
    <xdr:to>
      <xdr:col>9</xdr:col>
      <xdr:colOff>457199</xdr:colOff>
      <xdr:row>266</xdr:row>
      <xdr:rowOff>66673</xdr:rowOff>
    </xdr:to>
    <xdr:pic>
      <xdr:nvPicPr>
        <xdr:cNvPr id="28" name="Picture 27">
          <a:extLst>
            <a:ext uri="{FF2B5EF4-FFF2-40B4-BE49-F238E27FC236}">
              <a16:creationId xmlns:a16="http://schemas.microsoft.com/office/drawing/2014/main" id="{0917DCF1-8C02-4C1F-A5F9-895F8DEB3CF6}"/>
            </a:ext>
          </a:extLst>
        </xdr:cNvPr>
        <xdr:cNvPicPr>
          <a:picLocks noChangeAspect="1"/>
        </xdr:cNvPicPr>
      </xdr:nvPicPr>
      <xdr:blipFill>
        <a:blip xmlns:r="http://schemas.openxmlformats.org/officeDocument/2006/relationships" r:embed="rId25"/>
        <a:stretch>
          <a:fillRect/>
        </a:stretch>
      </xdr:blipFill>
      <xdr:spPr>
        <a:xfrm>
          <a:off x="638174" y="48987073"/>
          <a:ext cx="5486400" cy="1943100"/>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571501</xdr:colOff>
      <xdr:row>35</xdr:row>
      <xdr:rowOff>84670</xdr:rowOff>
    </xdr:from>
    <xdr:to>
      <xdr:col>9</xdr:col>
      <xdr:colOff>158751</xdr:colOff>
      <xdr:row>65</xdr:row>
      <xdr:rowOff>63502</xdr:rowOff>
    </xdr:to>
    <xdr:graphicFrame macro="">
      <xdr:nvGraphicFramePr>
        <xdr:cNvPr id="2" name="Chart 1">
          <a:extLst>
            <a:ext uri="{FF2B5EF4-FFF2-40B4-BE49-F238E27FC236}">
              <a16:creationId xmlns:a16="http://schemas.microsoft.com/office/drawing/2014/main" id="{207D3A1B-226F-4D0B-A478-23623344E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179916</xdr:colOff>
      <xdr:row>39</xdr:row>
      <xdr:rowOff>10586</xdr:rowOff>
    </xdr:from>
    <xdr:to>
      <xdr:col>12</xdr:col>
      <xdr:colOff>1291167</xdr:colOff>
      <xdr:row>64</xdr:row>
      <xdr:rowOff>84668</xdr:rowOff>
    </xdr:to>
    <xdr:graphicFrame macro="">
      <xdr:nvGraphicFramePr>
        <xdr:cNvPr id="3" name="Chart 2">
          <a:extLst>
            <a:ext uri="{FF2B5EF4-FFF2-40B4-BE49-F238E27FC236}">
              <a16:creationId xmlns:a16="http://schemas.microsoft.com/office/drawing/2014/main" id="{6C9A808B-6C22-47FB-8FFC-96E074252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1312334</xdr:colOff>
      <xdr:row>39</xdr:row>
      <xdr:rowOff>55034</xdr:rowOff>
    </xdr:from>
    <xdr:to>
      <xdr:col>15</xdr:col>
      <xdr:colOff>603250</xdr:colOff>
      <xdr:row>56</xdr:row>
      <xdr:rowOff>95250</xdr:rowOff>
    </xdr:to>
    <xdr:graphicFrame macro="">
      <xdr:nvGraphicFramePr>
        <xdr:cNvPr id="4" name="Chart 3">
          <a:extLst>
            <a:ext uri="{FF2B5EF4-FFF2-40B4-BE49-F238E27FC236}">
              <a16:creationId xmlns:a16="http://schemas.microsoft.com/office/drawing/2014/main" id="{1C5B8055-1506-48CF-90E0-6EE86A43D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783167</xdr:colOff>
      <xdr:row>35</xdr:row>
      <xdr:rowOff>159809</xdr:rowOff>
    </xdr:from>
    <xdr:to>
      <xdr:col>20</xdr:col>
      <xdr:colOff>127000</xdr:colOff>
      <xdr:row>55</xdr:row>
      <xdr:rowOff>127000</xdr:rowOff>
    </xdr:to>
    <xdr:graphicFrame macro="">
      <xdr:nvGraphicFramePr>
        <xdr:cNvPr id="5" name="Chart 4">
          <a:extLst>
            <a:ext uri="{FF2B5EF4-FFF2-40B4-BE49-F238E27FC236}">
              <a16:creationId xmlns:a16="http://schemas.microsoft.com/office/drawing/2014/main" id="{DFBAF662-8C7D-4B68-A5B3-3633617FA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232834</xdr:colOff>
      <xdr:row>24</xdr:row>
      <xdr:rowOff>165102</xdr:rowOff>
    </xdr:from>
    <xdr:to>
      <xdr:col>27</xdr:col>
      <xdr:colOff>266247</xdr:colOff>
      <xdr:row>42</xdr:row>
      <xdr:rowOff>14819</xdr:rowOff>
    </xdr:to>
    <xdr:graphicFrame macro="">
      <xdr:nvGraphicFramePr>
        <xdr:cNvPr id="6" name="Chart 5">
          <a:extLst>
            <a:ext uri="{FF2B5EF4-FFF2-40B4-BE49-F238E27FC236}">
              <a16:creationId xmlns:a16="http://schemas.microsoft.com/office/drawing/2014/main" id="{75AC715D-010B-4C69-ABD9-E6AE74824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511114</xdr:colOff>
      <xdr:row>42</xdr:row>
      <xdr:rowOff>122769</xdr:rowOff>
    </xdr:from>
    <xdr:to>
      <xdr:col>29</xdr:col>
      <xdr:colOff>190503</xdr:colOff>
      <xdr:row>63</xdr:row>
      <xdr:rowOff>169336</xdr:rowOff>
    </xdr:to>
    <xdr:graphicFrame macro="">
      <xdr:nvGraphicFramePr>
        <xdr:cNvPr id="7" name="Chart 6">
          <a:extLst>
            <a:ext uri="{FF2B5EF4-FFF2-40B4-BE49-F238E27FC236}">
              <a16:creationId xmlns:a16="http://schemas.microsoft.com/office/drawing/2014/main" id="{8497D27C-0DB3-40BA-B89B-E7BDDA567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116418</xdr:colOff>
      <xdr:row>0</xdr:row>
      <xdr:rowOff>31751</xdr:rowOff>
    </xdr:from>
    <xdr:to>
      <xdr:col>29</xdr:col>
      <xdr:colOff>576793</xdr:colOff>
      <xdr:row>24</xdr:row>
      <xdr:rowOff>50800</xdr:rowOff>
    </xdr:to>
    <xdr:graphicFrame macro="">
      <xdr:nvGraphicFramePr>
        <xdr:cNvPr id="8" name="Chart 7">
          <a:extLst>
            <a:ext uri="{FF2B5EF4-FFF2-40B4-BE49-F238E27FC236}">
              <a16:creationId xmlns:a16="http://schemas.microsoft.com/office/drawing/2014/main" id="{57DABFB8-EB3A-475C-B917-4E8BFBA6D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105833</xdr:colOff>
      <xdr:row>35</xdr:row>
      <xdr:rowOff>95250</xdr:rowOff>
    </xdr:from>
    <xdr:to>
      <xdr:col>6</xdr:col>
      <xdr:colOff>486835</xdr:colOff>
      <xdr:row>65</xdr:row>
      <xdr:rowOff>169334</xdr:rowOff>
    </xdr:to>
    <xdr:graphicFrame macro="">
      <xdr:nvGraphicFramePr>
        <xdr:cNvPr id="9" name="Chart 8">
          <a:extLst>
            <a:ext uri="{FF2B5EF4-FFF2-40B4-BE49-F238E27FC236}">
              <a16:creationId xmlns:a16="http://schemas.microsoft.com/office/drawing/2014/main" id="{541F849C-1BE8-4B65-BF6C-1B91AF09F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0E557-E4A2-4E32-A525-ABA25FC38603}">
  <sheetPr codeName="Sheet1"/>
  <dimension ref="B1:AI49"/>
  <sheetViews>
    <sheetView zoomScaleNormal="100" workbookViewId="0">
      <selection activeCell="A20" sqref="A20"/>
    </sheetView>
  </sheetViews>
  <sheetFormatPr defaultRowHeight="15" x14ac:dyDescent="0.25"/>
  <cols>
    <col min="2" max="2" width="10.42578125" bestFit="1" customWidth="1"/>
    <col min="3" max="3" width="10.5703125" bestFit="1" customWidth="1"/>
    <col min="27" max="35" width="9.140625" customWidth="1"/>
  </cols>
  <sheetData>
    <row r="1" spans="2:35" x14ac:dyDescent="0.25">
      <c r="AA1" s="164" t="s">
        <v>222</v>
      </c>
      <c r="AB1" s="164"/>
      <c r="AC1" s="164"/>
      <c r="AD1" s="164"/>
      <c r="AE1" s="164"/>
      <c r="AF1" s="164"/>
      <c r="AG1" s="164"/>
      <c r="AH1" s="164"/>
      <c r="AI1" s="164"/>
    </row>
    <row r="2" spans="2:35" x14ac:dyDescent="0.25">
      <c r="B2" s="90" t="s">
        <v>434</v>
      </c>
      <c r="AA2" s="24" t="s">
        <v>442</v>
      </c>
      <c r="AB2" s="23" t="s">
        <v>104</v>
      </c>
      <c r="AC2" s="23" t="s">
        <v>106</v>
      </c>
      <c r="AD2" s="23" t="s">
        <v>108</v>
      </c>
      <c r="AE2" s="23" t="s">
        <v>301</v>
      </c>
      <c r="AF2" s="23" t="s">
        <v>308</v>
      </c>
      <c r="AG2" s="23" t="s">
        <v>309</v>
      </c>
      <c r="AH2" s="23" t="s">
        <v>310</v>
      </c>
      <c r="AI2" s="24"/>
    </row>
    <row r="3" spans="2:35" x14ac:dyDescent="0.25">
      <c r="B3" s="91">
        <v>44343</v>
      </c>
      <c r="AA3" s="4" t="s">
        <v>433</v>
      </c>
      <c r="AB3" s="1">
        <v>1</v>
      </c>
      <c r="AC3" s="1">
        <v>2</v>
      </c>
      <c r="AD3" s="1">
        <v>3</v>
      </c>
      <c r="AE3" s="10">
        <v>4</v>
      </c>
      <c r="AF3" s="10">
        <v>5</v>
      </c>
      <c r="AG3" s="10">
        <v>6</v>
      </c>
      <c r="AH3" s="10">
        <v>7</v>
      </c>
      <c r="AI3" s="1"/>
    </row>
    <row r="4" spans="2:35" x14ac:dyDescent="0.25">
      <c r="B4" s="90" t="s">
        <v>435</v>
      </c>
      <c r="AA4" s="5" t="s">
        <v>364</v>
      </c>
      <c r="AB4" s="23" t="s">
        <v>341</v>
      </c>
      <c r="AC4" s="23" t="s">
        <v>340</v>
      </c>
      <c r="AD4" s="5"/>
      <c r="AE4" s="5"/>
      <c r="AF4" s="5"/>
      <c r="AG4" s="5"/>
      <c r="AH4" s="5"/>
      <c r="AI4" s="5"/>
    </row>
    <row r="5" spans="2:35" x14ac:dyDescent="0.25">
      <c r="AA5" s="4" t="s">
        <v>334</v>
      </c>
      <c r="AB5" s="1" t="s">
        <v>335</v>
      </c>
      <c r="AC5" s="1" t="s">
        <v>336</v>
      </c>
      <c r="AD5" s="1"/>
      <c r="AE5" s="1"/>
      <c r="AF5" s="1"/>
      <c r="AG5" s="1"/>
      <c r="AH5" s="1"/>
      <c r="AI5" s="1"/>
    </row>
    <row r="6" spans="2:35" x14ac:dyDescent="0.25">
      <c r="AA6" s="4" t="s">
        <v>81</v>
      </c>
      <c r="AB6" s="1" t="s">
        <v>206</v>
      </c>
      <c r="AC6" s="1" t="s">
        <v>207</v>
      </c>
      <c r="AD6" s="1" t="s">
        <v>208</v>
      </c>
      <c r="AE6" s="1" t="s">
        <v>209</v>
      </c>
      <c r="AF6" s="1" t="s">
        <v>210</v>
      </c>
      <c r="AG6" s="1" t="s">
        <v>211</v>
      </c>
      <c r="AH6" s="1" t="s">
        <v>212</v>
      </c>
      <c r="AI6" s="1" t="s">
        <v>80</v>
      </c>
    </row>
    <row r="7" spans="2:35" x14ac:dyDescent="0.25">
      <c r="B7" t="s">
        <v>252</v>
      </c>
      <c r="AA7" s="4" t="s">
        <v>213</v>
      </c>
      <c r="AB7" s="1" t="s">
        <v>214</v>
      </c>
      <c r="AC7" s="1" t="s">
        <v>70</v>
      </c>
      <c r="AD7" s="1"/>
      <c r="AE7" s="1"/>
      <c r="AF7" s="1"/>
      <c r="AG7" s="1"/>
      <c r="AH7" s="1"/>
      <c r="AI7" s="1"/>
    </row>
    <row r="8" spans="2:35" x14ac:dyDescent="0.25">
      <c r="AA8" s="4" t="s">
        <v>89</v>
      </c>
      <c r="AB8" s="1" t="s">
        <v>88</v>
      </c>
      <c r="AC8" s="1" t="s">
        <v>215</v>
      </c>
      <c r="AD8" s="1" t="s">
        <v>216</v>
      </c>
      <c r="AE8" s="1" t="s">
        <v>217</v>
      </c>
      <c r="AF8" s="1"/>
      <c r="AG8" s="1"/>
      <c r="AH8" s="1"/>
      <c r="AI8" s="1"/>
    </row>
    <row r="9" spans="2:35" x14ac:dyDescent="0.25">
      <c r="AA9" s="4" t="s">
        <v>218</v>
      </c>
      <c r="AB9" s="1" t="s">
        <v>91</v>
      </c>
      <c r="AC9" s="1" t="s">
        <v>219</v>
      </c>
      <c r="AD9" s="1"/>
      <c r="AE9" s="1"/>
      <c r="AF9" s="1"/>
      <c r="AG9" s="1"/>
      <c r="AH9" s="1"/>
      <c r="AI9" s="1"/>
    </row>
    <row r="10" spans="2:35" x14ac:dyDescent="0.25">
      <c r="AA10" s="4" t="s">
        <v>76</v>
      </c>
      <c r="AB10" s="1" t="s">
        <v>220</v>
      </c>
      <c r="AC10" s="1" t="s">
        <v>77</v>
      </c>
      <c r="AD10" s="1"/>
      <c r="AE10" s="1"/>
      <c r="AF10" s="1"/>
      <c r="AG10" s="1"/>
      <c r="AH10" s="1"/>
      <c r="AI10" s="1"/>
    </row>
    <row r="12" spans="2:35" x14ac:dyDescent="0.25">
      <c r="AA12" s="164" t="s">
        <v>223</v>
      </c>
      <c r="AB12" s="164"/>
      <c r="AC12" s="164"/>
      <c r="AD12" s="164"/>
      <c r="AE12" s="164"/>
      <c r="AF12" s="164"/>
      <c r="AG12" s="164"/>
      <c r="AH12" s="164"/>
    </row>
    <row r="13" spans="2:35" ht="30" x14ac:dyDescent="0.25">
      <c r="AA13" s="162" t="s">
        <v>224</v>
      </c>
      <c r="AB13" s="163" t="s">
        <v>225</v>
      </c>
      <c r="AC13" s="6" t="s">
        <v>226</v>
      </c>
      <c r="AD13" s="6" t="s">
        <v>228</v>
      </c>
      <c r="AE13" s="6" t="s">
        <v>230</v>
      </c>
      <c r="AF13" s="6" t="s">
        <v>240</v>
      </c>
      <c r="AG13" s="6" t="s">
        <v>244</v>
      </c>
      <c r="AH13" s="6" t="s">
        <v>248</v>
      </c>
      <c r="AI13" s="3"/>
    </row>
    <row r="14" spans="2:35" ht="30" x14ac:dyDescent="0.25">
      <c r="AA14" s="162"/>
      <c r="AB14" s="163"/>
      <c r="AC14" s="6" t="s">
        <v>227</v>
      </c>
      <c r="AD14" s="6" t="s">
        <v>229</v>
      </c>
      <c r="AE14" s="6" t="s">
        <v>231</v>
      </c>
      <c r="AF14" s="6" t="s">
        <v>241</v>
      </c>
      <c r="AG14" s="6" t="s">
        <v>245</v>
      </c>
      <c r="AH14" s="6" t="s">
        <v>249</v>
      </c>
      <c r="AI14" s="3"/>
    </row>
    <row r="15" spans="2:35" s="3" customFormat="1" ht="30" customHeight="1" x14ac:dyDescent="0.25">
      <c r="AA15" s="162" t="s">
        <v>232</v>
      </c>
      <c r="AB15" s="163" t="s">
        <v>237</v>
      </c>
      <c r="AC15" s="6" t="s">
        <v>226</v>
      </c>
      <c r="AD15" s="6" t="s">
        <v>228</v>
      </c>
      <c r="AE15" s="6" t="s">
        <v>230</v>
      </c>
      <c r="AF15" s="6" t="s">
        <v>240</v>
      </c>
      <c r="AG15" s="6" t="s">
        <v>244</v>
      </c>
      <c r="AH15" s="6" t="s">
        <v>248</v>
      </c>
    </row>
    <row r="16" spans="2:35" s="3" customFormat="1" ht="30" customHeight="1" x14ac:dyDescent="0.25">
      <c r="AA16" s="162"/>
      <c r="AB16" s="163"/>
      <c r="AC16" s="6" t="s">
        <v>234</v>
      </c>
      <c r="AD16" s="6" t="s">
        <v>235</v>
      </c>
      <c r="AE16" s="6" t="s">
        <v>233</v>
      </c>
      <c r="AF16" s="6" t="s">
        <v>242</v>
      </c>
      <c r="AG16" s="6" t="s">
        <v>246</v>
      </c>
      <c r="AH16" s="6" t="s">
        <v>250</v>
      </c>
    </row>
    <row r="17" spans="3:35" s="3" customFormat="1" ht="30" customHeight="1" x14ac:dyDescent="0.25">
      <c r="AA17" s="162" t="s">
        <v>236</v>
      </c>
      <c r="AB17" s="163" t="s">
        <v>238</v>
      </c>
      <c r="AC17" s="6" t="s">
        <v>226</v>
      </c>
      <c r="AD17" s="6" t="s">
        <v>228</v>
      </c>
      <c r="AE17" s="6" t="s">
        <v>230</v>
      </c>
      <c r="AF17" s="6" t="s">
        <v>240</v>
      </c>
      <c r="AG17" s="6" t="s">
        <v>244</v>
      </c>
      <c r="AH17" s="6" t="s">
        <v>248</v>
      </c>
    </row>
    <row r="18" spans="3:35" s="3" customFormat="1" ht="30" customHeight="1" x14ac:dyDescent="0.25">
      <c r="AA18" s="162"/>
      <c r="AB18" s="163"/>
      <c r="AC18" s="6" t="s">
        <v>239</v>
      </c>
      <c r="AD18" s="6" t="s">
        <v>239</v>
      </c>
      <c r="AE18" s="6" t="s">
        <v>233</v>
      </c>
      <c r="AF18" s="6" t="s">
        <v>243</v>
      </c>
      <c r="AG18" s="6" t="s">
        <v>247</v>
      </c>
      <c r="AH18" s="6" t="s">
        <v>251</v>
      </c>
    </row>
    <row r="19" spans="3:35" s="3" customFormat="1" ht="30" customHeight="1" x14ac:dyDescent="0.25">
      <c r="AA19"/>
      <c r="AB19"/>
      <c r="AC19"/>
      <c r="AD19"/>
      <c r="AE19"/>
      <c r="AF19"/>
      <c r="AG19"/>
      <c r="AH19"/>
      <c r="AI19"/>
    </row>
    <row r="20" spans="3:35" s="3" customFormat="1" ht="30" customHeight="1" x14ac:dyDescent="0.25">
      <c r="AA20"/>
      <c r="AB20"/>
      <c r="AC20"/>
      <c r="AD20"/>
      <c r="AE20"/>
      <c r="AF20"/>
      <c r="AG20"/>
      <c r="AH20"/>
      <c r="AI20"/>
    </row>
    <row r="25" spans="3:35" x14ac:dyDescent="0.25">
      <c r="C25" s="7"/>
      <c r="D25" s="7"/>
      <c r="E25" s="7"/>
      <c r="F25" s="7"/>
      <c r="G25" s="7"/>
      <c r="H25" s="7"/>
      <c r="I25" s="7"/>
      <c r="J25" s="7"/>
      <c r="K25" s="7"/>
      <c r="L25" s="7"/>
      <c r="M25" s="7"/>
      <c r="N25" s="7"/>
      <c r="O25" s="7"/>
      <c r="P25" s="7"/>
      <c r="Q25" s="7"/>
      <c r="R25" s="7"/>
    </row>
    <row r="26" spans="3:35" x14ac:dyDescent="0.25">
      <c r="C26" s="7"/>
      <c r="D26" s="7"/>
      <c r="E26" s="7"/>
      <c r="F26" s="7"/>
      <c r="G26" s="7"/>
      <c r="H26" s="7"/>
      <c r="I26" s="7"/>
      <c r="J26" s="7"/>
      <c r="K26" s="7"/>
      <c r="L26" s="7"/>
      <c r="M26" s="7"/>
      <c r="N26" s="7"/>
      <c r="O26" s="7"/>
      <c r="P26" s="7"/>
      <c r="Q26" s="7"/>
      <c r="R26" s="7"/>
    </row>
    <row r="27" spans="3:35" x14ac:dyDescent="0.25">
      <c r="C27" s="7"/>
      <c r="D27" s="7"/>
      <c r="E27" s="7"/>
      <c r="F27" s="7"/>
      <c r="G27" s="7"/>
      <c r="H27" s="7"/>
      <c r="I27" s="7"/>
      <c r="J27" s="7"/>
      <c r="K27" s="7"/>
      <c r="L27" s="7"/>
      <c r="M27" s="7"/>
      <c r="N27" s="7"/>
      <c r="O27" s="7"/>
      <c r="P27" s="7"/>
      <c r="Q27" s="7"/>
      <c r="R27" s="7"/>
    </row>
    <row r="28" spans="3:35" x14ac:dyDescent="0.25">
      <c r="C28" s="7"/>
      <c r="D28" s="7"/>
      <c r="E28" s="7"/>
      <c r="F28" s="7"/>
      <c r="G28" s="7"/>
      <c r="H28" s="7"/>
      <c r="I28" s="7"/>
      <c r="J28" s="7"/>
      <c r="K28" s="7"/>
      <c r="L28" s="7"/>
      <c r="M28" s="7"/>
      <c r="N28" s="7"/>
      <c r="O28" s="7"/>
      <c r="P28" s="7"/>
      <c r="Q28" s="7"/>
      <c r="R28" s="7"/>
    </row>
    <row r="29" spans="3:35" x14ac:dyDescent="0.25">
      <c r="C29" s="7"/>
      <c r="D29" s="7"/>
      <c r="E29" s="7"/>
      <c r="F29" s="7"/>
      <c r="G29" s="7"/>
      <c r="H29" s="7"/>
      <c r="I29" s="7"/>
      <c r="J29" s="7"/>
      <c r="K29" s="7"/>
      <c r="L29" s="7"/>
      <c r="M29" s="7"/>
      <c r="N29" s="7"/>
      <c r="O29" s="7"/>
      <c r="P29" s="7"/>
      <c r="Q29" s="7"/>
      <c r="R29" s="7"/>
    </row>
    <row r="30" spans="3:35" x14ac:dyDescent="0.25">
      <c r="C30" s="7"/>
      <c r="D30" s="7"/>
      <c r="E30" s="7"/>
      <c r="F30" s="7"/>
      <c r="G30" s="7"/>
      <c r="H30" s="7"/>
      <c r="I30" s="7"/>
      <c r="J30" s="7"/>
      <c r="K30" s="7"/>
      <c r="L30" s="7"/>
      <c r="M30" s="7"/>
      <c r="N30" s="7"/>
      <c r="O30" s="7"/>
      <c r="P30" s="7"/>
      <c r="Q30" s="7"/>
      <c r="R30" s="7"/>
    </row>
    <row r="31" spans="3:35" x14ac:dyDescent="0.25">
      <c r="C31" s="7"/>
      <c r="D31" s="7"/>
      <c r="E31" s="7"/>
      <c r="F31" s="7"/>
      <c r="G31" s="7"/>
      <c r="H31" s="7"/>
      <c r="I31" s="7"/>
      <c r="J31" s="7"/>
      <c r="K31" s="7"/>
      <c r="L31" s="7"/>
      <c r="M31" s="7"/>
      <c r="N31" s="7"/>
      <c r="O31" s="7"/>
      <c r="P31" s="7"/>
      <c r="Q31" s="7"/>
      <c r="R31" s="7"/>
    </row>
    <row r="32" spans="3:35" x14ac:dyDescent="0.25">
      <c r="C32" s="7"/>
      <c r="D32" s="7"/>
      <c r="E32" s="7"/>
      <c r="F32" s="7"/>
      <c r="G32" s="7"/>
      <c r="H32" s="7"/>
      <c r="I32" s="7"/>
      <c r="J32" s="7"/>
      <c r="K32" s="7"/>
      <c r="L32" s="7"/>
      <c r="M32" s="7"/>
      <c r="N32" s="7"/>
      <c r="O32" s="7"/>
      <c r="P32" s="7"/>
      <c r="Q32" s="7"/>
      <c r="R32" s="7"/>
    </row>
    <row r="33" spans="3:18" x14ac:dyDescent="0.25">
      <c r="C33" s="7"/>
      <c r="D33" s="7"/>
      <c r="E33" s="7"/>
      <c r="F33" s="7"/>
      <c r="G33" s="7"/>
      <c r="H33" s="7"/>
      <c r="I33" s="7"/>
      <c r="J33" s="7"/>
      <c r="K33" s="7"/>
      <c r="L33" s="7"/>
      <c r="M33" s="7"/>
      <c r="N33" s="7"/>
      <c r="O33" s="7"/>
      <c r="P33" s="7"/>
      <c r="Q33" s="7"/>
      <c r="R33" s="7"/>
    </row>
    <row r="34" spans="3:18" x14ac:dyDescent="0.25">
      <c r="C34" s="7"/>
      <c r="D34" s="7"/>
      <c r="E34" s="7"/>
      <c r="F34" s="7"/>
      <c r="G34" s="7"/>
      <c r="H34" s="7"/>
      <c r="I34" s="7"/>
      <c r="J34" s="7"/>
      <c r="K34" s="7"/>
      <c r="L34" s="7"/>
      <c r="M34" s="7"/>
      <c r="N34" s="7"/>
      <c r="O34" s="7"/>
      <c r="P34" s="7"/>
      <c r="Q34" s="7"/>
      <c r="R34" s="7"/>
    </row>
    <row r="35" spans="3:18" x14ac:dyDescent="0.25">
      <c r="C35" s="7"/>
      <c r="D35" s="7"/>
      <c r="E35" s="7"/>
      <c r="F35" s="7"/>
      <c r="G35" s="7"/>
      <c r="H35" s="7"/>
      <c r="I35" s="7"/>
      <c r="J35" s="7"/>
      <c r="K35" s="7"/>
      <c r="L35" s="7"/>
      <c r="M35" s="7"/>
      <c r="N35" s="7"/>
      <c r="O35" s="7"/>
      <c r="P35" s="7"/>
      <c r="Q35" s="7"/>
      <c r="R35" s="7"/>
    </row>
    <row r="36" spans="3:18" x14ac:dyDescent="0.25">
      <c r="C36" s="7"/>
      <c r="D36" s="7"/>
      <c r="E36" s="7"/>
      <c r="F36" s="7"/>
      <c r="G36" s="7"/>
      <c r="H36" s="7"/>
      <c r="I36" s="7"/>
      <c r="J36" s="7"/>
      <c r="K36" s="7"/>
      <c r="L36" s="7"/>
      <c r="M36" s="7"/>
      <c r="N36" s="7"/>
      <c r="O36" s="7"/>
      <c r="P36" s="7"/>
      <c r="Q36" s="7"/>
      <c r="R36" s="7"/>
    </row>
    <row r="37" spans="3:18" x14ac:dyDescent="0.25">
      <c r="C37" s="7"/>
      <c r="D37" s="7"/>
      <c r="E37" s="7"/>
      <c r="F37" s="7"/>
      <c r="G37" s="7"/>
      <c r="H37" s="7"/>
      <c r="I37" s="7"/>
      <c r="J37" s="7"/>
      <c r="K37" s="7"/>
      <c r="L37" s="7"/>
      <c r="M37" s="7"/>
      <c r="N37" s="7"/>
      <c r="O37" s="7"/>
      <c r="P37" s="7"/>
      <c r="Q37" s="7"/>
      <c r="R37" s="7"/>
    </row>
    <row r="38" spans="3:18" x14ac:dyDescent="0.25">
      <c r="C38" s="7"/>
      <c r="D38" s="7"/>
      <c r="E38" s="7"/>
      <c r="F38" s="7"/>
      <c r="G38" s="7"/>
      <c r="H38" s="7"/>
      <c r="I38" s="7"/>
      <c r="J38" s="7"/>
      <c r="K38" s="7"/>
      <c r="L38" s="7"/>
      <c r="M38" s="7"/>
      <c r="N38" s="7"/>
      <c r="O38" s="7"/>
      <c r="P38" s="7"/>
      <c r="Q38" s="7"/>
      <c r="R38" s="7"/>
    </row>
    <row r="39" spans="3:18" x14ac:dyDescent="0.25">
      <c r="C39" s="7"/>
      <c r="D39" s="7"/>
      <c r="E39" s="7"/>
      <c r="F39" s="7"/>
      <c r="G39" s="7"/>
      <c r="H39" s="7"/>
      <c r="I39" s="7"/>
      <c r="J39" s="7"/>
      <c r="K39" s="7"/>
      <c r="L39" s="7"/>
      <c r="M39" s="7"/>
      <c r="N39" s="7"/>
      <c r="O39" s="7"/>
      <c r="P39" s="7"/>
      <c r="Q39" s="7"/>
      <c r="R39" s="7"/>
    </row>
    <row r="40" spans="3:18" x14ac:dyDescent="0.25">
      <c r="C40" s="7"/>
      <c r="D40" s="7"/>
      <c r="E40" s="7"/>
      <c r="F40" s="7"/>
      <c r="G40" s="7"/>
      <c r="H40" s="7"/>
      <c r="I40" s="7"/>
      <c r="J40" s="7"/>
      <c r="K40" s="7"/>
      <c r="L40" s="7"/>
      <c r="M40" s="7"/>
      <c r="N40" s="7"/>
      <c r="O40" s="7"/>
      <c r="P40" s="7"/>
      <c r="Q40" s="7"/>
      <c r="R40" s="7"/>
    </row>
    <row r="41" spans="3:18" x14ac:dyDescent="0.25">
      <c r="C41" s="7"/>
      <c r="D41" s="7"/>
      <c r="E41" s="7"/>
      <c r="F41" s="7"/>
      <c r="G41" s="7"/>
      <c r="H41" s="7"/>
      <c r="I41" s="7"/>
      <c r="J41" s="7"/>
      <c r="K41" s="7"/>
      <c r="L41" s="7"/>
      <c r="M41" s="7"/>
      <c r="N41" s="7"/>
      <c r="O41" s="7"/>
      <c r="P41" s="7"/>
      <c r="Q41" s="7"/>
      <c r="R41" s="7"/>
    </row>
    <row r="42" spans="3:18" x14ac:dyDescent="0.25">
      <c r="C42" s="7"/>
      <c r="D42" s="7"/>
      <c r="E42" s="7"/>
      <c r="F42" s="7"/>
      <c r="G42" s="7"/>
      <c r="H42" s="7"/>
      <c r="I42" s="7"/>
      <c r="J42" s="7"/>
      <c r="K42" s="7"/>
      <c r="L42" s="7"/>
      <c r="M42" s="7"/>
      <c r="N42" s="7"/>
      <c r="O42" s="7"/>
      <c r="P42" s="7"/>
      <c r="Q42" s="7"/>
      <c r="R42" s="7"/>
    </row>
    <row r="43" spans="3:18" x14ac:dyDescent="0.25">
      <c r="C43" s="7"/>
      <c r="D43" s="7"/>
      <c r="E43" s="7"/>
      <c r="F43" s="7"/>
      <c r="G43" s="7"/>
      <c r="H43" s="7"/>
      <c r="I43" s="7"/>
      <c r="J43" s="7"/>
      <c r="K43" s="7"/>
      <c r="L43" s="7"/>
      <c r="M43" s="7"/>
      <c r="N43" s="7"/>
      <c r="O43" s="7"/>
      <c r="P43" s="7"/>
      <c r="Q43" s="7"/>
      <c r="R43" s="7"/>
    </row>
    <row r="44" spans="3:18" x14ac:dyDescent="0.25">
      <c r="C44" s="7"/>
      <c r="D44" s="7"/>
      <c r="E44" s="7"/>
      <c r="F44" s="7"/>
      <c r="G44" s="7"/>
      <c r="H44" s="7"/>
      <c r="I44" s="7"/>
      <c r="J44" s="7"/>
      <c r="K44" s="7"/>
      <c r="L44" s="7"/>
      <c r="M44" s="7"/>
      <c r="N44" s="7"/>
      <c r="O44" s="7"/>
      <c r="P44" s="7"/>
      <c r="Q44" s="7"/>
      <c r="R44" s="7"/>
    </row>
    <row r="45" spans="3:18" x14ac:dyDescent="0.25">
      <c r="C45" s="7"/>
      <c r="D45" s="7"/>
      <c r="E45" s="7"/>
      <c r="F45" s="7"/>
      <c r="G45" s="7"/>
      <c r="H45" s="7"/>
      <c r="I45" s="7"/>
      <c r="J45" s="7"/>
      <c r="K45" s="7"/>
      <c r="L45" s="7"/>
      <c r="M45" s="7"/>
      <c r="N45" s="7"/>
      <c r="O45" s="7"/>
      <c r="P45" s="7"/>
      <c r="Q45" s="7"/>
      <c r="R45" s="7"/>
    </row>
    <row r="46" spans="3:18" x14ac:dyDescent="0.25">
      <c r="C46" s="7"/>
      <c r="D46" s="7"/>
      <c r="E46" s="7"/>
      <c r="F46" s="7"/>
      <c r="G46" s="7"/>
      <c r="H46" s="7"/>
      <c r="I46" s="7"/>
      <c r="J46" s="7"/>
      <c r="K46" s="7"/>
      <c r="L46" s="7"/>
      <c r="M46" s="7"/>
      <c r="N46" s="7"/>
      <c r="O46" s="7"/>
      <c r="P46" s="7"/>
      <c r="Q46" s="7"/>
      <c r="R46" s="7"/>
    </row>
    <row r="47" spans="3:18" x14ac:dyDescent="0.25">
      <c r="C47" s="7"/>
      <c r="D47" s="7"/>
      <c r="E47" s="7"/>
      <c r="F47" s="7"/>
      <c r="G47" s="7"/>
      <c r="H47" s="7"/>
      <c r="I47" s="7"/>
      <c r="J47" s="7"/>
      <c r="K47" s="7"/>
      <c r="L47" s="7"/>
      <c r="M47" s="7"/>
      <c r="N47" s="7"/>
      <c r="O47" s="7"/>
      <c r="P47" s="7"/>
      <c r="Q47" s="7"/>
      <c r="R47" s="7"/>
    </row>
    <row r="48" spans="3:18" x14ac:dyDescent="0.25">
      <c r="C48" s="7"/>
      <c r="D48" s="7"/>
      <c r="E48" s="7"/>
      <c r="F48" s="7"/>
      <c r="G48" s="7"/>
      <c r="H48" s="7"/>
      <c r="I48" s="7"/>
      <c r="J48" s="7"/>
      <c r="K48" s="7"/>
      <c r="L48" s="7"/>
      <c r="M48" s="7"/>
      <c r="N48" s="7"/>
      <c r="O48" s="7"/>
      <c r="P48" s="7"/>
      <c r="Q48" s="7"/>
      <c r="R48" s="7"/>
    </row>
    <row r="49" spans="3:18" x14ac:dyDescent="0.25">
      <c r="C49" s="7"/>
      <c r="D49" s="7"/>
      <c r="E49" s="7"/>
      <c r="F49" s="7"/>
      <c r="G49" s="7"/>
      <c r="H49" s="7"/>
      <c r="I49" s="7"/>
      <c r="J49" s="7"/>
      <c r="K49" s="7"/>
      <c r="L49" s="7"/>
      <c r="M49" s="7"/>
      <c r="N49" s="7"/>
      <c r="O49" s="7"/>
      <c r="P49" s="7"/>
      <c r="Q49" s="7"/>
      <c r="R49" s="7"/>
    </row>
  </sheetData>
  <sheetProtection algorithmName="SHA-512" hashValue="C7TOMZgfF/DpWRzdg7ljxVlT2/VTTDiZEZ+0EOHezByZQP3Ir/w303p3iP46rp2mO+RxH4HamC24/dxRIEazOg==" saltValue="SuxO4+UgBRaOiOf2NIwYQg==" spinCount="100000" sheet="1" objects="1" scenarios="1"/>
  <mergeCells count="8">
    <mergeCell ref="AA17:AA18"/>
    <mergeCell ref="AB17:AB18"/>
    <mergeCell ref="AA1:AI1"/>
    <mergeCell ref="AA12:AH12"/>
    <mergeCell ref="AA13:AA14"/>
    <mergeCell ref="AB13:AB14"/>
    <mergeCell ref="AA15:AA16"/>
    <mergeCell ref="AB15:AB16"/>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E968A-AC95-4F1D-BEDB-54D3D41738B8}">
  <sheetPr codeName="Sheet2"/>
  <dimension ref="B1:Q103"/>
  <sheetViews>
    <sheetView zoomScale="90" zoomScaleNormal="90" workbookViewId="0">
      <selection activeCell="G9" sqref="G9"/>
    </sheetView>
  </sheetViews>
  <sheetFormatPr defaultRowHeight="15" x14ac:dyDescent="0.25"/>
  <cols>
    <col min="1" max="1" width="0.7109375" style="250" customWidth="1"/>
    <col min="2" max="2" width="24.7109375" style="250" bestFit="1" customWidth="1"/>
    <col min="3" max="3" width="10.7109375" style="250" bestFit="1" customWidth="1"/>
    <col min="4" max="4" width="11.85546875" style="250" customWidth="1"/>
    <col min="5" max="5" width="55" style="250" bestFit="1" customWidth="1"/>
    <col min="6" max="6" width="9.85546875" style="250" customWidth="1"/>
    <col min="7" max="16384" width="9.140625" style="250"/>
  </cols>
  <sheetData>
    <row r="1" spans="2:17" ht="3.75" customHeight="1" thickBot="1" x14ac:dyDescent="0.3"/>
    <row r="2" spans="2:17" x14ac:dyDescent="0.25">
      <c r="B2" s="251" t="s">
        <v>0</v>
      </c>
      <c r="C2" s="252"/>
      <c r="D2" s="252"/>
      <c r="E2" s="253"/>
      <c r="F2" s="254"/>
      <c r="L2" s="255" t="s">
        <v>436</v>
      </c>
      <c r="M2" s="256"/>
      <c r="N2" s="256"/>
      <c r="O2" s="256"/>
      <c r="P2" s="256"/>
      <c r="Q2" s="257"/>
    </row>
    <row r="3" spans="2:17" ht="15.75" thickBot="1" x14ac:dyDescent="0.3">
      <c r="B3" s="258" t="s">
        <v>1</v>
      </c>
      <c r="C3" s="259" t="s">
        <v>2</v>
      </c>
      <c r="D3" s="259" t="s">
        <v>3</v>
      </c>
      <c r="E3" s="260" t="s">
        <v>4</v>
      </c>
      <c r="F3" s="261" t="s">
        <v>256</v>
      </c>
      <c r="L3" s="262"/>
      <c r="M3" s="263"/>
      <c r="N3" s="263"/>
      <c r="O3" s="263"/>
      <c r="P3" s="263"/>
      <c r="Q3" s="264"/>
    </row>
    <row r="4" spans="2:17" x14ac:dyDescent="0.25">
      <c r="B4" s="265" t="s">
        <v>6</v>
      </c>
      <c r="C4" s="316">
        <v>18</v>
      </c>
      <c r="D4" s="266" t="s">
        <v>7</v>
      </c>
      <c r="E4" s="267" t="s">
        <v>8</v>
      </c>
      <c r="L4" s="262"/>
      <c r="M4" s="263"/>
      <c r="N4" s="263"/>
      <c r="O4" s="263"/>
      <c r="P4" s="263"/>
      <c r="Q4" s="264"/>
    </row>
    <row r="5" spans="2:17" x14ac:dyDescent="0.25">
      <c r="B5" s="268" t="s">
        <v>9</v>
      </c>
      <c r="C5" s="317">
        <v>56</v>
      </c>
      <c r="D5" s="269" t="s">
        <v>7</v>
      </c>
      <c r="E5" s="270" t="s">
        <v>10</v>
      </c>
      <c r="L5" s="262"/>
      <c r="M5" s="263"/>
      <c r="N5" s="263"/>
      <c r="O5" s="263"/>
      <c r="P5" s="263"/>
      <c r="Q5" s="264"/>
    </row>
    <row r="6" spans="2:17" x14ac:dyDescent="0.25">
      <c r="B6" s="271" t="s">
        <v>11</v>
      </c>
      <c r="C6" s="317">
        <v>20</v>
      </c>
      <c r="D6" s="269" t="s">
        <v>12</v>
      </c>
      <c r="E6" s="270" t="s">
        <v>13</v>
      </c>
      <c r="L6" s="262"/>
      <c r="M6" s="263"/>
      <c r="N6" s="263"/>
      <c r="O6" s="263"/>
      <c r="P6" s="263"/>
      <c r="Q6" s="264"/>
    </row>
    <row r="7" spans="2:17" x14ac:dyDescent="0.25">
      <c r="B7" s="271" t="s">
        <v>14</v>
      </c>
      <c r="C7" s="317">
        <v>30</v>
      </c>
      <c r="D7" s="269" t="s">
        <v>12</v>
      </c>
      <c r="E7" s="270" t="s">
        <v>15</v>
      </c>
      <c r="L7" s="262"/>
      <c r="M7" s="263"/>
      <c r="N7" s="263"/>
      <c r="O7" s="263"/>
      <c r="P7" s="263"/>
      <c r="Q7" s="264"/>
    </row>
    <row r="8" spans="2:17" ht="15.75" thickBot="1" x14ac:dyDescent="0.3">
      <c r="B8" s="272" t="s">
        <v>16</v>
      </c>
      <c r="C8" s="318">
        <v>6</v>
      </c>
      <c r="D8" s="273" t="s">
        <v>17</v>
      </c>
      <c r="E8" s="274" t="s">
        <v>18</v>
      </c>
      <c r="L8" s="262"/>
      <c r="M8" s="263"/>
      <c r="N8" s="263"/>
      <c r="O8" s="263"/>
      <c r="P8" s="263"/>
      <c r="Q8" s="264"/>
    </row>
    <row r="9" spans="2:17" ht="15.75" thickBot="1" x14ac:dyDescent="0.3">
      <c r="B9" s="275" t="s">
        <v>19</v>
      </c>
      <c r="C9" s="316">
        <v>26</v>
      </c>
      <c r="D9" s="266" t="s">
        <v>20</v>
      </c>
      <c r="E9" s="267" t="s">
        <v>21</v>
      </c>
      <c r="L9" s="276"/>
      <c r="M9" s="277"/>
      <c r="N9" s="277"/>
      <c r="O9" s="277"/>
      <c r="P9" s="277"/>
      <c r="Q9" s="278"/>
    </row>
    <row r="10" spans="2:17" ht="15.75" thickBot="1" x14ac:dyDescent="0.3">
      <c r="B10" s="272" t="s">
        <v>22</v>
      </c>
      <c r="C10" s="318">
        <v>1720</v>
      </c>
      <c r="D10" s="273" t="s">
        <v>23</v>
      </c>
      <c r="E10" s="274" t="s">
        <v>24</v>
      </c>
    </row>
    <row r="11" spans="2:17" x14ac:dyDescent="0.25">
      <c r="B11" s="279" t="s">
        <v>25</v>
      </c>
      <c r="C11" s="319">
        <v>1.8</v>
      </c>
      <c r="D11" s="280" t="s">
        <v>26</v>
      </c>
      <c r="E11" s="281" t="s">
        <v>27</v>
      </c>
    </row>
    <row r="12" spans="2:17" x14ac:dyDescent="0.25">
      <c r="B12" s="282" t="s">
        <v>28</v>
      </c>
      <c r="C12" s="320">
        <f>10^8</f>
        <v>100000000</v>
      </c>
      <c r="D12" s="283" t="s">
        <v>7</v>
      </c>
      <c r="E12" s="284" t="s">
        <v>29</v>
      </c>
      <c r="F12" s="250" t="s">
        <v>30</v>
      </c>
    </row>
    <row r="13" spans="2:17" x14ac:dyDescent="0.25">
      <c r="B13" s="282" t="s">
        <v>31</v>
      </c>
      <c r="C13" s="321">
        <v>0.9</v>
      </c>
      <c r="D13" s="283" t="s">
        <v>7</v>
      </c>
      <c r="E13" s="284" t="s">
        <v>32</v>
      </c>
    </row>
    <row r="14" spans="2:17" x14ac:dyDescent="0.25">
      <c r="B14" s="282" t="s">
        <v>33</v>
      </c>
      <c r="C14" s="322">
        <v>220</v>
      </c>
      <c r="D14" s="283" t="s">
        <v>7</v>
      </c>
      <c r="E14" s="284" t="s">
        <v>34</v>
      </c>
    </row>
    <row r="15" spans="2:17" x14ac:dyDescent="0.25">
      <c r="B15" s="282" t="s">
        <v>35</v>
      </c>
      <c r="C15" s="322">
        <v>30000</v>
      </c>
      <c r="D15" s="283" t="s">
        <v>36</v>
      </c>
      <c r="E15" s="284" t="s">
        <v>37</v>
      </c>
    </row>
    <row r="16" spans="2:17" x14ac:dyDescent="0.25">
      <c r="B16" s="282" t="s">
        <v>38</v>
      </c>
      <c r="C16" s="322">
        <v>30000</v>
      </c>
      <c r="D16" s="283" t="s">
        <v>36</v>
      </c>
      <c r="E16" s="284" t="s">
        <v>39</v>
      </c>
    </row>
    <row r="17" spans="2:6" x14ac:dyDescent="0.25">
      <c r="B17" s="285" t="s">
        <v>40</v>
      </c>
      <c r="C17" s="322">
        <v>0.29199999999999998</v>
      </c>
      <c r="D17" s="283" t="s">
        <v>7</v>
      </c>
      <c r="E17" s="284" t="s">
        <v>41</v>
      </c>
    </row>
    <row r="18" spans="2:6" x14ac:dyDescent="0.25">
      <c r="B18" s="285" t="s">
        <v>42</v>
      </c>
      <c r="C18" s="322">
        <v>0.29199999999999998</v>
      </c>
      <c r="D18" s="283" t="s">
        <v>7</v>
      </c>
      <c r="E18" s="284" t="s">
        <v>43</v>
      </c>
    </row>
    <row r="19" spans="2:6" x14ac:dyDescent="0.25">
      <c r="B19" s="282" t="s">
        <v>44</v>
      </c>
      <c r="C19" s="322">
        <v>11.811019999999999</v>
      </c>
      <c r="D19" s="283" t="s">
        <v>26</v>
      </c>
      <c r="E19" s="284" t="s">
        <v>45</v>
      </c>
    </row>
    <row r="20" spans="2:6" x14ac:dyDescent="0.25">
      <c r="B20" s="282" t="s">
        <v>46</v>
      </c>
      <c r="C20" s="322">
        <v>0.78739999999999999</v>
      </c>
      <c r="D20" s="283" t="s">
        <v>26</v>
      </c>
      <c r="E20" s="284" t="s">
        <v>47</v>
      </c>
    </row>
    <row r="21" spans="2:6" x14ac:dyDescent="0.25">
      <c r="B21" s="282" t="s">
        <v>48</v>
      </c>
      <c r="C21" s="322">
        <v>0.29599999999999999</v>
      </c>
      <c r="D21" s="283" t="s">
        <v>7</v>
      </c>
      <c r="E21" s="284" t="s">
        <v>49</v>
      </c>
      <c r="F21" s="250" t="s">
        <v>253</v>
      </c>
    </row>
    <row r="22" spans="2:6" x14ac:dyDescent="0.25">
      <c r="B22" s="282" t="s">
        <v>50</v>
      </c>
      <c r="C22" s="322">
        <v>0.22500000000000001</v>
      </c>
      <c r="D22" s="283" t="s">
        <v>7</v>
      </c>
      <c r="E22" s="284" t="s">
        <v>51</v>
      </c>
      <c r="F22" s="250" t="s">
        <v>254</v>
      </c>
    </row>
    <row r="23" spans="2:6" x14ac:dyDescent="0.25">
      <c r="B23" s="282" t="s">
        <v>52</v>
      </c>
      <c r="C23" s="322">
        <v>1</v>
      </c>
      <c r="D23" s="283" t="s">
        <v>7</v>
      </c>
      <c r="E23" s="284" t="s">
        <v>53</v>
      </c>
      <c r="F23" s="250" t="s">
        <v>255</v>
      </c>
    </row>
    <row r="24" spans="2:6" x14ac:dyDescent="0.25">
      <c r="B24" s="282" t="s">
        <v>54</v>
      </c>
      <c r="C24" s="322">
        <v>6</v>
      </c>
      <c r="D24" s="283" t="s">
        <v>7</v>
      </c>
      <c r="E24" s="284" t="s">
        <v>55</v>
      </c>
    </row>
    <row r="25" spans="2:6" x14ac:dyDescent="0.25">
      <c r="B25" s="282" t="s">
        <v>56</v>
      </c>
      <c r="C25" s="322">
        <v>1</v>
      </c>
      <c r="D25" s="283" t="s">
        <v>7</v>
      </c>
      <c r="E25" s="284" t="s">
        <v>57</v>
      </c>
    </row>
    <row r="26" spans="2:6" x14ac:dyDescent="0.25">
      <c r="B26" s="282" t="s">
        <v>58</v>
      </c>
      <c r="C26" s="322">
        <v>1</v>
      </c>
      <c r="D26" s="283" t="s">
        <v>7</v>
      </c>
      <c r="E26" s="284" t="s">
        <v>59</v>
      </c>
    </row>
    <row r="27" spans="2:6" x14ac:dyDescent="0.25">
      <c r="B27" s="282" t="s">
        <v>60</v>
      </c>
      <c r="C27" s="322">
        <v>1</v>
      </c>
      <c r="D27" s="283" t="s">
        <v>7</v>
      </c>
      <c r="E27" s="284" t="s">
        <v>61</v>
      </c>
    </row>
    <row r="28" spans="2:6" x14ac:dyDescent="0.25">
      <c r="B28" s="285" t="s">
        <v>62</v>
      </c>
      <c r="C28" s="322">
        <v>1</v>
      </c>
      <c r="D28" s="283" t="s">
        <v>7</v>
      </c>
      <c r="E28" s="284" t="s">
        <v>63</v>
      </c>
    </row>
    <row r="29" spans="2:6" x14ac:dyDescent="0.25">
      <c r="B29" s="285" t="s">
        <v>64</v>
      </c>
      <c r="C29" s="322">
        <v>1</v>
      </c>
      <c r="D29" s="283" t="s">
        <v>7</v>
      </c>
      <c r="E29" s="284" t="s">
        <v>65</v>
      </c>
    </row>
    <row r="30" spans="2:6" x14ac:dyDescent="0.25">
      <c r="B30" s="285" t="s">
        <v>66</v>
      </c>
      <c r="C30" s="322">
        <v>1</v>
      </c>
      <c r="D30" s="283" t="s">
        <v>7</v>
      </c>
      <c r="E30" s="284" t="s">
        <v>67</v>
      </c>
      <c r="F30" s="286" t="s">
        <v>68</v>
      </c>
    </row>
    <row r="31" spans="2:6" x14ac:dyDescent="0.25">
      <c r="B31" s="287" t="s">
        <v>69</v>
      </c>
      <c r="C31" s="322" t="s">
        <v>70</v>
      </c>
      <c r="D31" s="283" t="s">
        <v>7</v>
      </c>
      <c r="E31" s="284" t="s">
        <v>71</v>
      </c>
    </row>
    <row r="32" spans="2:6" x14ac:dyDescent="0.25">
      <c r="B32" s="287" t="s">
        <v>72</v>
      </c>
      <c r="C32" s="322">
        <f>IF(C31="No",C48+C49,"")</f>
        <v>0.375</v>
      </c>
      <c r="D32" s="283" t="s">
        <v>26</v>
      </c>
      <c r="E32" s="284" t="s">
        <v>73</v>
      </c>
    </row>
    <row r="33" spans="2:6" x14ac:dyDescent="0.25">
      <c r="B33" s="282" t="s">
        <v>74</v>
      </c>
      <c r="C33" s="322">
        <v>0.78739999999999999</v>
      </c>
      <c r="D33" s="283" t="s">
        <v>26</v>
      </c>
      <c r="E33" s="284" t="s">
        <v>75</v>
      </c>
    </row>
    <row r="34" spans="2:6" x14ac:dyDescent="0.25">
      <c r="B34" s="285" t="s">
        <v>76</v>
      </c>
      <c r="C34" s="322" t="s">
        <v>77</v>
      </c>
      <c r="D34" s="283" t="s">
        <v>7</v>
      </c>
      <c r="E34" s="284" t="s">
        <v>78</v>
      </c>
    </row>
    <row r="35" spans="2:6" x14ac:dyDescent="0.25">
      <c r="B35" s="287" t="s">
        <v>79</v>
      </c>
      <c r="C35" s="322" t="s">
        <v>80</v>
      </c>
      <c r="D35" s="283" t="s">
        <v>7</v>
      </c>
      <c r="E35" s="284" t="s">
        <v>81</v>
      </c>
      <c r="F35" s="250" t="s">
        <v>82</v>
      </c>
    </row>
    <row r="36" spans="2:6" x14ac:dyDescent="0.25">
      <c r="B36" s="287" t="s">
        <v>83</v>
      </c>
      <c r="C36" s="322" t="s">
        <v>70</v>
      </c>
      <c r="D36" s="283" t="s">
        <v>7</v>
      </c>
      <c r="E36" s="284" t="s">
        <v>84</v>
      </c>
      <c r="F36" s="250" t="s">
        <v>82</v>
      </c>
    </row>
    <row r="37" spans="2:6" x14ac:dyDescent="0.25">
      <c r="B37" s="287" t="s">
        <v>85</v>
      </c>
      <c r="C37" s="322" t="s">
        <v>70</v>
      </c>
      <c r="D37" s="283" t="s">
        <v>7</v>
      </c>
      <c r="E37" s="284" t="s">
        <v>86</v>
      </c>
    </row>
    <row r="38" spans="2:6" x14ac:dyDescent="0.25">
      <c r="B38" s="287" t="s">
        <v>87</v>
      </c>
      <c r="C38" s="322" t="s">
        <v>88</v>
      </c>
      <c r="D38" s="283" t="s">
        <v>7</v>
      </c>
      <c r="E38" s="284" t="s">
        <v>89</v>
      </c>
    </row>
    <row r="39" spans="2:6" ht="15.75" thickBot="1" x14ac:dyDescent="0.3">
      <c r="B39" s="288" t="s">
        <v>90</v>
      </c>
      <c r="C39" s="323" t="s">
        <v>91</v>
      </c>
      <c r="D39" s="289" t="s">
        <v>7</v>
      </c>
      <c r="E39" s="290" t="s">
        <v>92</v>
      </c>
    </row>
    <row r="40" spans="2:6" ht="15.75" thickBot="1" x14ac:dyDescent="0.3"/>
    <row r="41" spans="2:6" x14ac:dyDescent="0.25">
      <c r="B41" s="251" t="s">
        <v>93</v>
      </c>
      <c r="C41" s="252"/>
      <c r="D41" s="252"/>
      <c r="E41" s="253"/>
    </row>
    <row r="42" spans="2:6" ht="15.75" thickBot="1" x14ac:dyDescent="0.3">
      <c r="B42" s="258" t="s">
        <v>1</v>
      </c>
      <c r="C42" s="259" t="s">
        <v>2</v>
      </c>
      <c r="D42" s="259" t="s">
        <v>3</v>
      </c>
      <c r="E42" s="260" t="s">
        <v>4</v>
      </c>
      <c r="F42" s="291" t="s">
        <v>5</v>
      </c>
    </row>
    <row r="43" spans="2:6" ht="30" x14ac:dyDescent="0.25">
      <c r="B43" s="292" t="s">
        <v>94</v>
      </c>
      <c r="C43" s="293" t="str">
        <f>IF(C34="Full Depth",IF(C4&gt;=18,"Yes","No"),IF(C34="Stub",IF(C4&gt;=14,"Yes","No")))</f>
        <v>Yes</v>
      </c>
      <c r="D43" s="294" t="s">
        <v>7</v>
      </c>
      <c r="E43" s="295" t="s">
        <v>95</v>
      </c>
      <c r="F43" s="291"/>
    </row>
    <row r="44" spans="2:6" x14ac:dyDescent="0.25">
      <c r="B44" s="282" t="s">
        <v>96</v>
      </c>
      <c r="C44" s="296">
        <f>1/C8</f>
        <v>0.16666666666666666</v>
      </c>
      <c r="D44" s="283" t="s">
        <v>26</v>
      </c>
      <c r="E44" s="297" t="s">
        <v>97</v>
      </c>
    </row>
    <row r="45" spans="2:6" x14ac:dyDescent="0.25">
      <c r="B45" s="282" t="s">
        <v>98</v>
      </c>
      <c r="C45" s="296">
        <f>C4/(C8*COS(RADIANS(C7)))</f>
        <v>3.4641016151377544</v>
      </c>
      <c r="D45" s="283" t="s">
        <v>26</v>
      </c>
      <c r="E45" s="297" t="s">
        <v>99</v>
      </c>
    </row>
    <row r="46" spans="2:6" x14ac:dyDescent="0.25">
      <c r="B46" s="282" t="s">
        <v>100</v>
      </c>
      <c r="C46" s="296">
        <f>C5/(C8*COS(RADIANS(C7)))</f>
        <v>10.777205024873014</v>
      </c>
      <c r="D46" s="283" t="s">
        <v>26</v>
      </c>
      <c r="E46" s="297" t="s">
        <v>101</v>
      </c>
    </row>
    <row r="47" spans="2:6" x14ac:dyDescent="0.25">
      <c r="B47" s="282" t="s">
        <v>102</v>
      </c>
      <c r="C47" s="296">
        <f>AVERAGE(C45:C46)</f>
        <v>7.1206533200053848</v>
      </c>
      <c r="D47" s="283" t="s">
        <v>26</v>
      </c>
      <c r="E47" s="297" t="s">
        <v>103</v>
      </c>
    </row>
    <row r="48" spans="2:6" x14ac:dyDescent="0.25">
      <c r="B48" s="282" t="s">
        <v>104</v>
      </c>
      <c r="C48" s="296">
        <f>IF(C34="Full Depth",C44,IF(C34="Stub",0.8*C44,"Need module and Tooth Form"))</f>
        <v>0.16666666666666666</v>
      </c>
      <c r="D48" s="283" t="s">
        <v>26</v>
      </c>
      <c r="E48" s="297" t="s">
        <v>105</v>
      </c>
    </row>
    <row r="49" spans="2:5" x14ac:dyDescent="0.25">
      <c r="B49" s="282" t="s">
        <v>106</v>
      </c>
      <c r="C49" s="296">
        <f>IF(C34="Full Depth",1.25*C44,IF(C34="Stub",IF(OR(C35="Ground",C35="Shaved"),0.8*(1.35*C44),0.8*(1.25*C44)),"Need module and Tooth Form"))</f>
        <v>0.20833333333333331</v>
      </c>
      <c r="D49" s="283" t="s">
        <v>26</v>
      </c>
      <c r="E49" s="297" t="s">
        <v>107</v>
      </c>
    </row>
    <row r="50" spans="2:5" x14ac:dyDescent="0.25">
      <c r="B50" s="282" t="s">
        <v>108</v>
      </c>
      <c r="C50" s="296">
        <f>C49-C48</f>
        <v>4.1666666666666657E-2</v>
      </c>
      <c r="D50" s="283" t="s">
        <v>26</v>
      </c>
      <c r="E50" s="297" t="s">
        <v>109</v>
      </c>
    </row>
    <row r="51" spans="2:5" x14ac:dyDescent="0.25">
      <c r="B51" s="282" t="s">
        <v>110</v>
      </c>
      <c r="C51" s="296">
        <f>IF(C31="Yes",C32,C48+C49)</f>
        <v>0.375</v>
      </c>
      <c r="D51" s="283" t="s">
        <v>26</v>
      </c>
      <c r="E51" s="297" t="s">
        <v>111</v>
      </c>
    </row>
    <row r="52" spans="2:5" x14ac:dyDescent="0.25">
      <c r="B52" s="282" t="s">
        <v>112</v>
      </c>
      <c r="C52" s="296">
        <f>C45+2*C48</f>
        <v>3.7974349484710879</v>
      </c>
      <c r="D52" s="283" t="s">
        <v>26</v>
      </c>
      <c r="E52" s="297" t="s">
        <v>113</v>
      </c>
    </row>
    <row r="53" spans="2:5" x14ac:dyDescent="0.25">
      <c r="B53" s="282" t="s">
        <v>114</v>
      </c>
      <c r="C53" s="296">
        <f>C46+2*C48</f>
        <v>11.110538358206348</v>
      </c>
      <c r="D53" s="283" t="s">
        <v>26</v>
      </c>
      <c r="E53" s="297" t="s">
        <v>115</v>
      </c>
    </row>
    <row r="54" spans="2:5" x14ac:dyDescent="0.25">
      <c r="B54" s="282" t="s">
        <v>116</v>
      </c>
      <c r="C54" s="296">
        <f>C4/COS(RADIANS(C7))^3</f>
        <v>27.712812921102032</v>
      </c>
      <c r="D54" s="283" t="s">
        <v>7</v>
      </c>
      <c r="E54" s="297" t="s">
        <v>117</v>
      </c>
    </row>
    <row r="55" spans="2:5" x14ac:dyDescent="0.25">
      <c r="B55" s="282" t="s">
        <v>118</v>
      </c>
      <c r="C55" s="296">
        <f>C5/COS(RADIANS(C7))^3</f>
        <v>86.2176401989841</v>
      </c>
      <c r="D55" s="283" t="s">
        <v>7</v>
      </c>
      <c r="E55" s="297" t="s">
        <v>119</v>
      </c>
    </row>
    <row r="56" spans="2:5" x14ac:dyDescent="0.25">
      <c r="B56" s="282" t="s">
        <v>120</v>
      </c>
      <c r="C56" s="296">
        <f>C8*COS(RADIANS(C7))</f>
        <v>5.196152422706632</v>
      </c>
      <c r="D56" s="283" t="s">
        <v>121</v>
      </c>
      <c r="E56" s="297" t="s">
        <v>122</v>
      </c>
    </row>
    <row r="57" spans="2:5" x14ac:dyDescent="0.25">
      <c r="B57" s="282" t="s">
        <v>123</v>
      </c>
      <c r="C57" s="296">
        <f>1/C56</f>
        <v>0.19245008972987526</v>
      </c>
      <c r="D57" s="283" t="s">
        <v>26</v>
      </c>
      <c r="E57" s="297" t="s">
        <v>124</v>
      </c>
    </row>
    <row r="58" spans="2:5" x14ac:dyDescent="0.25">
      <c r="B58" s="282" t="s">
        <v>125</v>
      </c>
      <c r="C58" s="296">
        <f>DEGREES(ATAN(TAN(RADIANS(C6))/COS(RADIANS(C7))))</f>
        <v>22.795877258858475</v>
      </c>
      <c r="D58" s="283" t="s">
        <v>12</v>
      </c>
      <c r="E58" s="297" t="s">
        <v>126</v>
      </c>
    </row>
    <row r="59" spans="2:5" x14ac:dyDescent="0.25">
      <c r="B59" s="282" t="s">
        <v>127</v>
      </c>
      <c r="C59" s="296">
        <f>PI()/C8</f>
        <v>0.52359877559829882</v>
      </c>
      <c r="D59" s="283" t="s">
        <v>26</v>
      </c>
      <c r="E59" s="297" t="s">
        <v>128</v>
      </c>
    </row>
    <row r="60" spans="2:5" x14ac:dyDescent="0.25">
      <c r="B60" s="282" t="s">
        <v>129</v>
      </c>
      <c r="C60" s="296">
        <f>C59/COS(RADIANS(C7))</f>
        <v>0.60459978807807246</v>
      </c>
      <c r="D60" s="283" t="s">
        <v>26</v>
      </c>
      <c r="E60" s="297" t="s">
        <v>130</v>
      </c>
    </row>
    <row r="61" spans="2:5" x14ac:dyDescent="0.25">
      <c r="B61" s="282" t="s">
        <v>131</v>
      </c>
      <c r="C61" s="296">
        <f>IF(C7=0,"infinite",C60/TAN(RADIANS(C7)))</f>
        <v>1.0471975511965976</v>
      </c>
      <c r="D61" s="283" t="s">
        <v>26</v>
      </c>
      <c r="E61" s="297" t="s">
        <v>132</v>
      </c>
    </row>
    <row r="62" spans="2:5" x14ac:dyDescent="0.25">
      <c r="B62" s="282" t="s">
        <v>133</v>
      </c>
      <c r="C62" s="296">
        <f>C59/2</f>
        <v>0.26179938779914941</v>
      </c>
      <c r="D62" s="283" t="s">
        <v>26</v>
      </c>
      <c r="E62" s="297" t="s">
        <v>134</v>
      </c>
    </row>
    <row r="63" spans="2:5" x14ac:dyDescent="0.25">
      <c r="B63" s="282" t="s">
        <v>135</v>
      </c>
      <c r="C63" s="296">
        <f>C45/C46</f>
        <v>0.3214285714285714</v>
      </c>
      <c r="D63" s="283" t="s">
        <v>7</v>
      </c>
      <c r="E63" s="297" t="s">
        <v>136</v>
      </c>
    </row>
    <row r="64" spans="2:5" x14ac:dyDescent="0.25">
      <c r="B64" s="282" t="s">
        <v>137</v>
      </c>
      <c r="C64" s="296">
        <f>C59*COS(RADIANS(C6))</f>
        <v>0.49202190568225818</v>
      </c>
      <c r="D64" s="283" t="s">
        <v>26</v>
      </c>
      <c r="E64" s="297" t="s">
        <v>138</v>
      </c>
    </row>
    <row r="65" spans="2:6" x14ac:dyDescent="0.25">
      <c r="B65" s="282" t="s">
        <v>139</v>
      </c>
      <c r="C65" s="296">
        <f>C60*COS(RADIANS(C6))</f>
        <v>0.56813795938568878</v>
      </c>
      <c r="D65" s="283" t="s">
        <v>26</v>
      </c>
      <c r="E65" s="297" t="s">
        <v>140</v>
      </c>
    </row>
    <row r="66" spans="2:6" x14ac:dyDescent="0.25">
      <c r="B66" s="282" t="s">
        <v>141</v>
      </c>
      <c r="C66" s="296">
        <f>C45*COS(RADIANS(C6))</f>
        <v>3.2551907253974948</v>
      </c>
      <c r="D66" s="283" t="s">
        <v>26</v>
      </c>
      <c r="E66" s="297" t="s">
        <v>142</v>
      </c>
    </row>
    <row r="67" spans="2:6" x14ac:dyDescent="0.25">
      <c r="B67" s="282" t="s">
        <v>143</v>
      </c>
      <c r="C67" s="296">
        <f>C46*COS(RADIANS(C6))</f>
        <v>10.127260034569984</v>
      </c>
      <c r="D67" s="283" t="s">
        <v>26</v>
      </c>
      <c r="E67" s="297" t="s">
        <v>144</v>
      </c>
    </row>
    <row r="68" spans="2:6" x14ac:dyDescent="0.25">
      <c r="B68" s="282" t="s">
        <v>145</v>
      </c>
      <c r="C68" s="296">
        <f>C5/C4</f>
        <v>3.1111111111111112</v>
      </c>
      <c r="D68" s="283" t="s">
        <v>7</v>
      </c>
      <c r="E68" s="297" t="s">
        <v>146</v>
      </c>
    </row>
    <row r="69" spans="2:6" ht="15.75" thickBot="1" x14ac:dyDescent="0.3">
      <c r="B69" s="298" t="s">
        <v>147</v>
      </c>
      <c r="C69" s="299">
        <f>(CONVERT(C45,"in","ft")/2)*CONVERT(C10,"s","min")*(2*PI())</f>
        <v>25.99779088735712</v>
      </c>
      <c r="D69" s="289" t="s">
        <v>148</v>
      </c>
      <c r="E69" s="300" t="s">
        <v>149</v>
      </c>
    </row>
    <row r="70" spans="2:6" x14ac:dyDescent="0.25">
      <c r="B70" s="301" t="s">
        <v>150</v>
      </c>
      <c r="C70" s="302">
        <f>(C9*(550/1))/(CONVERT(C10,"s","min")*2*PI())</f>
        <v>79.392407658631512</v>
      </c>
      <c r="D70" s="303" t="s">
        <v>151</v>
      </c>
      <c r="E70" s="304" t="s">
        <v>152</v>
      </c>
      <c r="F70" s="250" t="s">
        <v>447</v>
      </c>
    </row>
    <row r="71" spans="2:6" x14ac:dyDescent="0.25">
      <c r="B71" s="282" t="s">
        <v>153</v>
      </c>
      <c r="C71" s="305">
        <f>C70/(CONVERT(C45,"in","ft")/2)</f>
        <v>550.04673519988091</v>
      </c>
      <c r="D71" s="283" t="s">
        <v>154</v>
      </c>
      <c r="E71" s="297" t="s">
        <v>155</v>
      </c>
    </row>
    <row r="72" spans="2:6" x14ac:dyDescent="0.25">
      <c r="B72" s="282" t="s">
        <v>156</v>
      </c>
      <c r="C72" s="305">
        <f>C71*TAN(RADIANS(C58))</f>
        <v>231.17178571575963</v>
      </c>
      <c r="D72" s="283" t="s">
        <v>154</v>
      </c>
      <c r="E72" s="297" t="s">
        <v>157</v>
      </c>
    </row>
    <row r="73" spans="2:6" x14ac:dyDescent="0.25">
      <c r="B73" s="282" t="s">
        <v>158</v>
      </c>
      <c r="C73" s="305">
        <f>C71*TAN(RADIANS(C7))</f>
        <v>317.56963063452605</v>
      </c>
      <c r="D73" s="283" t="s">
        <v>154</v>
      </c>
      <c r="E73" s="297" t="s">
        <v>159</v>
      </c>
    </row>
    <row r="74" spans="2:6" x14ac:dyDescent="0.25">
      <c r="B74" s="282" t="s">
        <v>160</v>
      </c>
      <c r="C74" s="305">
        <f>SQRT(C71^2+C72^2)</f>
        <v>596.65048848975312</v>
      </c>
      <c r="D74" s="283" t="s">
        <v>154</v>
      </c>
      <c r="E74" s="297" t="s">
        <v>257</v>
      </c>
    </row>
    <row r="75" spans="2:6" ht="15.75" thickBot="1" x14ac:dyDescent="0.3">
      <c r="B75" s="298" t="s">
        <v>161</v>
      </c>
      <c r="C75" s="306">
        <f>SQRT(C74^2+C73^2)</f>
        <v>675.90108426929623</v>
      </c>
      <c r="D75" s="289" t="s">
        <v>154</v>
      </c>
      <c r="E75" s="300" t="s">
        <v>258</v>
      </c>
    </row>
    <row r="76" spans="2:6" x14ac:dyDescent="0.25">
      <c r="B76" s="301" t="s">
        <v>162</v>
      </c>
      <c r="C76" s="307">
        <f>IF(C35="Cast",(600+CONVERT(C69,"min","s"))/600,IF(OR(C35="Cut",C35="Milled"),(1200+CONVERT(C69,"min","s"))/1200,IF(OR(C35="Hobbed",C35="Shaped",C35="Unknown"),(50+SQRT(CONVERT(C69,"min","s")))/50,IF(OR(C35="Shaved",C35="Ground"),SQRT((78+SQRT(CONVERT(C69,"min","s")))/78),"Check Shaping Process"))))</f>
        <v>1.7899031467822943</v>
      </c>
      <c r="D76" s="303" t="s">
        <v>7</v>
      </c>
      <c r="E76" s="304" t="s">
        <v>163</v>
      </c>
    </row>
    <row r="77" spans="2:6" ht="15.75" thickBot="1" x14ac:dyDescent="0.3">
      <c r="B77" s="308" t="s">
        <v>164</v>
      </c>
      <c r="C77" s="306">
        <f>(C76*C71*C8/(C11*C21))/1000</f>
        <v>11.087053853734169</v>
      </c>
      <c r="D77" s="289" t="s">
        <v>36</v>
      </c>
      <c r="E77" s="300" t="s">
        <v>259</v>
      </c>
      <c r="F77" s="309" t="s">
        <v>165</v>
      </c>
    </row>
    <row r="78" spans="2:6" x14ac:dyDescent="0.25">
      <c r="B78" s="310" t="s">
        <v>166</v>
      </c>
      <c r="C78" s="307">
        <f>50+56*(1-C79)</f>
        <v>59.773018515475229</v>
      </c>
      <c r="D78" s="303" t="s">
        <v>7</v>
      </c>
      <c r="E78" s="304" t="s">
        <v>167</v>
      </c>
    </row>
    <row r="79" spans="2:6" x14ac:dyDescent="0.25">
      <c r="B79" s="311" t="s">
        <v>168</v>
      </c>
      <c r="C79" s="305">
        <f>0.25*(12-C24)^(2/3)</f>
        <v>0.82548181222365657</v>
      </c>
      <c r="D79" s="283" t="s">
        <v>7</v>
      </c>
      <c r="E79" s="297" t="s">
        <v>167</v>
      </c>
    </row>
    <row r="80" spans="2:6" x14ac:dyDescent="0.25">
      <c r="B80" s="311" t="s">
        <v>169</v>
      </c>
      <c r="C80" s="305">
        <f>((C78+SQRT(CONVERT(C69,"min","s")))/C78)^C79</f>
        <v>1.5200492153620775</v>
      </c>
      <c r="D80" s="283" t="s">
        <v>7</v>
      </c>
      <c r="E80" s="297" t="s">
        <v>170</v>
      </c>
    </row>
    <row r="81" spans="2:5" x14ac:dyDescent="0.25">
      <c r="B81" s="311" t="s">
        <v>171</v>
      </c>
      <c r="C81" s="305">
        <f>IF(C36="Yes",0.8,1)</f>
        <v>1</v>
      </c>
      <c r="D81" s="283" t="s">
        <v>7</v>
      </c>
      <c r="E81" s="297" t="s">
        <v>172</v>
      </c>
    </row>
    <row r="82" spans="2:5" x14ac:dyDescent="0.25">
      <c r="B82" s="311" t="s">
        <v>173</v>
      </c>
      <c r="C82" s="305">
        <f>IF(C11&lt;=1,C11/(10*C45)-0.025,IF(C11&lt;=17,C11/(10*C45)-0.0375+0.0125*C11,IF(C11&lt;=40,C11/(10*C45)-0.1109+0.0207*C11-0.000228*C11^2,"Cannot evaluate larger than 40 inch wide gear")))</f>
        <v>3.6961524227066334E-2</v>
      </c>
      <c r="D82" s="283" t="s">
        <v>7</v>
      </c>
      <c r="E82" s="297" t="s">
        <v>174</v>
      </c>
    </row>
    <row r="83" spans="2:5" x14ac:dyDescent="0.25">
      <c r="B83" s="311" t="s">
        <v>175</v>
      </c>
      <c r="C83" s="305">
        <f>IF(C20/C19&lt;0.175,1,1.1)</f>
        <v>1</v>
      </c>
      <c r="D83" s="283" t="s">
        <v>7</v>
      </c>
      <c r="E83" s="297" t="s">
        <v>174</v>
      </c>
    </row>
    <row r="84" spans="2:5" x14ac:dyDescent="0.25">
      <c r="B84" s="311" t="s">
        <v>176</v>
      </c>
      <c r="C84" s="305">
        <f>IF(C38="Open",0.247,IF(C38="Enclosed,Commercial",0.127,IF(C38="Enclosed,Precision",0.0675,IF(C38="Enclosed,Extra Precision",0.0036,"Check Gear Condition Input"))))</f>
        <v>0.247</v>
      </c>
      <c r="D84" s="283" t="s">
        <v>7</v>
      </c>
      <c r="E84" s="297" t="s">
        <v>174</v>
      </c>
    </row>
    <row r="85" spans="2:5" x14ac:dyDescent="0.25">
      <c r="B85" s="311" t="s">
        <v>177</v>
      </c>
      <c r="C85" s="305">
        <f>IF(C38="Open",0.0167,IF(C38="Enclosed,Commercial",0.158,IF(C38="Enclosed,Precision",0.0128,IF(C38="Enclosed,Extra Precision",0.0102,"Check Gear Condition Input"))))</f>
        <v>1.67E-2</v>
      </c>
      <c r="D85" s="283" t="s">
        <v>7</v>
      </c>
      <c r="E85" s="297" t="s">
        <v>174</v>
      </c>
    </row>
    <row r="86" spans="2:5" x14ac:dyDescent="0.25">
      <c r="B86" s="311" t="s">
        <v>178</v>
      </c>
      <c r="C86" s="305">
        <f>IF(C38="Open",-0.765*10^-4,IF(C38="Enclosed,Commercial",-0.93*10^-4,IF(C38="Enclosed,Precision",-0.926*10^-4,IF(C38="Enclosed,Extra Precision",-0.822*10^-4,"Check Gear Condition Input"))))</f>
        <v>-7.6500000000000003E-5</v>
      </c>
      <c r="D86" s="283" t="s">
        <v>7</v>
      </c>
      <c r="E86" s="297" t="s">
        <v>174</v>
      </c>
    </row>
    <row r="87" spans="2:5" x14ac:dyDescent="0.25">
      <c r="B87" s="311" t="s">
        <v>179</v>
      </c>
      <c r="C87" s="305">
        <f>C84+C85*C11+C86*C11^2</f>
        <v>0.27681213999999998</v>
      </c>
      <c r="D87" s="283" t="s">
        <v>7</v>
      </c>
      <c r="E87" s="297" t="s">
        <v>174</v>
      </c>
    </row>
    <row r="88" spans="2:5" x14ac:dyDescent="0.25">
      <c r="B88" s="311" t="s">
        <v>180</v>
      </c>
      <c r="C88" s="305">
        <f>IF(C37="Yes",0.8,1)</f>
        <v>1</v>
      </c>
      <c r="D88" s="283"/>
      <c r="E88" s="297" t="s">
        <v>181</v>
      </c>
    </row>
    <row r="89" spans="2:5" x14ac:dyDescent="0.25">
      <c r="B89" s="311" t="s">
        <v>182</v>
      </c>
      <c r="C89" s="305">
        <f>1+C81*(C82*C83+C87*C88)</f>
        <v>1.3137736642270663</v>
      </c>
      <c r="D89" s="283" t="s">
        <v>7</v>
      </c>
      <c r="E89" s="297" t="s">
        <v>183</v>
      </c>
    </row>
    <row r="90" spans="2:5" x14ac:dyDescent="0.25">
      <c r="B90" s="311" t="s">
        <v>184</v>
      </c>
      <c r="C90" s="305">
        <f>C33/C51</f>
        <v>2.0997333333333335</v>
      </c>
      <c r="D90" s="283" t="s">
        <v>7</v>
      </c>
      <c r="E90" s="297" t="s">
        <v>185</v>
      </c>
    </row>
    <row r="91" spans="2:5" x14ac:dyDescent="0.25">
      <c r="B91" s="311" t="s">
        <v>186</v>
      </c>
      <c r="C91" s="305">
        <f>IF(C90&lt;1.2,1.6*LN(2.242/C90),1)</f>
        <v>1</v>
      </c>
      <c r="D91" s="283" t="s">
        <v>7</v>
      </c>
      <c r="E91" s="297" t="s">
        <v>187</v>
      </c>
    </row>
    <row r="92" spans="2:5" x14ac:dyDescent="0.25">
      <c r="B92" s="311" t="s">
        <v>188</v>
      </c>
      <c r="C92" s="305">
        <f>C71*C25*C80*C26*(C89*C91/C22)*(C56/C11)/1000</f>
        <v>14.093038925402418</v>
      </c>
      <c r="D92" s="283" t="s">
        <v>36</v>
      </c>
      <c r="E92" s="297" t="s">
        <v>260</v>
      </c>
    </row>
    <row r="93" spans="2:5" x14ac:dyDescent="0.25">
      <c r="B93" s="312" t="s">
        <v>189</v>
      </c>
      <c r="C93" s="296">
        <f>IF(C23=2,102*C14+16400,77.3*C14+12800)/1000</f>
        <v>29.806000000000001</v>
      </c>
      <c r="D93" s="283" t="s">
        <v>36</v>
      </c>
      <c r="E93" s="297" t="s">
        <v>261</v>
      </c>
    </row>
    <row r="94" spans="2:5" x14ac:dyDescent="0.25">
      <c r="B94" s="311" t="s">
        <v>190</v>
      </c>
      <c r="C94" s="296">
        <f>IF(C12&gt;=10^6*2,1.6831*C12^-0.0323,"Re-evaluate Y_N fomrula according to Figure 14-14")</f>
        <v>0.92834610581105714</v>
      </c>
      <c r="D94" s="283" t="s">
        <v>7</v>
      </c>
      <c r="E94" s="297" t="s">
        <v>191</v>
      </c>
    </row>
    <row r="95" spans="2:5" x14ac:dyDescent="0.25">
      <c r="B95" s="311" t="s">
        <v>192</v>
      </c>
      <c r="C95" s="296">
        <f>IF(C13&gt;=0.9999,1.5,IF(C13&gt;=0.999,1.25,IF(C13&gt;=0.99,1,IF(C13&gt;=0.9,0.85,IF(C13&gt;=0.5,0.7,"Why is reliability desired so low?")))))</f>
        <v>0.85</v>
      </c>
      <c r="D95" s="283" t="s">
        <v>7</v>
      </c>
      <c r="E95" s="297" t="s">
        <v>193</v>
      </c>
    </row>
    <row r="96" spans="2:5" ht="15.75" thickBot="1" x14ac:dyDescent="0.3">
      <c r="B96" s="308" t="s">
        <v>194</v>
      </c>
      <c r="C96" s="306">
        <f>C93*(C94/(C27*C95))*(1/C92)</f>
        <v>2.3098833049062959</v>
      </c>
      <c r="D96" s="289" t="s">
        <v>7</v>
      </c>
      <c r="E96" s="300" t="s">
        <v>262</v>
      </c>
    </row>
    <row r="97" spans="2:5" x14ac:dyDescent="0.25">
      <c r="B97" s="313" t="s">
        <v>195</v>
      </c>
      <c r="C97" s="314">
        <f>SQRT(1/(PI()*((1-C17^2)/C15+(1-C18^2)/C16)))</f>
        <v>72.247497309772328</v>
      </c>
      <c r="D97" s="280" t="s">
        <v>196</v>
      </c>
      <c r="E97" s="315" t="s">
        <v>197</v>
      </c>
    </row>
    <row r="98" spans="2:5" x14ac:dyDescent="0.25">
      <c r="B98" s="311" t="s">
        <v>198</v>
      </c>
      <c r="C98" s="305">
        <f>IF(C39="Internal",(COS(RADIANS(C58))*SIN(RADIANS(C58))/2*C30)*(C68/(C68-1)),(COS(RADIANS(C58))*SIN(RADIANS(C58))/2*C30)*(C68/(C68+1)))</f>
        <v>0.13515145626474159</v>
      </c>
      <c r="D98" s="283" t="s">
        <v>7</v>
      </c>
      <c r="E98" s="297" t="s">
        <v>199</v>
      </c>
    </row>
    <row r="99" spans="2:5" x14ac:dyDescent="0.25">
      <c r="B99" s="311" t="s">
        <v>200</v>
      </c>
      <c r="C99" s="305">
        <f>IF(C23=2,349*C14+34300,322*C14+29100)/1000</f>
        <v>99.94</v>
      </c>
      <c r="D99" s="283" t="s">
        <v>36</v>
      </c>
      <c r="E99" s="297" t="s">
        <v>201</v>
      </c>
    </row>
    <row r="100" spans="2:5" x14ac:dyDescent="0.25">
      <c r="B100" s="311" t="s">
        <v>202</v>
      </c>
      <c r="C100" s="305">
        <f>2.466*C12^(-0.056)</f>
        <v>0.87900849502911826</v>
      </c>
      <c r="D100" s="283" t="s">
        <v>7</v>
      </c>
      <c r="E100" s="297" t="s">
        <v>203</v>
      </c>
    </row>
    <row r="101" spans="2:5" x14ac:dyDescent="0.25">
      <c r="B101" s="311" t="s">
        <v>204</v>
      </c>
      <c r="C101" s="305">
        <f>C97*SQRT((C71*C25*C80*C26*(C89/(C45*C11))*(C29/C98))/1000)</f>
        <v>82.484011655013489</v>
      </c>
      <c r="D101" s="283" t="s">
        <v>36</v>
      </c>
      <c r="E101" s="297" t="s">
        <v>263</v>
      </c>
    </row>
    <row r="102" spans="2:5" x14ac:dyDescent="0.25">
      <c r="B102" s="311" t="s">
        <v>205</v>
      </c>
      <c r="C102" s="305">
        <f>C99*((C100*C28)/(C27*C95))/C101</f>
        <v>1.2529787820561016</v>
      </c>
      <c r="D102" s="283" t="s">
        <v>7</v>
      </c>
      <c r="E102" s="297" t="s">
        <v>264</v>
      </c>
    </row>
    <row r="103" spans="2:5" ht="15.75" thickBot="1" x14ac:dyDescent="0.3">
      <c r="B103" s="308" t="s">
        <v>221</v>
      </c>
      <c r="C103" s="306">
        <f>IF(C36="Yes",C102^3,C102^2)</f>
        <v>1.5699558282827917</v>
      </c>
      <c r="D103" s="289" t="s">
        <v>7</v>
      </c>
      <c r="E103" s="300" t="s">
        <v>265</v>
      </c>
    </row>
  </sheetData>
  <sheetProtection algorithmName="SHA-512" hashValue="T4dsQo7QVN+/sinZRDX54+MlRvd92cnPjDfjZBqtp74SdKnroElMUJwVHiy4BTXsIdc09bdP8UROyKqGzohBDA==" saltValue="hN6yZXIu6x3lzIz0/jlOig==" spinCount="100000" sheet="1" objects="1" scenarios="1" formatCells="0" formatColumns="0" formatRows="0"/>
  <protectedRanges>
    <protectedRange sqref="C4:C39 C70" name="Inputs"/>
  </protectedRanges>
  <mergeCells count="3">
    <mergeCell ref="B2:E2"/>
    <mergeCell ref="B41:E41"/>
    <mergeCell ref="L2:Q9"/>
  </mergeCells>
  <conditionalFormatting sqref="C43">
    <cfRule type="containsText" dxfId="3" priority="1" operator="containsText" text="No">
      <formula>NOT(ISERROR(SEARCH("No",C43)))</formula>
    </cfRule>
  </conditionalFormatting>
  <dataValidations count="10">
    <dataValidation type="list" showInputMessage="1" showErrorMessage="1" error="Shaping Process must be selected from dropdown list." sqref="C35" xr:uid="{243294F1-9A13-453F-825D-B514F73B4174}">
      <formula1>Shaping_Process</formula1>
    </dataValidation>
    <dataValidation type="list" allowBlank="1" showInputMessage="1" showErrorMessage="1" sqref="C31 C36:C37 C39" xr:uid="{3870467C-FA59-45AA-82F3-DD0FA3633682}">
      <formula1>Yes_No</formula1>
    </dataValidation>
    <dataValidation type="list" showInputMessage="1" showErrorMessage="1" sqref="C38:C39 C31" xr:uid="{465154B5-D912-4D02-8ED3-6D63BC67C37B}">
      <formula1>Gear_Condition</formula1>
    </dataValidation>
    <dataValidation type="list" allowBlank="1" showInputMessage="1" showErrorMessage="1" sqref="C39 C31" xr:uid="{8147010A-3A24-49E5-B770-68A302184084}">
      <formula1>Gear_External_or_Internal</formula1>
    </dataValidation>
    <dataValidation type="list" allowBlank="1" showInputMessage="1" showErrorMessage="1" sqref="C34" xr:uid="{227B548B-8FA3-4931-B4CD-F9F65D3583EF}">
      <formula1>Tooth_Form</formula1>
    </dataValidation>
    <dataValidation showInputMessage="1" showErrorMessage="1" sqref="C32" xr:uid="{F0CF2FF9-DFCA-46AB-95E5-6A75B94FD3AA}"/>
    <dataValidation type="list" allowBlank="1" showInputMessage="1" showErrorMessage="1" sqref="C38" xr:uid="{1BA23CC9-0290-4D55-AD7F-312B4F25C61A}">
      <formula1>Gear_Condition</formula1>
    </dataValidation>
    <dataValidation type="whole" allowBlank="1" showInputMessage="1" showErrorMessage="1" sqref="C4:C5" xr:uid="{C3C79D8E-39FB-4FE1-A407-DF137D101EFA}">
      <formula1>3</formula1>
      <formula2>9999</formula2>
    </dataValidation>
    <dataValidation type="whole" allowBlank="1" showInputMessage="1" showErrorMessage="1" sqref="C23" xr:uid="{60FA51F2-56CD-4CEE-8FD2-AD7C399673E1}">
      <formula1>1</formula1>
      <formula2>10</formula2>
    </dataValidation>
    <dataValidation type="whole" allowBlank="1" showInputMessage="1" showErrorMessage="1" sqref="C24" xr:uid="{A724FEAC-CFC8-4187-A860-355F96E3ACC5}">
      <formula1>1</formula1>
      <formula2>15</formula2>
    </dataValidation>
  </dataValidations>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DB20F-0094-4181-A467-0D0237AED847}">
  <sheetPr codeName="Sheet3"/>
  <dimension ref="A1:DH1794"/>
  <sheetViews>
    <sheetView tabSelected="1" zoomScale="90" zoomScaleNormal="90" workbookViewId="0">
      <selection activeCell="G9" sqref="G9"/>
    </sheetView>
  </sheetViews>
  <sheetFormatPr defaultRowHeight="15" x14ac:dyDescent="0.25"/>
  <cols>
    <col min="1" max="1" width="1.42578125" customWidth="1"/>
    <col min="2" max="2" width="9.140625" hidden="1" customWidth="1"/>
    <col min="3" max="3" width="9.7109375" customWidth="1"/>
    <col min="4" max="4" width="9.140625" customWidth="1"/>
    <col min="5" max="5" width="12.42578125" customWidth="1"/>
    <col min="6" max="6" width="9.140625" customWidth="1"/>
    <col min="7" max="7" width="23.140625" bestFit="1" customWidth="1"/>
    <col min="8" max="8" width="11.7109375" customWidth="1"/>
    <col min="9" max="9" width="22.5703125" customWidth="1"/>
    <col min="10" max="10" width="13.42578125" customWidth="1"/>
    <col min="13" max="13" width="33.42578125" bestFit="1" customWidth="1"/>
    <col min="14" max="14" width="23.42578125" customWidth="1"/>
    <col min="16" max="16" width="12.28515625" customWidth="1"/>
    <col min="18" max="18" width="14" bestFit="1" customWidth="1"/>
    <col min="19" max="19" width="12" customWidth="1"/>
    <col min="21" max="22" width="9.140625" customWidth="1"/>
    <col min="28" max="28" width="15" customWidth="1"/>
    <col min="85" max="85" width="9.140625" customWidth="1"/>
  </cols>
  <sheetData>
    <row r="1" spans="3:18" ht="7.5" customHeight="1" thickBot="1" x14ac:dyDescent="0.3"/>
    <row r="2" spans="3:18" x14ac:dyDescent="0.25">
      <c r="C2" s="228" t="s">
        <v>448</v>
      </c>
      <c r="D2" s="229"/>
      <c r="E2" s="229"/>
      <c r="F2" s="229"/>
      <c r="G2" s="229"/>
      <c r="H2" s="229"/>
      <c r="I2" s="234" t="s">
        <v>369</v>
      </c>
      <c r="M2" s="25" t="s">
        <v>4</v>
      </c>
      <c r="N2" s="26" t="s">
        <v>2</v>
      </c>
      <c r="O2" s="27" t="s">
        <v>3</v>
      </c>
    </row>
    <row r="3" spans="3:18" ht="26.25" customHeight="1" x14ac:dyDescent="0.25">
      <c r="C3" s="230"/>
      <c r="D3" s="231"/>
      <c r="E3" s="231"/>
      <c r="F3" s="231"/>
      <c r="G3" s="231"/>
      <c r="H3" s="231"/>
      <c r="I3" s="235"/>
      <c r="M3" s="28" t="s">
        <v>289</v>
      </c>
      <c r="N3" s="29">
        <v>7</v>
      </c>
      <c r="O3" s="30" t="s">
        <v>7</v>
      </c>
    </row>
    <row r="4" spans="3:18" ht="26.25" x14ac:dyDescent="0.25">
      <c r="C4" s="230"/>
      <c r="D4" s="231"/>
      <c r="E4" s="231"/>
      <c r="F4" s="231"/>
      <c r="G4" s="231"/>
      <c r="H4" s="231"/>
      <c r="I4" s="236" t="s">
        <v>370</v>
      </c>
      <c r="M4" s="28" t="s">
        <v>338</v>
      </c>
      <c r="N4" s="29" t="s">
        <v>336</v>
      </c>
      <c r="O4" s="31" t="s">
        <v>333</v>
      </c>
    </row>
    <row r="5" spans="3:18" ht="26.25" x14ac:dyDescent="0.25">
      <c r="C5" s="230"/>
      <c r="D5" s="231"/>
      <c r="E5" s="231"/>
      <c r="F5" s="231"/>
      <c r="G5" s="231"/>
      <c r="H5" s="231"/>
      <c r="I5" s="236"/>
      <c r="M5" s="28" t="s">
        <v>371</v>
      </c>
      <c r="N5" s="29">
        <v>12</v>
      </c>
      <c r="O5" s="30" t="s">
        <v>20</v>
      </c>
    </row>
    <row r="6" spans="3:18" ht="26.25" x14ac:dyDescent="0.25">
      <c r="C6" s="230"/>
      <c r="D6" s="231"/>
      <c r="E6" s="231"/>
      <c r="F6" s="231"/>
      <c r="G6" s="231"/>
      <c r="H6" s="231"/>
      <c r="I6" s="237" t="s">
        <v>372</v>
      </c>
      <c r="M6" s="28" t="s">
        <v>373</v>
      </c>
      <c r="N6" s="29">
        <v>2000</v>
      </c>
      <c r="O6" s="30" t="s">
        <v>23</v>
      </c>
      <c r="Q6" s="156"/>
    </row>
    <row r="7" spans="3:18" ht="20.25" customHeight="1" thickBot="1" x14ac:dyDescent="0.3">
      <c r="C7" s="232"/>
      <c r="D7" s="233"/>
      <c r="E7" s="233"/>
      <c r="F7" s="233"/>
      <c r="G7" s="233"/>
      <c r="H7" s="233"/>
      <c r="I7" s="238"/>
      <c r="M7" s="32" t="s">
        <v>365</v>
      </c>
      <c r="N7" s="33">
        <v>0.75</v>
      </c>
      <c r="O7" s="34" t="s">
        <v>7</v>
      </c>
    </row>
    <row r="8" spans="3:18" ht="15.75" customHeight="1" thickBot="1" x14ac:dyDescent="0.3"/>
    <row r="9" spans="3:18" ht="60" x14ac:dyDescent="0.25">
      <c r="C9" s="12" t="s">
        <v>266</v>
      </c>
      <c r="D9" s="13" t="s">
        <v>331</v>
      </c>
      <c r="E9" s="18" t="s">
        <v>374</v>
      </c>
      <c r="F9" s="13" t="s">
        <v>276</v>
      </c>
      <c r="G9" s="13" t="s">
        <v>15</v>
      </c>
      <c r="H9" s="13" t="s">
        <v>18</v>
      </c>
      <c r="I9" s="35" t="s">
        <v>444</v>
      </c>
      <c r="K9" s="36" t="s">
        <v>300</v>
      </c>
      <c r="L9" s="37" t="s">
        <v>339</v>
      </c>
      <c r="M9" s="37" t="s">
        <v>303</v>
      </c>
      <c r="N9" s="37" t="s">
        <v>313</v>
      </c>
      <c r="O9" s="38" t="s">
        <v>375</v>
      </c>
      <c r="Q9" s="239" t="str">
        <f>O771</f>
        <v>Recommended Initial GearTrain Layout Graph Axis:</v>
      </c>
      <c r="R9" s="240"/>
    </row>
    <row r="10" spans="3:18" ht="22.5" customHeight="1" x14ac:dyDescent="0.25">
      <c r="C10" s="14" t="s">
        <v>7</v>
      </c>
      <c r="D10" s="8" t="s">
        <v>7</v>
      </c>
      <c r="E10" s="8" t="s">
        <v>7</v>
      </c>
      <c r="F10" s="8" t="s">
        <v>12</v>
      </c>
      <c r="G10" s="8" t="s">
        <v>12</v>
      </c>
      <c r="H10" s="8" t="s">
        <v>17</v>
      </c>
      <c r="I10" s="16"/>
      <c r="K10" s="14" t="s">
        <v>7</v>
      </c>
      <c r="L10" s="8" t="s">
        <v>7</v>
      </c>
      <c r="M10" s="8" t="s">
        <v>376</v>
      </c>
      <c r="N10" s="8" t="s">
        <v>376</v>
      </c>
      <c r="O10" s="39" t="s">
        <v>7</v>
      </c>
      <c r="Q10" s="40" t="str">
        <f>O772</f>
        <v>X-Axis</v>
      </c>
      <c r="R10" s="41" t="str">
        <f>P772</f>
        <v>(-1.8,20.1)</v>
      </c>
    </row>
    <row r="11" spans="3:18" ht="15.75" thickBot="1" x14ac:dyDescent="0.3">
      <c r="C11" s="15">
        <f>D776</f>
        <v>1</v>
      </c>
      <c r="D11" s="88" t="s">
        <v>104</v>
      </c>
      <c r="E11" s="9">
        <v>19</v>
      </c>
      <c r="F11" s="2">
        <f>IF($D776&lt;=$G$770,IF($E785=$D776,IF($F785="Yes",20,G775),20),"")</f>
        <v>20</v>
      </c>
      <c r="G11" s="2">
        <f t="shared" ref="G11:G17" si="0">IF($D776&lt;=$G$770,IF($E785=$D776,IF(E776=E775,25,H775),25),"")</f>
        <v>25</v>
      </c>
      <c r="H11" s="2">
        <v>12</v>
      </c>
      <c r="I11" s="42" t="str">
        <f>IF(C11="","",IF(AND(D11&lt;&gt;D10,OR(H11&lt;&gt;H10,G11&lt;&gt;G10,F11&lt;&gt;F10),C11&lt;&gt;1),"Check Diametral Pitch, Helix Angle, and Pressure Angle - Should Match Mating Gear","OK - Mesh has constant Press Angle, Helical Angle, and Normal Dia Pitch"))</f>
        <v>OK - Mesh has constant Press Angle, Helical Angle, and Normal Dia Pitch</v>
      </c>
      <c r="J11" s="156" t="s">
        <v>445</v>
      </c>
      <c r="K11" s="19" t="s">
        <v>104</v>
      </c>
      <c r="L11" s="1" t="s">
        <v>7</v>
      </c>
      <c r="M11" s="1">
        <v>0</v>
      </c>
      <c r="N11" s="157" t="str">
        <f t="shared" ref="N11:N17" si="1">V776</f>
        <v>(0,0)</v>
      </c>
      <c r="O11" s="16"/>
      <c r="Q11" s="89" t="str">
        <f>O773</f>
        <v>Y-Axis</v>
      </c>
      <c r="R11" s="43" t="str">
        <f>P773</f>
        <v>(-7.3,14.6)</v>
      </c>
    </row>
    <row r="12" spans="3:18" x14ac:dyDescent="0.25">
      <c r="C12" s="19">
        <f t="shared" ref="C12:C17" si="2">D777</f>
        <v>2</v>
      </c>
      <c r="D12" s="44" t="s">
        <v>106</v>
      </c>
      <c r="E12" s="2">
        <v>51</v>
      </c>
      <c r="F12" s="2">
        <f>IF($D777&lt;=$G$770,IF($E786=$D777,IF($F786="Yes",20,G776),20),"")</f>
        <v>20</v>
      </c>
      <c r="G12" s="2">
        <f t="shared" si="0"/>
        <v>25</v>
      </c>
      <c r="H12" s="2">
        <f>IF($D777&lt;=$G$770,IF($E786=$D777,IF(E777=E776,"",I776),""),"")</f>
        <v>12</v>
      </c>
      <c r="I12" s="42" t="str">
        <f t="shared" ref="I12:I17" si="3">IF(C12="","",IF(AND(D12&lt;&gt;D11,OR(H12&lt;&gt;H11,G12&lt;&gt;G11,F12&lt;&gt;F11),C12&lt;&gt;1),"Check Diametral Pitch, Helix Angle, and Pressure Angle - Should Match Mating Gear","OK - Mesh has constant Press Angle, Helical Angle, and Normal Dia Pitch"))</f>
        <v>OK - Mesh has constant Press Angle, Helical Angle, and Normal Dia Pitch</v>
      </c>
      <c r="J12" t="s">
        <v>445</v>
      </c>
      <c r="K12" s="19" t="s">
        <v>106</v>
      </c>
      <c r="L12" s="2" t="s">
        <v>340</v>
      </c>
      <c r="M12" s="2">
        <v>1</v>
      </c>
      <c r="N12" s="158" t="str">
        <f t="shared" si="1"/>
        <v>(-3.219,3.218)</v>
      </c>
      <c r="O12" s="16" t="str">
        <f t="shared" ref="O12:O17" si="4">W777</f>
        <v>In Bounds</v>
      </c>
    </row>
    <row r="13" spans="3:18" x14ac:dyDescent="0.25">
      <c r="C13" s="19">
        <f t="shared" si="2"/>
        <v>3</v>
      </c>
      <c r="D13" s="44" t="s">
        <v>106</v>
      </c>
      <c r="E13" s="2">
        <v>17</v>
      </c>
      <c r="F13" s="2">
        <f>IF($D778&lt;=$G$770,IF($E787=$D778,IF($F787="Yes",20,G777),20),"")</f>
        <v>20</v>
      </c>
      <c r="G13" s="2">
        <f t="shared" si="0"/>
        <v>25</v>
      </c>
      <c r="H13" s="2">
        <v>16</v>
      </c>
      <c r="I13" s="42" t="str">
        <f t="shared" si="3"/>
        <v>OK - Mesh has constant Press Angle, Helical Angle, and Normal Dia Pitch</v>
      </c>
      <c r="J13" t="s">
        <v>445</v>
      </c>
      <c r="K13" s="19" t="s">
        <v>108</v>
      </c>
      <c r="L13" s="2" t="s">
        <v>341</v>
      </c>
      <c r="M13" s="2">
        <v>2.8</v>
      </c>
      <c r="N13" s="158" t="str">
        <f t="shared" si="1"/>
        <v>(-1,2.999)</v>
      </c>
      <c r="O13" s="16" t="str">
        <f t="shared" si="4"/>
        <v>In Bounds</v>
      </c>
    </row>
    <row r="14" spans="3:18" x14ac:dyDescent="0.25">
      <c r="C14" s="19">
        <f t="shared" si="2"/>
        <v>4</v>
      </c>
      <c r="D14" s="44" t="s">
        <v>108</v>
      </c>
      <c r="E14" s="2">
        <v>41</v>
      </c>
      <c r="F14" s="2">
        <f t="shared" ref="F14:F17" si="5">IF($D779&lt;=$G$770,IF($E788=$D779,IF($F788="Yes",20,G778),20),"")</f>
        <v>20</v>
      </c>
      <c r="G14" s="2">
        <f t="shared" si="0"/>
        <v>25</v>
      </c>
      <c r="H14" s="2">
        <f t="shared" ref="H14:H17" si="6">IF($D779&lt;=$G$770,IF($E788=$D779,IF(E779=E778,"",I778),""),"")</f>
        <v>16</v>
      </c>
      <c r="I14" s="42" t="str">
        <f t="shared" si="3"/>
        <v>OK - Mesh has constant Press Angle, Helical Angle, and Normal Dia Pitch</v>
      </c>
      <c r="J14" t="s">
        <v>445</v>
      </c>
      <c r="K14" s="19" t="s">
        <v>301</v>
      </c>
      <c r="L14" s="2" t="s">
        <v>340</v>
      </c>
      <c r="M14" s="2">
        <v>1.85</v>
      </c>
      <c r="N14" s="158" t="str">
        <f t="shared" si="1"/>
        <v>(-0.959,6.558)</v>
      </c>
      <c r="O14" s="16" t="str">
        <f t="shared" si="4"/>
        <v>In Bounds</v>
      </c>
    </row>
    <row r="15" spans="3:18" x14ac:dyDescent="0.25">
      <c r="C15" s="19">
        <f t="shared" si="2"/>
        <v>5</v>
      </c>
      <c r="D15" s="44" t="s">
        <v>301</v>
      </c>
      <c r="E15" s="2">
        <v>68</v>
      </c>
      <c r="F15" s="2">
        <f t="shared" si="5"/>
        <v>20</v>
      </c>
      <c r="G15" s="2">
        <f t="shared" si="0"/>
        <v>25</v>
      </c>
      <c r="H15" s="2">
        <f t="shared" si="6"/>
        <v>16</v>
      </c>
      <c r="I15" s="42" t="str">
        <f t="shared" si="3"/>
        <v>OK - Mesh has constant Press Angle, Helical Angle, and Normal Dia Pitch</v>
      </c>
      <c r="J15" t="s">
        <v>445</v>
      </c>
      <c r="K15" s="19" t="s">
        <v>308</v>
      </c>
      <c r="L15" s="2" t="s">
        <v>340</v>
      </c>
      <c r="M15" s="2">
        <v>6</v>
      </c>
      <c r="N15" s="158" t="str">
        <f t="shared" si="1"/>
        <v>(-3.081,6.78)</v>
      </c>
      <c r="O15" s="16" t="str">
        <f t="shared" si="4"/>
        <v>In Bounds</v>
      </c>
    </row>
    <row r="16" spans="3:18" x14ac:dyDescent="0.25">
      <c r="C16" s="19">
        <f t="shared" si="2"/>
        <v>6</v>
      </c>
      <c r="D16" s="44" t="s">
        <v>308</v>
      </c>
      <c r="E16" s="2">
        <v>75</v>
      </c>
      <c r="F16" s="2">
        <f t="shared" si="5"/>
        <v>20</v>
      </c>
      <c r="G16" s="2">
        <f t="shared" si="0"/>
        <v>25</v>
      </c>
      <c r="H16" s="2">
        <f t="shared" si="6"/>
        <v>16</v>
      </c>
      <c r="I16" s="42" t="str">
        <f t="shared" si="3"/>
        <v>OK - Mesh has constant Press Angle, Helical Angle, and Normal Dia Pitch</v>
      </c>
      <c r="J16" t="s">
        <v>445</v>
      </c>
      <c r="K16" s="19" t="s">
        <v>309</v>
      </c>
      <c r="L16" s="2" t="s">
        <v>340</v>
      </c>
      <c r="M16" s="2">
        <v>3</v>
      </c>
      <c r="N16" s="158" t="str">
        <f t="shared" si="1"/>
        <v>(-0.897,12.896)</v>
      </c>
      <c r="O16" s="16" t="str">
        <f t="shared" si="4"/>
        <v>In Bounds</v>
      </c>
    </row>
    <row r="17" spans="3:19" ht="15.75" thickBot="1" x14ac:dyDescent="0.3">
      <c r="C17" s="21">
        <f t="shared" si="2"/>
        <v>7</v>
      </c>
      <c r="D17" s="45" t="s">
        <v>309</v>
      </c>
      <c r="E17" s="46">
        <v>125</v>
      </c>
      <c r="F17" s="46">
        <f t="shared" si="5"/>
        <v>20</v>
      </c>
      <c r="G17" s="46">
        <f t="shared" si="0"/>
        <v>25</v>
      </c>
      <c r="H17" s="46">
        <f t="shared" si="6"/>
        <v>16</v>
      </c>
      <c r="I17" s="47" t="str">
        <f t="shared" si="3"/>
        <v>OK - Mesh has constant Press Angle, Helical Angle, and Normal Dia Pitch</v>
      </c>
      <c r="J17" t="s">
        <v>445</v>
      </c>
      <c r="K17" s="21" t="s">
        <v>310</v>
      </c>
      <c r="L17" s="46" t="s">
        <v>340</v>
      </c>
      <c r="M17" s="46">
        <v>6</v>
      </c>
      <c r="N17" s="159" t="str">
        <f t="shared" si="1"/>
        <v>NA - Does this shaft exist?</v>
      </c>
      <c r="O17" s="17" t="str">
        <f t="shared" si="4"/>
        <v/>
      </c>
    </row>
    <row r="18" spans="3:19" ht="15.75" thickBot="1" x14ac:dyDescent="0.3"/>
    <row r="19" spans="3:19" ht="15.75" thickBot="1" x14ac:dyDescent="0.3">
      <c r="C19" s="241" t="s">
        <v>266</v>
      </c>
      <c r="D19" s="243" t="str">
        <f>H784</f>
        <v>Direction of Pinion Gear</v>
      </c>
      <c r="E19" s="243" t="s">
        <v>443</v>
      </c>
      <c r="F19" s="245" t="s">
        <v>377</v>
      </c>
      <c r="G19" s="247" t="s">
        <v>378</v>
      </c>
      <c r="H19" s="248"/>
      <c r="I19" s="248"/>
      <c r="J19" s="248"/>
      <c r="K19" s="248"/>
      <c r="L19" s="248"/>
      <c r="M19" s="248"/>
      <c r="N19" s="248"/>
      <c r="O19" s="248"/>
      <c r="P19" s="248"/>
      <c r="Q19" s="249"/>
      <c r="R19" s="218" t="str">
        <f>AS811</f>
        <v>W_Shaft</v>
      </c>
      <c r="S19" s="219"/>
    </row>
    <row r="20" spans="3:19" ht="78" customHeight="1" thickBot="1" x14ac:dyDescent="0.3">
      <c r="C20" s="242"/>
      <c r="D20" s="244"/>
      <c r="E20" s="244"/>
      <c r="F20" s="246"/>
      <c r="G20" s="48" t="s">
        <v>379</v>
      </c>
      <c r="H20" s="222" t="str">
        <f>K784</f>
        <v>W_t 
Transmitted (Tangential) Load of Mesh</v>
      </c>
      <c r="I20" s="223"/>
      <c r="J20" s="224" t="str">
        <f>L784</f>
        <v>W_r 
Radial Load of Mesh</v>
      </c>
      <c r="K20" s="225"/>
      <c r="L20" s="226" t="str">
        <f>M784</f>
        <v>W_a 
Axial Load of Mesh</v>
      </c>
      <c r="M20" s="227"/>
      <c r="N20" s="224" t="str">
        <f>N784</f>
        <v>Equivalent Radial Load on Shaft(s) From Mesh</v>
      </c>
      <c r="O20" s="225"/>
      <c r="P20" s="222" t="str">
        <f>O784</f>
        <v>Total Load on Shaft(s) From Mesh</v>
      </c>
      <c r="Q20" s="223"/>
      <c r="R20" s="220"/>
      <c r="S20" s="221"/>
    </row>
    <row r="21" spans="3:19" ht="45.75" thickBot="1" x14ac:dyDescent="0.3">
      <c r="C21" s="49" t="str">
        <f>D785</f>
        <v>-</v>
      </c>
      <c r="D21" s="50" t="s">
        <v>7</v>
      </c>
      <c r="E21" s="50" t="str">
        <f>I785</f>
        <v>lbf*ft</v>
      </c>
      <c r="F21" s="51" t="str">
        <f>J785</f>
        <v>rpm</v>
      </c>
      <c r="G21" s="52" t="s">
        <v>7</v>
      </c>
      <c r="H21" s="53" t="str">
        <f>Y812</f>
        <v>Label</v>
      </c>
      <c r="I21" s="54" t="str">
        <f>K785</f>
        <v>lbf</v>
      </c>
      <c r="J21" s="55" t="str">
        <f>O812</f>
        <v>Label</v>
      </c>
      <c r="K21" s="56" t="str">
        <f>L785</f>
        <v>lbf</v>
      </c>
      <c r="L21" s="57" t="s">
        <v>344</v>
      </c>
      <c r="M21" s="58" t="str">
        <f>M785</f>
        <v>lbf</v>
      </c>
      <c r="N21" s="55" t="str">
        <f>L21</f>
        <v>Label</v>
      </c>
      <c r="O21" s="56" t="str">
        <f>M21</f>
        <v>lbf</v>
      </c>
      <c r="P21" s="53" t="str">
        <f>N21</f>
        <v>Label</v>
      </c>
      <c r="Q21" s="59" t="str">
        <f>O21</f>
        <v>lbf</v>
      </c>
      <c r="R21" s="60" t="str">
        <f>AS812</f>
        <v>Label</v>
      </c>
      <c r="S21" s="61" t="str">
        <f>AV812</f>
        <v>W_Shaft (excludes axial loads)</v>
      </c>
    </row>
    <row r="22" spans="3:19" x14ac:dyDescent="0.25">
      <c r="C22" s="212">
        <f>D786</f>
        <v>1</v>
      </c>
      <c r="D22" s="213" t="str">
        <f>H786</f>
        <v>CCW</v>
      </c>
      <c r="E22" s="214">
        <f>I786</f>
        <v>31.512678732195276</v>
      </c>
      <c r="F22" s="215">
        <f>J786</f>
        <v>2000</v>
      </c>
      <c r="G22" s="22" t="str">
        <f>E813</f>
        <v/>
      </c>
      <c r="H22" s="62" t="str">
        <f t="shared" ref="H22:I35" si="7">Y813</f>
        <v/>
      </c>
      <c r="I22" s="63" t="str">
        <f>Z813</f>
        <v/>
      </c>
      <c r="J22" s="64" t="str">
        <f t="shared" ref="J22:K35" si="8">O813</f>
        <v/>
      </c>
      <c r="K22" s="22" t="str">
        <f>P813</f>
        <v/>
      </c>
      <c r="L22" s="65" t="str">
        <f>IF(OR(ISNA(M813),N813=""),"",_xlfn.CONCAT("Wa_",N813))</f>
        <v/>
      </c>
      <c r="M22" s="66" t="str">
        <f t="shared" ref="M22:M34" si="9">IF(ISNUMBER(K22),IF(ISNA(VLOOKUP(G22,$C$786:$M$791,COLUMNS($C$786:$M$791),FALSE)),M21,VLOOKUP(G22,$C$786:$M$791,COLUMNS($C$786:$M$791),FALSE)),"")</f>
        <v/>
      </c>
      <c r="N22" s="64" t="str">
        <f t="shared" ref="N22:N30" si="10">IF(OR(N813="",P813=""),"",_xlfn.CONCAT("Weqrad_",N813))</f>
        <v/>
      </c>
      <c r="O22" s="22" t="str">
        <f t="shared" ref="O22:O35" si="11">IF(ISNUMBER(K22),IF(ISNA(VLOOKUP(G22,$C$786:$N$791,COLUMNS($C$786:$N$791),FALSE)),M21,VLOOKUP(G22,$C$786:$N$791,COLUMNS($C$786:$N$791),FALSE)),"")</f>
        <v/>
      </c>
      <c r="P22" s="62" t="str">
        <f>IF(N813="","",_xlfn.CONCAT("Wtotal_",N813))</f>
        <v/>
      </c>
      <c r="Q22" s="63" t="str">
        <f t="shared" ref="Q22:Q35" si="12">IF(ISNUMBER(K22),IF(ISNA(VLOOKUP(G22,$C$786:$O$791,COLUMNS($C$786:$O$791),FALSE)),Q21,VLOOKUP(G22,$C$786:$O$791,COLUMNS($C$786:$O$791),FALSE)),"")</f>
        <v/>
      </c>
      <c r="R22" s="216" t="str">
        <f t="shared" ref="R22:R34" si="13">AS813</f>
        <v>W_a1</v>
      </c>
      <c r="S22" s="217">
        <f t="shared" ref="S22" si="14">AV813</f>
        <v>466.51797247172743</v>
      </c>
    </row>
    <row r="23" spans="3:19" x14ac:dyDescent="0.25">
      <c r="C23" s="200"/>
      <c r="D23" s="202"/>
      <c r="E23" s="204"/>
      <c r="F23" s="206"/>
      <c r="G23" s="22" t="str">
        <f t="shared" ref="G23:G35" si="15">E814</f>
        <v>1-2</v>
      </c>
      <c r="H23" s="62" t="str">
        <f t="shared" si="7"/>
        <v>Wt_2-1</v>
      </c>
      <c r="I23" s="67">
        <f>Z814</f>
        <v>432.91229495301928</v>
      </c>
      <c r="J23" s="64" t="str">
        <f t="shared" si="8"/>
        <v>Wr_2-1</v>
      </c>
      <c r="K23" s="22">
        <f t="shared" si="8"/>
        <v>173.85615754882386</v>
      </c>
      <c r="L23" s="65" t="str">
        <f>IF(OR(ISNA(M814),N814=""),"",_xlfn.CONCAT("Wa_",N814))</f>
        <v>Wa_2-1</v>
      </c>
      <c r="M23" s="68">
        <f t="shared" si="9"/>
        <v>201.87031844604843</v>
      </c>
      <c r="N23" s="64" t="str">
        <f t="shared" si="10"/>
        <v>Weqrad_2-1</v>
      </c>
      <c r="O23" s="22">
        <f t="shared" si="11"/>
        <v>466.51797247172743</v>
      </c>
      <c r="P23" s="62" t="str">
        <f>IF(N814="","",_xlfn.CONCAT("Wtotal_",N814))</f>
        <v>Wtotal_2-1</v>
      </c>
      <c r="Q23" s="63">
        <f t="shared" si="12"/>
        <v>508.32139843669813</v>
      </c>
      <c r="R23" s="208"/>
      <c r="S23" s="210"/>
    </row>
    <row r="24" spans="3:19" x14ac:dyDescent="0.25">
      <c r="C24" s="200">
        <f>D787</f>
        <v>2</v>
      </c>
      <c r="D24" s="202" t="str">
        <f>H787</f>
        <v>CW</v>
      </c>
      <c r="E24" s="204">
        <f>I787</f>
        <v>84.58666396536627</v>
      </c>
      <c r="F24" s="206">
        <f>J787</f>
        <v>745.0980392156863</v>
      </c>
      <c r="G24" s="69" t="str">
        <f t="shared" si="15"/>
        <v>2-1</v>
      </c>
      <c r="H24" s="70" t="str">
        <f t="shared" si="7"/>
        <v>Wt_1-2</v>
      </c>
      <c r="I24" s="71">
        <f t="shared" si="7"/>
        <v>432.91229495301928</v>
      </c>
      <c r="J24" s="72" t="str">
        <f t="shared" si="8"/>
        <v>Wr_1-2</v>
      </c>
      <c r="K24" s="69">
        <f t="shared" si="8"/>
        <v>173.85615754882386</v>
      </c>
      <c r="L24" s="73" t="str">
        <f t="shared" ref="L24:L35" si="16">IF(OR(ISNA(M815),N815=""),"",_xlfn.CONCAT("Wa_",N815))</f>
        <v>Wa_1-2</v>
      </c>
      <c r="M24" s="74">
        <f t="shared" si="9"/>
        <v>201.87031844604843</v>
      </c>
      <c r="N24" s="72" t="str">
        <f t="shared" si="10"/>
        <v>Weqrad_1-2</v>
      </c>
      <c r="O24" s="69">
        <f t="shared" si="11"/>
        <v>201.87031844604843</v>
      </c>
      <c r="P24" s="70" t="str">
        <f t="shared" ref="P24:P35" si="17">IF(N815="","",_xlfn.CONCAT("Wtotal_",N815))</f>
        <v>Wtotal_1-2</v>
      </c>
      <c r="Q24" s="75">
        <f t="shared" si="12"/>
        <v>508.32139843669813</v>
      </c>
      <c r="R24" s="208" t="str">
        <f t="shared" si="13"/>
        <v>W_b2</v>
      </c>
      <c r="S24" s="210">
        <f t="shared" ref="S24" si="18">AV815</f>
        <v>466.51797247172743</v>
      </c>
    </row>
    <row r="25" spans="3:19" x14ac:dyDescent="0.25">
      <c r="C25" s="200"/>
      <c r="D25" s="202"/>
      <c r="E25" s="204"/>
      <c r="F25" s="206"/>
      <c r="G25" s="22" t="str">
        <f t="shared" si="15"/>
        <v>2-3</v>
      </c>
      <c r="H25" s="62" t="str">
        <f t="shared" si="7"/>
        <v>Wt_3-2</v>
      </c>
      <c r="I25" s="67">
        <f t="shared" si="7"/>
        <v>0</v>
      </c>
      <c r="J25" s="64" t="str">
        <f t="shared" si="8"/>
        <v>Wr_3-2</v>
      </c>
      <c r="K25" s="22">
        <f t="shared" si="8"/>
        <v>0</v>
      </c>
      <c r="L25" s="65" t="str">
        <f t="shared" si="16"/>
        <v>Wa_3-2</v>
      </c>
      <c r="M25" s="68">
        <f t="shared" si="9"/>
        <v>0</v>
      </c>
      <c r="N25" s="64" t="str">
        <f t="shared" si="10"/>
        <v>Weqrad_3-2</v>
      </c>
      <c r="O25" s="22">
        <f t="shared" si="11"/>
        <v>0</v>
      </c>
      <c r="P25" s="62" t="str">
        <f t="shared" si="17"/>
        <v>Wtotal_3-2</v>
      </c>
      <c r="Q25" s="63">
        <f t="shared" si="12"/>
        <v>0</v>
      </c>
      <c r="R25" s="208"/>
      <c r="S25" s="210"/>
    </row>
    <row r="26" spans="3:19" x14ac:dyDescent="0.25">
      <c r="C26" s="200">
        <f>D788</f>
        <v>3</v>
      </c>
      <c r="D26" s="202" t="str">
        <f>H788</f>
        <v>CW</v>
      </c>
      <c r="E26" s="204">
        <f>I788</f>
        <v>84.58666396536627</v>
      </c>
      <c r="F26" s="206">
        <f>J788</f>
        <v>745.0980392156863</v>
      </c>
      <c r="G26" s="69" t="str">
        <f t="shared" si="15"/>
        <v>3-2</v>
      </c>
      <c r="H26" s="70" t="str">
        <f t="shared" si="7"/>
        <v>Wt_2-3</v>
      </c>
      <c r="I26" s="71">
        <f t="shared" si="7"/>
        <v>0</v>
      </c>
      <c r="J26" s="72" t="str">
        <f t="shared" si="8"/>
        <v>Wr_2-3</v>
      </c>
      <c r="K26" s="69">
        <f t="shared" si="8"/>
        <v>0</v>
      </c>
      <c r="L26" s="73" t="str">
        <f t="shared" si="16"/>
        <v>Wa_2-3</v>
      </c>
      <c r="M26" s="74">
        <f t="shared" si="9"/>
        <v>0</v>
      </c>
      <c r="N26" s="72" t="str">
        <f t="shared" si="10"/>
        <v>Weqrad_2-3</v>
      </c>
      <c r="O26" s="69">
        <f t="shared" si="11"/>
        <v>0</v>
      </c>
      <c r="P26" s="70" t="str">
        <f t="shared" si="17"/>
        <v>Wtotal_2-3</v>
      </c>
      <c r="Q26" s="75">
        <f t="shared" si="12"/>
        <v>0</v>
      </c>
      <c r="R26" s="208" t="str">
        <f t="shared" si="13"/>
        <v>W_b3</v>
      </c>
      <c r="S26" s="210">
        <f t="shared" ref="S26" si="19">AV817</f>
        <v>1866.07188988691</v>
      </c>
    </row>
    <row r="27" spans="3:19" x14ac:dyDescent="0.25">
      <c r="C27" s="200"/>
      <c r="D27" s="202"/>
      <c r="E27" s="204"/>
      <c r="F27" s="206"/>
      <c r="G27" s="76" t="str">
        <f t="shared" si="15"/>
        <v>3-4</v>
      </c>
      <c r="H27" s="77" t="str">
        <f t="shared" si="7"/>
        <v>Wt_4-3</v>
      </c>
      <c r="I27" s="78">
        <f t="shared" si="7"/>
        <v>1731.6491798120774</v>
      </c>
      <c r="J27" s="79" t="str">
        <f t="shared" si="8"/>
        <v>Wr_4-3</v>
      </c>
      <c r="K27" s="76">
        <f t="shared" si="8"/>
        <v>695.42463019529555</v>
      </c>
      <c r="L27" s="20" t="str">
        <f t="shared" si="16"/>
        <v>Wa_4-3</v>
      </c>
      <c r="M27" s="80">
        <f t="shared" si="9"/>
        <v>807.48127378419383</v>
      </c>
      <c r="N27" s="79" t="str">
        <f t="shared" si="10"/>
        <v>Weqrad_4-3</v>
      </c>
      <c r="O27" s="76">
        <f t="shared" si="11"/>
        <v>1866.07188988691</v>
      </c>
      <c r="P27" s="77" t="str">
        <f t="shared" si="17"/>
        <v>Wtotal_4-3</v>
      </c>
      <c r="Q27" s="81">
        <f t="shared" si="12"/>
        <v>2033.2855937467928</v>
      </c>
      <c r="R27" s="208"/>
      <c r="S27" s="210"/>
    </row>
    <row r="28" spans="3:19" x14ac:dyDescent="0.25">
      <c r="C28" s="200">
        <f>D789</f>
        <v>4</v>
      </c>
      <c r="D28" s="202" t="str">
        <f>H789</f>
        <v>CCW</v>
      </c>
      <c r="E28" s="204">
        <f>I789</f>
        <v>204.00313074000098</v>
      </c>
      <c r="F28" s="206">
        <f>J789</f>
        <v>308.9430894308943</v>
      </c>
      <c r="G28" s="22" t="str">
        <f t="shared" si="15"/>
        <v>4-3</v>
      </c>
      <c r="H28" s="62" t="str">
        <f t="shared" si="7"/>
        <v>Wt_3-4</v>
      </c>
      <c r="I28" s="67">
        <f t="shared" si="7"/>
        <v>1731.6491798120774</v>
      </c>
      <c r="J28" s="64" t="str">
        <f t="shared" si="8"/>
        <v>Wr_3-4</v>
      </c>
      <c r="K28" s="22">
        <f t="shared" si="8"/>
        <v>695.42463019529555</v>
      </c>
      <c r="L28" s="65" t="str">
        <f t="shared" si="16"/>
        <v>Wa_3-4</v>
      </c>
      <c r="M28" s="68">
        <f t="shared" si="9"/>
        <v>807.48127378419383</v>
      </c>
      <c r="N28" s="64" t="str">
        <f t="shared" si="10"/>
        <v>Weqrad_3-4</v>
      </c>
      <c r="O28" s="22">
        <f t="shared" si="11"/>
        <v>807.48127378419383</v>
      </c>
      <c r="P28" s="62" t="str">
        <f t="shared" si="17"/>
        <v>Wtotal_3-4</v>
      </c>
      <c r="Q28" s="63">
        <f t="shared" si="12"/>
        <v>2033.2855937467928</v>
      </c>
      <c r="R28" s="208" t="str">
        <f t="shared" si="13"/>
        <v>W_c4</v>
      </c>
      <c r="S28" s="210">
        <f t="shared" ref="S28" si="20">AV819</f>
        <v>187.64110520994737</v>
      </c>
    </row>
    <row r="29" spans="3:19" x14ac:dyDescent="0.25">
      <c r="C29" s="200"/>
      <c r="D29" s="202"/>
      <c r="E29" s="204"/>
      <c r="F29" s="206"/>
      <c r="G29" s="22" t="str">
        <f t="shared" si="15"/>
        <v>4-5</v>
      </c>
      <c r="H29" s="62" t="str">
        <f t="shared" si="7"/>
        <v>Wt_5-4</v>
      </c>
      <c r="I29" s="67">
        <f t="shared" si="7"/>
        <v>1731.6491798120771</v>
      </c>
      <c r="J29" s="64" t="str">
        <f t="shared" si="8"/>
        <v>Wr_5-4</v>
      </c>
      <c r="K29" s="22">
        <f t="shared" si="8"/>
        <v>695.42463019529544</v>
      </c>
      <c r="L29" s="65" t="str">
        <f t="shared" si="16"/>
        <v>Wa_5-4</v>
      </c>
      <c r="M29" s="68">
        <f t="shared" si="9"/>
        <v>807.48127378419372</v>
      </c>
      <c r="N29" s="64" t="str">
        <f t="shared" si="10"/>
        <v>Weqrad_5-4</v>
      </c>
      <c r="O29" s="22">
        <f t="shared" si="11"/>
        <v>1866.0718898869097</v>
      </c>
      <c r="P29" s="62" t="str">
        <f t="shared" si="17"/>
        <v>Wtotal_5-4</v>
      </c>
      <c r="Q29" s="63">
        <f t="shared" si="12"/>
        <v>2033.2855937467925</v>
      </c>
      <c r="R29" s="208"/>
      <c r="S29" s="210"/>
    </row>
    <row r="30" spans="3:19" x14ac:dyDescent="0.25">
      <c r="C30" s="200">
        <f>D790</f>
        <v>5</v>
      </c>
      <c r="D30" s="202" t="str">
        <f>H790</f>
        <v>CW</v>
      </c>
      <c r="E30" s="204">
        <f>I790</f>
        <v>338.34665586146502</v>
      </c>
      <c r="F30" s="206">
        <f>J790</f>
        <v>186.27450980392155</v>
      </c>
      <c r="G30" s="69" t="str">
        <f t="shared" si="15"/>
        <v>5-4</v>
      </c>
      <c r="H30" s="70" t="str">
        <f t="shared" si="7"/>
        <v>Wt_4-5</v>
      </c>
      <c r="I30" s="71">
        <f t="shared" si="7"/>
        <v>1731.6491798120771</v>
      </c>
      <c r="J30" s="72" t="str">
        <f t="shared" si="8"/>
        <v>Wr_4-5</v>
      </c>
      <c r="K30" s="69">
        <f t="shared" si="8"/>
        <v>695.42463019529544</v>
      </c>
      <c r="L30" s="73" t="str">
        <f t="shared" si="16"/>
        <v>Wa_4-5</v>
      </c>
      <c r="M30" s="74">
        <f t="shared" si="9"/>
        <v>807.48127378419372</v>
      </c>
      <c r="N30" s="72" t="str">
        <f t="shared" si="10"/>
        <v>Weqrad_4-5</v>
      </c>
      <c r="O30" s="69">
        <f t="shared" si="11"/>
        <v>807.48127378419372</v>
      </c>
      <c r="P30" s="70" t="str">
        <f t="shared" si="17"/>
        <v>Wtotal_4-5</v>
      </c>
      <c r="Q30" s="75">
        <f t="shared" si="12"/>
        <v>2033.2855937467925</v>
      </c>
      <c r="R30" s="208" t="str">
        <f t="shared" si="13"/>
        <v>W_d5</v>
      </c>
      <c r="S30" s="210">
        <f t="shared" ref="S30" si="21">AV821</f>
        <v>1985.520378598043</v>
      </c>
    </row>
    <row r="31" spans="3:19" x14ac:dyDescent="0.25">
      <c r="C31" s="200"/>
      <c r="D31" s="202"/>
      <c r="E31" s="204"/>
      <c r="F31" s="206"/>
      <c r="G31" s="76" t="str">
        <f t="shared" si="15"/>
        <v>5-6</v>
      </c>
      <c r="H31" s="77" t="str">
        <f t="shared" si="7"/>
        <v>Wt_6-5</v>
      </c>
      <c r="I31" s="78">
        <f t="shared" si="7"/>
        <v>1731.6491798120771</v>
      </c>
      <c r="J31" s="79" t="str">
        <f t="shared" si="8"/>
        <v>Wr_6-5</v>
      </c>
      <c r="K31" s="76">
        <f t="shared" si="8"/>
        <v>695.42463019529544</v>
      </c>
      <c r="L31" s="20" t="str">
        <f t="shared" si="16"/>
        <v>Wa_6-5</v>
      </c>
      <c r="M31" s="80">
        <f t="shared" si="9"/>
        <v>807.48127378419372</v>
      </c>
      <c r="N31" s="79" t="str">
        <f>IF(OR(N822="",P822=""),"",_xlfn.CONCAT("Weqrad_",N822))</f>
        <v>Weqrad_6-5</v>
      </c>
      <c r="O31" s="76">
        <f t="shared" si="11"/>
        <v>1866.0718898869097</v>
      </c>
      <c r="P31" s="77" t="str">
        <f t="shared" si="17"/>
        <v>Wtotal_6-5</v>
      </c>
      <c r="Q31" s="81">
        <f t="shared" si="12"/>
        <v>2033.2855937467925</v>
      </c>
      <c r="R31" s="208"/>
      <c r="S31" s="210"/>
    </row>
    <row r="32" spans="3:19" x14ac:dyDescent="0.25">
      <c r="C32" s="200">
        <f>D791</f>
        <v>6</v>
      </c>
      <c r="D32" s="202" t="str">
        <f>H791</f>
        <v>CCW</v>
      </c>
      <c r="E32" s="204">
        <f>I791</f>
        <v>373.1764586707335</v>
      </c>
      <c r="F32" s="206">
        <f>J791</f>
        <v>168.88888888888886</v>
      </c>
      <c r="G32" s="69" t="str">
        <f t="shared" si="15"/>
        <v>6-5</v>
      </c>
      <c r="H32" s="70" t="str">
        <f t="shared" si="7"/>
        <v>Wt_5-6</v>
      </c>
      <c r="I32" s="71">
        <f t="shared" si="7"/>
        <v>1731.6491798120771</v>
      </c>
      <c r="J32" s="72" t="str">
        <f t="shared" si="8"/>
        <v>Wr_5-6</v>
      </c>
      <c r="K32" s="69">
        <f t="shared" si="8"/>
        <v>695.42463019529544</v>
      </c>
      <c r="L32" s="73" t="str">
        <f t="shared" si="16"/>
        <v>Wa_5-6</v>
      </c>
      <c r="M32" s="74">
        <f t="shared" si="9"/>
        <v>807.48127378419372</v>
      </c>
      <c r="N32" s="72" t="str">
        <f t="shared" ref="N32:N35" si="22">IF(OR(N823="",P823=""),"",_xlfn.CONCAT("Weqrad_",N823))</f>
        <v>Weqrad_5-6</v>
      </c>
      <c r="O32" s="69">
        <f t="shared" si="11"/>
        <v>807.48127378419372</v>
      </c>
      <c r="P32" s="70" t="str">
        <f t="shared" si="17"/>
        <v>Wtotal_5-6</v>
      </c>
      <c r="Q32" s="75">
        <f t="shared" si="12"/>
        <v>2033.2855937467925</v>
      </c>
      <c r="R32" s="208" t="str">
        <f t="shared" si="13"/>
        <v>W_e6</v>
      </c>
      <c r="S32" s="210">
        <f t="shared" ref="S32" si="23">AV823</f>
        <v>1669.2497254170239</v>
      </c>
    </row>
    <row r="33" spans="3:19" x14ac:dyDescent="0.25">
      <c r="C33" s="200"/>
      <c r="D33" s="202"/>
      <c r="E33" s="204"/>
      <c r="F33" s="206"/>
      <c r="G33" s="76" t="str">
        <f t="shared" si="15"/>
        <v>6-7</v>
      </c>
      <c r="H33" s="77" t="str">
        <f t="shared" si="7"/>
        <v>Wt_7-6</v>
      </c>
      <c r="I33" s="78">
        <f t="shared" si="7"/>
        <v>1731.6491798120774</v>
      </c>
      <c r="J33" s="79" t="str">
        <f t="shared" si="8"/>
        <v>Wr_7-6</v>
      </c>
      <c r="K33" s="76">
        <f t="shared" si="8"/>
        <v>695.42463019529555</v>
      </c>
      <c r="L33" s="20" t="str">
        <f t="shared" si="16"/>
        <v>Wa_7-6</v>
      </c>
      <c r="M33" s="80">
        <f t="shared" si="9"/>
        <v>807.48127378419383</v>
      </c>
      <c r="N33" s="79" t="str">
        <f t="shared" si="22"/>
        <v>Weqrad_7-6</v>
      </c>
      <c r="O33" s="76">
        <f t="shared" si="11"/>
        <v>1866.07188988691</v>
      </c>
      <c r="P33" s="77" t="str">
        <f t="shared" si="17"/>
        <v>Wtotal_7-6</v>
      </c>
      <c r="Q33" s="81">
        <f t="shared" si="12"/>
        <v>2033.2855937467928</v>
      </c>
      <c r="R33" s="208"/>
      <c r="S33" s="210"/>
    </row>
    <row r="34" spans="3:19" x14ac:dyDescent="0.25">
      <c r="C34" s="200">
        <f t="shared" ref="C34" si="24">D792</f>
        <v>7</v>
      </c>
      <c r="D34" s="202" t="str">
        <f>H792</f>
        <v>CW</v>
      </c>
      <c r="E34" s="204">
        <f>I792</f>
        <v>621.96076445122253</v>
      </c>
      <c r="F34" s="206">
        <f>J792</f>
        <v>101.33333333333331</v>
      </c>
      <c r="G34" s="22" t="str">
        <f t="shared" si="15"/>
        <v>7-6</v>
      </c>
      <c r="H34" s="62" t="str">
        <f t="shared" si="7"/>
        <v>Wt_6-7</v>
      </c>
      <c r="I34" s="67">
        <f t="shared" si="7"/>
        <v>1731.6491798120774</v>
      </c>
      <c r="J34" s="64" t="str">
        <f t="shared" si="8"/>
        <v>Wr_6-7</v>
      </c>
      <c r="K34" s="22">
        <f t="shared" si="8"/>
        <v>695.42463019529555</v>
      </c>
      <c r="L34" s="65" t="str">
        <f t="shared" si="16"/>
        <v>Wa_6-7</v>
      </c>
      <c r="M34" s="68">
        <f t="shared" si="9"/>
        <v>807.48127378419383</v>
      </c>
      <c r="N34" s="64" t="str">
        <f t="shared" si="22"/>
        <v>Weqrad_6-7</v>
      </c>
      <c r="O34" s="22">
        <f t="shared" si="11"/>
        <v>807.48127378419383</v>
      </c>
      <c r="P34" s="62" t="str">
        <f t="shared" si="17"/>
        <v>Wtotal_6-7</v>
      </c>
      <c r="Q34" s="63">
        <f t="shared" si="12"/>
        <v>2033.2855937467928</v>
      </c>
      <c r="R34" s="208" t="str">
        <f t="shared" si="13"/>
        <v>W_f7</v>
      </c>
      <c r="S34" s="210">
        <f t="shared" ref="S34" si="25">AV825</f>
        <v>1866.0718898869102</v>
      </c>
    </row>
    <row r="35" spans="3:19" ht="15.75" thickBot="1" x14ac:dyDescent="0.3">
      <c r="C35" s="201"/>
      <c r="D35" s="203"/>
      <c r="E35" s="205"/>
      <c r="F35" s="207"/>
      <c r="G35" s="82" t="str">
        <f t="shared" si="15"/>
        <v/>
      </c>
      <c r="H35" s="83" t="str">
        <f t="shared" si="7"/>
        <v/>
      </c>
      <c r="I35" s="84" t="str">
        <f t="shared" si="7"/>
        <v/>
      </c>
      <c r="J35" s="85" t="str">
        <f t="shared" si="8"/>
        <v/>
      </c>
      <c r="K35" s="82"/>
      <c r="L35" s="86" t="str">
        <f t="shared" si="16"/>
        <v/>
      </c>
      <c r="M35" s="87"/>
      <c r="N35" s="85" t="str">
        <f t="shared" si="22"/>
        <v/>
      </c>
      <c r="O35" s="82" t="str">
        <f t="shared" si="11"/>
        <v/>
      </c>
      <c r="P35" s="83" t="str">
        <f t="shared" si="17"/>
        <v/>
      </c>
      <c r="Q35" s="84" t="str">
        <f t="shared" si="12"/>
        <v/>
      </c>
      <c r="R35" s="209"/>
      <c r="S35" s="211"/>
    </row>
    <row r="36" spans="3:19" x14ac:dyDescent="0.25">
      <c r="L36" s="191" t="s">
        <v>446</v>
      </c>
      <c r="M36" s="191"/>
    </row>
    <row r="37" spans="3:19" x14ac:dyDescent="0.25">
      <c r="L37" s="192"/>
      <c r="M37" s="192"/>
    </row>
    <row r="38" spans="3:19" x14ac:dyDescent="0.25">
      <c r="L38" s="192"/>
      <c r="M38" s="192"/>
    </row>
    <row r="769" spans="1:55" ht="15.75" thickBot="1" x14ac:dyDescent="0.3">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c r="AA769" s="92"/>
      <c r="AB769" s="92"/>
      <c r="AC769" s="92"/>
      <c r="AD769" s="92"/>
      <c r="AE769" s="92"/>
      <c r="AF769" s="92"/>
      <c r="AG769" s="92"/>
      <c r="AH769" s="92"/>
      <c r="AI769" s="92"/>
      <c r="AJ769" s="92"/>
      <c r="AK769" s="92"/>
      <c r="AL769" s="92"/>
      <c r="AM769" s="92"/>
      <c r="AN769" s="92"/>
      <c r="AO769" s="92"/>
      <c r="AP769" s="92"/>
      <c r="AQ769" s="92"/>
      <c r="AR769" s="92"/>
      <c r="AS769" s="92"/>
      <c r="AT769" s="92"/>
      <c r="AU769" s="92"/>
      <c r="AV769" s="92"/>
      <c r="AW769" s="92"/>
      <c r="AX769" s="92"/>
      <c r="AY769" s="92"/>
      <c r="AZ769" s="92"/>
      <c r="BA769" s="92"/>
      <c r="BB769" s="92"/>
      <c r="BC769" s="92"/>
    </row>
    <row r="770" spans="1:55" ht="32.25" customHeight="1" thickBot="1" x14ac:dyDescent="0.3">
      <c r="B770" s="92"/>
      <c r="C770" s="92"/>
      <c r="D770" s="193" t="s">
        <v>437</v>
      </c>
      <c r="E770" s="194"/>
      <c r="F770" s="194"/>
      <c r="G770" s="93">
        <f>N3</f>
        <v>7</v>
      </c>
      <c r="H770" s="94" t="s">
        <v>7</v>
      </c>
      <c r="I770" s="92"/>
      <c r="J770" s="92"/>
      <c r="K770" s="92"/>
      <c r="L770" s="92"/>
      <c r="M770" s="92"/>
      <c r="N770" s="92"/>
      <c r="O770" s="92"/>
      <c r="P770" s="92"/>
      <c r="Q770" s="92"/>
      <c r="R770" s="92"/>
      <c r="S770" s="95"/>
      <c r="T770" s="95"/>
      <c r="U770" s="95"/>
      <c r="V770" s="95"/>
      <c r="W770" s="95"/>
      <c r="X770" s="95"/>
      <c r="Y770" s="95"/>
      <c r="Z770" s="95"/>
      <c r="AA770" s="92"/>
      <c r="AB770" s="92"/>
      <c r="AC770" s="92"/>
      <c r="AD770" s="92"/>
      <c r="AE770" s="92"/>
      <c r="AF770" s="92"/>
      <c r="AG770" s="92"/>
      <c r="AH770" s="92"/>
      <c r="AI770" s="92"/>
      <c r="AJ770" s="92"/>
      <c r="AK770" s="92"/>
      <c r="AL770" s="92"/>
      <c r="AM770" s="92"/>
      <c r="AN770" s="92"/>
      <c r="AO770" s="92"/>
      <c r="AP770" s="92"/>
      <c r="AQ770" s="92"/>
      <c r="AR770" s="92"/>
      <c r="AS770" s="92"/>
      <c r="AT770" s="92"/>
      <c r="AU770" s="92"/>
      <c r="AV770" s="92"/>
      <c r="AW770" s="92"/>
      <c r="AX770" s="92"/>
      <c r="AY770" s="92"/>
      <c r="AZ770" s="92"/>
      <c r="BA770" s="92"/>
      <c r="BB770" s="92"/>
      <c r="BC770" s="92"/>
    </row>
    <row r="771" spans="1:55" ht="33.75" customHeight="1" thickBot="1" x14ac:dyDescent="0.3">
      <c r="B771" s="92"/>
      <c r="C771" s="92"/>
      <c r="D771" s="195" t="s">
        <v>438</v>
      </c>
      <c r="E771" s="196"/>
      <c r="F771" s="196"/>
      <c r="G771" s="93" t="str">
        <f>N4</f>
        <v>CCW</v>
      </c>
      <c r="H771" s="96" t="s">
        <v>333</v>
      </c>
      <c r="I771" s="197" t="s">
        <v>380</v>
      </c>
      <c r="J771" s="197"/>
      <c r="K771" s="197"/>
      <c r="L771" s="197"/>
      <c r="M771" s="197"/>
      <c r="N771" s="197"/>
      <c r="O771" s="193" t="s">
        <v>381</v>
      </c>
      <c r="P771" s="198"/>
      <c r="Q771" s="92"/>
      <c r="R771" s="92"/>
      <c r="S771" s="95"/>
      <c r="T771" s="95"/>
      <c r="U771" s="95"/>
      <c r="V771" s="95"/>
      <c r="W771" s="95"/>
      <c r="X771" s="95"/>
      <c r="Y771" s="95"/>
      <c r="Z771" s="95"/>
      <c r="AA771" s="92"/>
      <c r="AB771" s="92"/>
      <c r="AC771" s="92"/>
      <c r="AD771" s="92"/>
      <c r="AE771" s="92"/>
      <c r="AF771" s="92"/>
      <c r="AG771" s="92"/>
      <c r="AH771" s="92"/>
      <c r="AI771" s="92"/>
      <c r="AJ771" s="92"/>
      <c r="AK771" s="92"/>
      <c r="AL771" s="92"/>
      <c r="AM771" s="92"/>
      <c r="AN771" s="92"/>
      <c r="AO771" s="92"/>
      <c r="AP771" s="92"/>
      <c r="AQ771" s="92"/>
      <c r="AR771" s="92"/>
      <c r="AS771" s="92"/>
      <c r="AT771" s="92"/>
      <c r="AU771" s="92"/>
      <c r="AV771" s="92"/>
      <c r="AW771" s="92"/>
      <c r="AX771" s="92"/>
      <c r="AY771" s="92"/>
      <c r="AZ771" s="92"/>
      <c r="BA771" s="92"/>
      <c r="BB771" s="92"/>
      <c r="BC771" s="92"/>
    </row>
    <row r="772" spans="1:55" ht="75" customHeight="1" thickBot="1" x14ac:dyDescent="0.3">
      <c r="B772" s="92"/>
      <c r="C772" s="92"/>
      <c r="D772" s="195" t="s">
        <v>439</v>
      </c>
      <c r="E772" s="196"/>
      <c r="F772" s="199"/>
      <c r="G772" s="93">
        <f>N5</f>
        <v>12</v>
      </c>
      <c r="H772" s="97" t="s">
        <v>20</v>
      </c>
      <c r="I772" s="197"/>
      <c r="J772" s="197"/>
      <c r="K772" s="197"/>
      <c r="L772" s="197"/>
      <c r="M772" s="197"/>
      <c r="N772" s="197"/>
      <c r="O772" s="98" t="s">
        <v>329</v>
      </c>
      <c r="P772" s="99" t="str">
        <f>BL1748</f>
        <v>(-1.8,20.1)</v>
      </c>
      <c r="Q772" s="92"/>
      <c r="R772" s="92"/>
      <c r="S772" s="181" t="s">
        <v>365</v>
      </c>
      <c r="T772" s="183">
        <f>N7</f>
        <v>0.75</v>
      </c>
      <c r="U772" s="95"/>
      <c r="V772" s="95"/>
      <c r="W772" s="95"/>
      <c r="X772" s="95"/>
      <c r="Y772" s="95"/>
      <c r="Z772" s="95"/>
      <c r="AA772" s="92"/>
      <c r="AB772" s="92"/>
      <c r="AC772" s="92"/>
      <c r="AD772" s="92"/>
      <c r="AE772" s="92"/>
      <c r="AF772" s="92"/>
      <c r="AG772" s="92"/>
      <c r="AH772" s="92"/>
      <c r="AI772" s="92"/>
      <c r="AJ772" s="92"/>
      <c r="AK772" s="92"/>
      <c r="AL772" s="92"/>
      <c r="AM772" s="92"/>
      <c r="AN772" s="92"/>
      <c r="AO772" s="92"/>
      <c r="AP772" s="92"/>
      <c r="AQ772" s="92"/>
      <c r="AR772" s="92"/>
      <c r="AS772" s="92"/>
      <c r="AT772" s="92"/>
      <c r="AU772" s="92"/>
      <c r="AV772" s="92"/>
      <c r="AW772" s="92"/>
      <c r="AX772" s="92"/>
      <c r="AY772" s="92"/>
      <c r="AZ772" s="92"/>
      <c r="BA772" s="92"/>
      <c r="BB772" s="92"/>
      <c r="BC772" s="92"/>
    </row>
    <row r="773" spans="1:55" ht="15.75" thickBot="1" x14ac:dyDescent="0.3">
      <c r="B773" s="92"/>
      <c r="C773" s="92"/>
      <c r="D773" s="185" t="s">
        <v>440</v>
      </c>
      <c r="E773" s="186"/>
      <c r="F773" s="187"/>
      <c r="G773" s="93">
        <f>N6</f>
        <v>2000</v>
      </c>
      <c r="H773" s="100" t="s">
        <v>23</v>
      </c>
      <c r="I773" s="197"/>
      <c r="J773" s="197"/>
      <c r="K773" s="197"/>
      <c r="L773" s="197"/>
      <c r="M773" s="197"/>
      <c r="N773" s="197"/>
      <c r="O773" s="101" t="s">
        <v>330</v>
      </c>
      <c r="P773" s="102" t="str">
        <f>BL1749</f>
        <v>(-7.3,14.6)</v>
      </c>
      <c r="Q773" s="92"/>
      <c r="R773" s="92"/>
      <c r="S773" s="182"/>
      <c r="T773" s="184"/>
      <c r="U773" s="92"/>
      <c r="V773" s="92"/>
      <c r="W773" s="92"/>
      <c r="X773" s="92"/>
      <c r="Y773" s="92"/>
      <c r="Z773" s="92"/>
      <c r="AA773" s="92"/>
      <c r="AB773" s="92"/>
      <c r="AC773" s="92"/>
      <c r="AD773" s="92"/>
      <c r="AE773" s="92"/>
      <c r="AF773" s="92"/>
      <c r="AG773" s="92"/>
      <c r="AH773" s="92"/>
      <c r="AI773" s="92"/>
      <c r="AJ773" s="92"/>
      <c r="AK773" s="92"/>
      <c r="AL773" s="92"/>
      <c r="AM773" s="92"/>
      <c r="AN773" s="92"/>
      <c r="AO773" s="92"/>
      <c r="AP773" s="92"/>
      <c r="AQ773" s="92"/>
      <c r="AR773" s="92"/>
      <c r="AS773" s="92"/>
      <c r="AT773" s="92"/>
      <c r="AU773" s="92"/>
      <c r="AV773" s="92"/>
      <c r="AW773" s="92"/>
      <c r="AX773" s="92"/>
      <c r="AY773" s="92"/>
      <c r="AZ773" s="92"/>
      <c r="BA773" s="92"/>
      <c r="BB773" s="92"/>
      <c r="BC773" s="92"/>
    </row>
    <row r="774" spans="1:55" ht="90" x14ac:dyDescent="0.25">
      <c r="A774" s="92"/>
      <c r="B774" s="103" t="s">
        <v>270</v>
      </c>
      <c r="C774" s="104" t="s">
        <v>272</v>
      </c>
      <c r="D774" s="105" t="s">
        <v>266</v>
      </c>
      <c r="E774" s="106" t="s">
        <v>331</v>
      </c>
      <c r="F774" s="107" t="s">
        <v>441</v>
      </c>
      <c r="G774" s="106" t="s">
        <v>276</v>
      </c>
      <c r="H774" s="106" t="s">
        <v>15</v>
      </c>
      <c r="I774" s="106" t="s">
        <v>18</v>
      </c>
      <c r="J774" s="108" t="s">
        <v>304</v>
      </c>
      <c r="K774" s="92"/>
      <c r="L774" s="188" t="s">
        <v>382</v>
      </c>
      <c r="M774" s="189"/>
      <c r="N774" s="189"/>
      <c r="O774" s="189"/>
      <c r="P774" s="189"/>
      <c r="Q774" s="189"/>
      <c r="R774" s="189"/>
      <c r="S774" s="189"/>
      <c r="T774" s="189"/>
      <c r="U774" s="189"/>
      <c r="V774" s="189"/>
      <c r="W774" s="190"/>
      <c r="X774" s="92"/>
      <c r="Y774" s="92"/>
      <c r="Z774" s="92"/>
      <c r="AA774" s="92"/>
      <c r="AB774" s="92"/>
      <c r="AC774" s="92"/>
      <c r="AD774" s="92"/>
      <c r="AE774" s="92"/>
      <c r="AF774" s="92"/>
      <c r="AG774" s="92"/>
      <c r="AH774" s="92"/>
      <c r="AI774" s="92"/>
      <c r="AJ774" s="92"/>
      <c r="AK774" s="92"/>
      <c r="AL774" s="92"/>
      <c r="AM774" s="92"/>
      <c r="AN774" s="92"/>
      <c r="AO774" s="92"/>
      <c r="AP774" s="92"/>
      <c r="AQ774" s="92"/>
      <c r="AR774" s="92"/>
      <c r="AS774" s="92"/>
      <c r="AT774" s="92"/>
      <c r="AU774" s="92"/>
      <c r="AV774" s="92"/>
      <c r="AW774" s="92"/>
      <c r="AX774" s="92"/>
      <c r="AY774" s="92"/>
      <c r="AZ774" s="92"/>
      <c r="BA774" s="92"/>
      <c r="BB774" s="92"/>
      <c r="BC774" s="92"/>
    </row>
    <row r="775" spans="1:55" ht="75" x14ac:dyDescent="0.25">
      <c r="A775" s="92"/>
      <c r="B775" s="103"/>
      <c r="C775" s="154"/>
      <c r="D775" s="109" t="s">
        <v>7</v>
      </c>
      <c r="E775" s="110" t="s">
        <v>7</v>
      </c>
      <c r="F775" s="110" t="s">
        <v>7</v>
      </c>
      <c r="G775" s="110" t="s">
        <v>12</v>
      </c>
      <c r="H775" s="110" t="s">
        <v>12</v>
      </c>
      <c r="I775" s="110" t="s">
        <v>17</v>
      </c>
      <c r="J775" s="111" t="s">
        <v>278</v>
      </c>
      <c r="K775" s="112"/>
      <c r="L775" s="113" t="s">
        <v>300</v>
      </c>
      <c r="M775" s="114" t="s">
        <v>305</v>
      </c>
      <c r="N775" s="114" t="s">
        <v>306</v>
      </c>
      <c r="O775" s="114" t="s">
        <v>307</v>
      </c>
      <c r="P775" s="114" t="s">
        <v>383</v>
      </c>
      <c r="Q775" s="114" t="s">
        <v>339</v>
      </c>
      <c r="R775" s="114" t="s">
        <v>302</v>
      </c>
      <c r="S775" s="114" t="s">
        <v>303</v>
      </c>
      <c r="T775" s="114" t="s">
        <v>311</v>
      </c>
      <c r="U775" s="114" t="s">
        <v>312</v>
      </c>
      <c r="V775" s="114" t="s">
        <v>313</v>
      </c>
      <c r="W775" s="115" t="s">
        <v>363</v>
      </c>
      <c r="X775" s="92"/>
      <c r="Y775" s="92"/>
      <c r="Z775" s="92"/>
      <c r="AA775" s="92"/>
      <c r="AB775" s="92"/>
      <c r="AC775" s="92"/>
      <c r="AD775" s="92"/>
      <c r="AE775" s="92"/>
      <c r="AF775" s="92"/>
      <c r="AG775" s="92"/>
      <c r="AH775" s="92"/>
      <c r="AI775" s="92"/>
      <c r="AJ775" s="92"/>
      <c r="AK775" s="92"/>
      <c r="AL775" s="92"/>
      <c r="AM775" s="92"/>
      <c r="AN775" s="92"/>
      <c r="AO775" s="92"/>
      <c r="AP775" s="92"/>
      <c r="AQ775" s="92"/>
      <c r="AR775" s="92"/>
      <c r="AS775" s="92"/>
      <c r="AT775" s="92"/>
      <c r="AU775" s="92"/>
      <c r="AV775" s="92"/>
      <c r="AW775" s="92"/>
      <c r="AX775" s="92"/>
      <c r="AY775" s="92"/>
      <c r="AZ775" s="92"/>
      <c r="BA775" s="92"/>
      <c r="BB775" s="92"/>
      <c r="BC775" s="92"/>
    </row>
    <row r="776" spans="1:55" x14ac:dyDescent="0.25">
      <c r="A776" s="155"/>
      <c r="B776" s="155" t="str">
        <f t="shared" ref="B776:B782" si="26">IF(D776=1,"Overall Pinion",IF(D776=$G$770,"Overall Output Gear",IF(ISNUMBER(D776),"Overall Intermediate","")))</f>
        <v>Overall Pinion</v>
      </c>
      <c r="C776" s="116">
        <v>1</v>
      </c>
      <c r="D776" s="113">
        <f t="shared" ref="D776:D782" si="27">IF(C776&lt;=$G$770,C776,"")</f>
        <v>1</v>
      </c>
      <c r="E776" s="117" t="str">
        <f t="shared" ref="E776:I782" si="28">D11</f>
        <v>a</v>
      </c>
      <c r="F776" s="117">
        <f t="shared" si="28"/>
        <v>19</v>
      </c>
      <c r="G776" s="117">
        <f t="shared" si="28"/>
        <v>20</v>
      </c>
      <c r="H776" s="117">
        <f t="shared" si="28"/>
        <v>25</v>
      </c>
      <c r="I776" s="117">
        <f t="shared" si="28"/>
        <v>12</v>
      </c>
      <c r="J776" s="118">
        <f t="shared" ref="J776:J782" si="29">IF(ISNUMBER(D776),F776/($I776*COS(RADIANS($H776))),"")</f>
        <v>1.7470150383572787</v>
      </c>
      <c r="K776" s="119"/>
      <c r="L776" s="98" t="s">
        <v>104</v>
      </c>
      <c r="M776" s="120">
        <f t="shared" ref="M776:M782" si="30">IF(ISNUMBER(VLOOKUP(L776,$E$776:$J$782,COLUMNS($E$776:$J$782),FALSE)/2),VLOOKUP(L776,$E$776:$J$782,COLUMNS($E$776:$J$782),FALSE)/2,"")</f>
        <v>0.87350751917863934</v>
      </c>
      <c r="N776" s="120">
        <f t="shared" ref="N776:N782" si="31">IF(ISNUMBER(_xlfn.XLOOKUP(L776,$E$776:$E$782,$J$776:$J$782,"",0,-1)/2),_xlfn.XLOOKUP(L776,$E$776:$E$782,$J$776:$J$782,"",0,-1)/2,"")</f>
        <v>0.87350751917863934</v>
      </c>
      <c r="O776" s="120">
        <f t="shared" ref="O776:O782" si="32">IF(L776="a",0,IF(AND(ISNUMBER(N775),ISNUMBER(M776)),M776+N775,""))</f>
        <v>0</v>
      </c>
      <c r="P776" s="120">
        <f>IF(ISNUMBER(SQRT(O776^2-S776^2)),SQRT(O776^2-S776^2),"")</f>
        <v>0</v>
      </c>
      <c r="Q776" s="120" t="s">
        <v>7</v>
      </c>
      <c r="R776" s="120">
        <f t="shared" ref="R776:R782" si="33">IF(Q776="Left",R775-SQRT(O776^2-(S776-S775)^2),P776)</f>
        <v>0</v>
      </c>
      <c r="S776" s="120">
        <v>0</v>
      </c>
      <c r="T776" s="120">
        <f>S776</f>
        <v>0</v>
      </c>
      <c r="U776" s="120">
        <f>S776</f>
        <v>0</v>
      </c>
      <c r="V776" s="120" t="str">
        <f t="shared" ref="V776:V781" si="34">IF(T776="","",IF(AND(ISNUMBER(T776),ISNUMBER(U776)),_xlfn.CONCAT("(",ROUNDUP(T776,3),",",ROUNDDOWN(U776,3),")"),""))</f>
        <v>(0,0)</v>
      </c>
      <c r="W776" s="121"/>
      <c r="X776" s="92"/>
      <c r="Y776" s="92"/>
      <c r="Z776" s="92"/>
      <c r="AA776" s="92"/>
      <c r="AB776" s="92"/>
      <c r="AC776" s="92"/>
      <c r="AD776" s="92"/>
      <c r="AE776" s="92"/>
      <c r="AF776" s="92"/>
      <c r="AG776" s="92"/>
      <c r="AH776" s="92"/>
      <c r="AI776" s="92"/>
      <c r="AJ776" s="92"/>
      <c r="AK776" s="92"/>
      <c r="AL776" s="92"/>
      <c r="AM776" s="92"/>
      <c r="AN776" s="92"/>
      <c r="AO776" s="92"/>
      <c r="AP776" s="92"/>
      <c r="AQ776" s="92"/>
      <c r="AR776" s="92"/>
      <c r="AS776" s="92"/>
      <c r="AT776" s="92"/>
      <c r="AU776" s="92"/>
      <c r="AV776" s="92"/>
      <c r="AW776" s="92"/>
      <c r="AX776" s="92"/>
      <c r="AY776" s="92"/>
      <c r="AZ776" s="92"/>
      <c r="BA776" s="92"/>
      <c r="BB776" s="92"/>
      <c r="BC776" s="92"/>
    </row>
    <row r="777" spans="1:55" x14ac:dyDescent="0.25">
      <c r="A777" s="155"/>
      <c r="B777" s="155" t="str">
        <f t="shared" si="26"/>
        <v>Overall Intermediate</v>
      </c>
      <c r="C777" s="122">
        <v>2</v>
      </c>
      <c r="D777" s="98">
        <f t="shared" si="27"/>
        <v>2</v>
      </c>
      <c r="E777" s="117" t="str">
        <f t="shared" si="28"/>
        <v>b</v>
      </c>
      <c r="F777" s="117">
        <f t="shared" si="28"/>
        <v>51</v>
      </c>
      <c r="G777" s="117">
        <f t="shared" si="28"/>
        <v>20</v>
      </c>
      <c r="H777" s="117">
        <f t="shared" si="28"/>
        <v>25</v>
      </c>
      <c r="I777" s="117">
        <f t="shared" si="28"/>
        <v>12</v>
      </c>
      <c r="J777" s="118">
        <f t="shared" si="29"/>
        <v>4.6893561555905903</v>
      </c>
      <c r="K777" s="119"/>
      <c r="L777" s="98" t="s">
        <v>106</v>
      </c>
      <c r="M777" s="120">
        <f t="shared" si="30"/>
        <v>2.3446780777952951</v>
      </c>
      <c r="N777" s="120">
        <f t="shared" si="31"/>
        <v>0.58616951944882378</v>
      </c>
      <c r="O777" s="120">
        <f t="shared" si="32"/>
        <v>3.2181855969739344</v>
      </c>
      <c r="P777" s="123">
        <f t="shared" ref="P777:P782" si="35">IF(ISNUMBER(SQRT(O777^2-(S777-S776)^2)+R776),SQRT(O777^2-(S777-S776)^2)+R776,"")</f>
        <v>3.0588753712059726</v>
      </c>
      <c r="Q777" s="124" t="str">
        <f t="shared" ref="Q777:Q782" si="36">L12</f>
        <v>Right</v>
      </c>
      <c r="R777" s="120">
        <f t="shared" si="33"/>
        <v>3.0588753712059726</v>
      </c>
      <c r="S777" s="124">
        <f t="shared" ref="S777:S782" si="37">M12</f>
        <v>1</v>
      </c>
      <c r="T777" s="120">
        <f t="shared" ref="T777:T782" si="38">IF(ISNUMBER(S776-O777),S776-O777,"")</f>
        <v>-3.2181855969739344</v>
      </c>
      <c r="U777" s="123">
        <f t="shared" ref="U777:U782" si="39">IF(ISNUMBER(S776+O777),S776+O777,"")</f>
        <v>3.2181855969739344</v>
      </c>
      <c r="V777" s="125" t="str">
        <f t="shared" si="34"/>
        <v>(-3.219,3.218)</v>
      </c>
      <c r="W777" s="121" t="str">
        <f t="shared" ref="W777:W781" si="40">IF(M777="","",IF(OR(S777&gt;U777,S777&lt;T777),"Out of Bounds","In Bounds"))</f>
        <v>In Bounds</v>
      </c>
      <c r="X777" s="92"/>
      <c r="Y777" s="92"/>
      <c r="Z777" s="92"/>
      <c r="AA777" s="92"/>
      <c r="AB777" s="92"/>
      <c r="AC777" s="92"/>
      <c r="AD777" s="92"/>
      <c r="AE777" s="92"/>
      <c r="AF777" s="92"/>
      <c r="AG777" s="92"/>
      <c r="AH777" s="92"/>
      <c r="AI777" s="92"/>
      <c r="AJ777" s="92"/>
      <c r="AK777" s="92"/>
      <c r="AL777" s="92"/>
      <c r="AM777" s="92"/>
      <c r="AN777" s="92"/>
      <c r="AO777" s="92"/>
      <c r="AP777" s="92"/>
      <c r="AQ777" s="92"/>
      <c r="AR777" s="92"/>
      <c r="AS777" s="92"/>
      <c r="AT777" s="92"/>
      <c r="AU777" s="92"/>
      <c r="AV777" s="92"/>
      <c r="AW777" s="92"/>
      <c r="AX777" s="92"/>
      <c r="AY777" s="92"/>
      <c r="AZ777" s="92"/>
      <c r="BA777" s="92"/>
      <c r="BB777" s="92"/>
      <c r="BC777" s="92"/>
    </row>
    <row r="778" spans="1:55" x14ac:dyDescent="0.25">
      <c r="A778" s="155"/>
      <c r="B778" s="155" t="str">
        <f t="shared" si="26"/>
        <v>Overall Intermediate</v>
      </c>
      <c r="C778" s="122">
        <v>3</v>
      </c>
      <c r="D778" s="98">
        <f t="shared" si="27"/>
        <v>3</v>
      </c>
      <c r="E778" s="117" t="str">
        <f t="shared" si="28"/>
        <v>b</v>
      </c>
      <c r="F778" s="117">
        <f t="shared" si="28"/>
        <v>17</v>
      </c>
      <c r="G778" s="117">
        <f t="shared" si="28"/>
        <v>20</v>
      </c>
      <c r="H778" s="117">
        <f t="shared" si="28"/>
        <v>25</v>
      </c>
      <c r="I778" s="117">
        <f t="shared" si="28"/>
        <v>16</v>
      </c>
      <c r="J778" s="118">
        <f t="shared" si="29"/>
        <v>1.1723390388976476</v>
      </c>
      <c r="K778" s="119"/>
      <c r="L778" s="98" t="s">
        <v>108</v>
      </c>
      <c r="M778" s="120">
        <f t="shared" si="30"/>
        <v>1.4137029586706926</v>
      </c>
      <c r="N778" s="120">
        <f t="shared" si="31"/>
        <v>1.4137029586706926</v>
      </c>
      <c r="O778" s="120">
        <f t="shared" si="32"/>
        <v>1.9998724781195163</v>
      </c>
      <c r="P778" s="123">
        <f t="shared" si="35"/>
        <v>3.9303625648811842</v>
      </c>
      <c r="Q778" s="124" t="str">
        <f t="shared" si="36"/>
        <v>Left</v>
      </c>
      <c r="R778" s="120">
        <f t="shared" si="33"/>
        <v>2.1873881775307611</v>
      </c>
      <c r="S778" s="124">
        <f t="shared" si="37"/>
        <v>2.8</v>
      </c>
      <c r="T778" s="120">
        <f t="shared" si="38"/>
        <v>-0.99987247811951629</v>
      </c>
      <c r="U778" s="123">
        <f t="shared" si="39"/>
        <v>2.9998724781195163</v>
      </c>
      <c r="V778" s="125" t="str">
        <f t="shared" si="34"/>
        <v>(-1,2.999)</v>
      </c>
      <c r="W778" s="121" t="str">
        <f t="shared" si="40"/>
        <v>In Bounds</v>
      </c>
      <c r="X778" s="92"/>
      <c r="Y778" s="92"/>
      <c r="Z778" s="92"/>
      <c r="AA778" s="92"/>
      <c r="AB778" s="92"/>
      <c r="AC778" s="92"/>
      <c r="AD778" s="92"/>
      <c r="AE778" s="92"/>
      <c r="AF778" s="92"/>
      <c r="AG778" s="92"/>
      <c r="AH778" s="92"/>
      <c r="AI778" s="92"/>
      <c r="AJ778" s="92"/>
      <c r="AK778" s="92"/>
      <c r="AL778" s="92"/>
      <c r="AM778" s="92"/>
      <c r="AN778" s="92"/>
      <c r="AO778" s="92"/>
      <c r="AP778" s="92"/>
      <c r="AQ778" s="92"/>
      <c r="AR778" s="92"/>
      <c r="AS778" s="92"/>
      <c r="AT778" s="92"/>
      <c r="AU778" s="92"/>
      <c r="AV778" s="92"/>
      <c r="AW778" s="92"/>
      <c r="AX778" s="92"/>
      <c r="AY778" s="92"/>
      <c r="AZ778" s="92"/>
      <c r="BA778" s="92"/>
      <c r="BB778" s="92"/>
      <c r="BC778" s="92"/>
    </row>
    <row r="779" spans="1:55" x14ac:dyDescent="0.25">
      <c r="A779" s="155"/>
      <c r="B779" s="155" t="str">
        <f t="shared" si="26"/>
        <v>Overall Intermediate</v>
      </c>
      <c r="C779" s="122">
        <v>4</v>
      </c>
      <c r="D779" s="98">
        <f t="shared" si="27"/>
        <v>4</v>
      </c>
      <c r="E779" s="117" t="str">
        <f t="shared" si="28"/>
        <v>c</v>
      </c>
      <c r="F779" s="117">
        <f t="shared" si="28"/>
        <v>41</v>
      </c>
      <c r="G779" s="117">
        <f t="shared" si="28"/>
        <v>20</v>
      </c>
      <c r="H779" s="117">
        <f t="shared" si="28"/>
        <v>25</v>
      </c>
      <c r="I779" s="117">
        <f t="shared" si="28"/>
        <v>16</v>
      </c>
      <c r="J779" s="118">
        <f t="shared" si="29"/>
        <v>2.8274059173413852</v>
      </c>
      <c r="K779" s="119"/>
      <c r="L779" s="98" t="s">
        <v>301</v>
      </c>
      <c r="M779" s="120">
        <f t="shared" si="30"/>
        <v>2.3446780777952951</v>
      </c>
      <c r="N779" s="120">
        <f t="shared" si="31"/>
        <v>2.3446780777952951</v>
      </c>
      <c r="O779" s="120">
        <f t="shared" si="32"/>
        <v>3.7583810364659875</v>
      </c>
      <c r="P779" s="123">
        <f t="shared" si="35"/>
        <v>5.8237225976944442</v>
      </c>
      <c r="Q779" s="124" t="str">
        <f t="shared" si="36"/>
        <v>Right</v>
      </c>
      <c r="R779" s="120">
        <f t="shared" si="33"/>
        <v>5.8237225976944442</v>
      </c>
      <c r="S779" s="124">
        <f t="shared" si="37"/>
        <v>1.85</v>
      </c>
      <c r="T779" s="120">
        <f t="shared" si="38"/>
        <v>-0.95838103646598771</v>
      </c>
      <c r="U779" s="123">
        <f t="shared" si="39"/>
        <v>6.5583810364659874</v>
      </c>
      <c r="V779" s="125" t="str">
        <f t="shared" si="34"/>
        <v>(-0.959,6.558)</v>
      </c>
      <c r="W779" s="121" t="str">
        <f t="shared" si="40"/>
        <v>In Bounds</v>
      </c>
      <c r="X779" s="92"/>
      <c r="Y779" s="92"/>
      <c r="Z779" s="92"/>
      <c r="AA779" s="92"/>
      <c r="AB779" s="92"/>
      <c r="AC779" s="92"/>
      <c r="AD779" s="92"/>
      <c r="AE779" s="92"/>
      <c r="AF779" s="92"/>
      <c r="AG779" s="92"/>
      <c r="AH779" s="92"/>
      <c r="AI779" s="92"/>
      <c r="AJ779" s="92"/>
      <c r="AK779" s="92"/>
      <c r="AL779" s="92"/>
      <c r="AM779" s="92"/>
      <c r="AN779" s="92"/>
      <c r="AO779" s="92"/>
      <c r="AP779" s="92"/>
      <c r="AQ779" s="92"/>
      <c r="AR779" s="92"/>
      <c r="AS779" s="92"/>
      <c r="AT779" s="92"/>
      <c r="AU779" s="92"/>
      <c r="AV779" s="92"/>
      <c r="AW779" s="92"/>
      <c r="AX779" s="92"/>
      <c r="AY779" s="92"/>
      <c r="AZ779" s="92"/>
      <c r="BA779" s="92"/>
      <c r="BB779" s="92"/>
      <c r="BC779" s="92"/>
    </row>
    <row r="780" spans="1:55" x14ac:dyDescent="0.25">
      <c r="A780" s="155"/>
      <c r="B780" s="155" t="str">
        <f t="shared" si="26"/>
        <v>Overall Intermediate</v>
      </c>
      <c r="C780" s="122">
        <v>5</v>
      </c>
      <c r="D780" s="126">
        <f t="shared" si="27"/>
        <v>5</v>
      </c>
      <c r="E780" s="117" t="str">
        <f t="shared" si="28"/>
        <v>d</v>
      </c>
      <c r="F780" s="117">
        <f t="shared" si="28"/>
        <v>68</v>
      </c>
      <c r="G780" s="117">
        <f t="shared" si="28"/>
        <v>20</v>
      </c>
      <c r="H780" s="117">
        <f t="shared" si="28"/>
        <v>25</v>
      </c>
      <c r="I780" s="117">
        <f t="shared" si="28"/>
        <v>16</v>
      </c>
      <c r="J780" s="118">
        <f t="shared" si="29"/>
        <v>4.6893561555905903</v>
      </c>
      <c r="K780" s="119"/>
      <c r="L780" s="98" t="s">
        <v>308</v>
      </c>
      <c r="M780" s="120">
        <f t="shared" si="30"/>
        <v>2.5860419975683402</v>
      </c>
      <c r="N780" s="120">
        <f t="shared" si="31"/>
        <v>2.5860419975683402</v>
      </c>
      <c r="O780" s="120">
        <f t="shared" si="32"/>
        <v>4.9307200753636353</v>
      </c>
      <c r="P780" s="123">
        <f t="shared" si="35"/>
        <v>8.4863341843878501</v>
      </c>
      <c r="Q780" s="124" t="str">
        <f t="shared" si="36"/>
        <v>Right</v>
      </c>
      <c r="R780" s="120">
        <f t="shared" si="33"/>
        <v>8.4863341843878501</v>
      </c>
      <c r="S780" s="124">
        <f t="shared" si="37"/>
        <v>6</v>
      </c>
      <c r="T780" s="120">
        <f t="shared" si="38"/>
        <v>-3.0807200753636352</v>
      </c>
      <c r="U780" s="123">
        <f t="shared" si="39"/>
        <v>6.7807200753636359</v>
      </c>
      <c r="V780" s="125" t="str">
        <f t="shared" si="34"/>
        <v>(-3.081,6.78)</v>
      </c>
      <c r="W780" s="121" t="str">
        <f t="shared" si="40"/>
        <v>In Bounds</v>
      </c>
      <c r="X780" s="92"/>
      <c r="Y780" s="92"/>
      <c r="Z780" s="92"/>
      <c r="AA780" s="92"/>
      <c r="AB780" s="92"/>
      <c r="AC780" s="92"/>
      <c r="AD780" s="92"/>
      <c r="AE780" s="92"/>
      <c r="AF780" s="92"/>
      <c r="AG780" s="92"/>
      <c r="AH780" s="92"/>
      <c r="AI780" s="92"/>
      <c r="AJ780" s="92"/>
      <c r="AK780" s="92"/>
      <c r="AL780" s="92"/>
      <c r="AM780" s="92"/>
      <c r="AN780" s="92"/>
      <c r="AO780" s="92"/>
      <c r="AP780" s="92"/>
      <c r="AQ780" s="92"/>
      <c r="AR780" s="92"/>
      <c r="AS780" s="92"/>
      <c r="AT780" s="92"/>
      <c r="AU780" s="92"/>
      <c r="AV780" s="92"/>
      <c r="AW780" s="92"/>
      <c r="AX780" s="92"/>
      <c r="AY780" s="92"/>
      <c r="AZ780" s="92"/>
      <c r="BA780" s="92"/>
      <c r="BB780" s="92"/>
      <c r="BC780" s="92"/>
    </row>
    <row r="781" spans="1:55" x14ac:dyDescent="0.25">
      <c r="A781" s="155"/>
      <c r="B781" s="155" t="str">
        <f t="shared" si="26"/>
        <v>Overall Intermediate</v>
      </c>
      <c r="C781" s="122">
        <v>6</v>
      </c>
      <c r="D781" s="98">
        <f t="shared" si="27"/>
        <v>6</v>
      </c>
      <c r="E781" s="117" t="str">
        <f t="shared" si="28"/>
        <v>e</v>
      </c>
      <c r="F781" s="117">
        <f t="shared" si="28"/>
        <v>75</v>
      </c>
      <c r="G781" s="117">
        <f t="shared" si="28"/>
        <v>20</v>
      </c>
      <c r="H781" s="117">
        <f t="shared" si="28"/>
        <v>25</v>
      </c>
      <c r="I781" s="117">
        <f t="shared" si="28"/>
        <v>16</v>
      </c>
      <c r="J781" s="118">
        <f t="shared" si="29"/>
        <v>5.1720839951366804</v>
      </c>
      <c r="K781" s="119"/>
      <c r="L781" s="98" t="s">
        <v>309</v>
      </c>
      <c r="M781" s="120">
        <f t="shared" si="30"/>
        <v>4.3100699959472335</v>
      </c>
      <c r="N781" s="120">
        <f t="shared" si="31"/>
        <v>4.3100699959472335</v>
      </c>
      <c r="O781" s="120">
        <f t="shared" si="32"/>
        <v>6.8961119935155732</v>
      </c>
      <c r="P781" s="123">
        <f t="shared" si="35"/>
        <v>14.695711015206651</v>
      </c>
      <c r="Q781" s="124" t="str">
        <f t="shared" si="36"/>
        <v>Right</v>
      </c>
      <c r="R781" s="120">
        <f t="shared" si="33"/>
        <v>14.695711015206651</v>
      </c>
      <c r="S781" s="124">
        <f t="shared" si="37"/>
        <v>3</v>
      </c>
      <c r="T781" s="120">
        <f t="shared" si="38"/>
        <v>-0.89611199351557325</v>
      </c>
      <c r="U781" s="123">
        <f t="shared" si="39"/>
        <v>12.896111993515573</v>
      </c>
      <c r="V781" s="125" t="str">
        <f t="shared" si="34"/>
        <v>(-0.897,12.896)</v>
      </c>
      <c r="W781" s="121" t="str">
        <f t="shared" si="40"/>
        <v>In Bounds</v>
      </c>
      <c r="X781" s="92"/>
      <c r="Y781" s="92"/>
      <c r="Z781" s="92"/>
      <c r="AA781" s="92"/>
      <c r="AB781" s="92"/>
      <c r="AC781" s="92"/>
      <c r="AD781" s="92"/>
      <c r="AE781" s="92"/>
      <c r="AF781" s="92"/>
      <c r="AG781" s="92"/>
      <c r="AH781" s="92"/>
      <c r="AI781" s="92"/>
      <c r="AJ781" s="92"/>
      <c r="AK781" s="92"/>
      <c r="AL781" s="92"/>
      <c r="AM781" s="92"/>
      <c r="AN781" s="92"/>
      <c r="AO781" s="92"/>
      <c r="AP781" s="92"/>
      <c r="AQ781" s="92"/>
      <c r="AR781" s="92"/>
      <c r="AS781" s="92"/>
      <c r="AT781" s="92"/>
      <c r="AU781" s="92"/>
      <c r="AV781" s="92"/>
      <c r="AW781" s="92"/>
      <c r="AX781" s="92"/>
      <c r="AY781" s="92"/>
      <c r="AZ781" s="92"/>
      <c r="BA781" s="92"/>
      <c r="BB781" s="92"/>
      <c r="BC781" s="92"/>
    </row>
    <row r="782" spans="1:55" ht="15.75" thickBot="1" x14ac:dyDescent="0.3">
      <c r="A782" s="155"/>
      <c r="B782" s="155" t="str">
        <f t="shared" si="26"/>
        <v>Overall Output Gear</v>
      </c>
      <c r="C782" s="127">
        <v>7</v>
      </c>
      <c r="D782" s="101">
        <f t="shared" si="27"/>
        <v>7</v>
      </c>
      <c r="E782" s="117" t="str">
        <f t="shared" si="28"/>
        <v>f</v>
      </c>
      <c r="F782" s="117">
        <f t="shared" si="28"/>
        <v>125</v>
      </c>
      <c r="G782" s="117">
        <f t="shared" si="28"/>
        <v>20</v>
      </c>
      <c r="H782" s="117">
        <f t="shared" si="28"/>
        <v>25</v>
      </c>
      <c r="I782" s="117">
        <f t="shared" si="28"/>
        <v>16</v>
      </c>
      <c r="J782" s="118">
        <f t="shared" si="29"/>
        <v>8.620139991894467</v>
      </c>
      <c r="K782" s="119"/>
      <c r="L782" s="101" t="s">
        <v>310</v>
      </c>
      <c r="M782" s="128" t="str">
        <f t="shared" si="30"/>
        <v/>
      </c>
      <c r="N782" s="128" t="str">
        <f t="shared" si="31"/>
        <v/>
      </c>
      <c r="O782" s="128" t="str">
        <f t="shared" si="32"/>
        <v/>
      </c>
      <c r="P782" s="129" t="str">
        <f t="shared" si="35"/>
        <v/>
      </c>
      <c r="Q782" s="124" t="str">
        <f t="shared" si="36"/>
        <v>Right</v>
      </c>
      <c r="R782" s="128" t="str">
        <f t="shared" si="33"/>
        <v/>
      </c>
      <c r="S782" s="124">
        <f t="shared" si="37"/>
        <v>6</v>
      </c>
      <c r="T782" s="128" t="str">
        <f t="shared" si="38"/>
        <v/>
      </c>
      <c r="U782" s="129" t="str">
        <f t="shared" si="39"/>
        <v/>
      </c>
      <c r="V782" s="130" t="str">
        <f>IF(T782="","NA - Does this shaft exist?",IF(AND(ISNUMBER(T782),ISNUMBER(U782)),_xlfn.CONCAT("(",ROUNDUP(T782,3),",",ROUNDDOWN(U782,3),")"),""))</f>
        <v>NA - Does this shaft exist?</v>
      </c>
      <c r="W782" s="131" t="str">
        <f>IF(M782="","",IF(OR(S782&gt;U782,S782&lt;T782),"Out of Bounds","In Bounds"))</f>
        <v/>
      </c>
      <c r="X782" s="92"/>
      <c r="Y782" s="92"/>
      <c r="Z782" s="92"/>
      <c r="AA782" s="92"/>
      <c r="AB782" s="92"/>
      <c r="AC782" s="92"/>
      <c r="AD782" s="92"/>
      <c r="AE782" s="92"/>
      <c r="AF782" s="92"/>
      <c r="AG782" s="92"/>
      <c r="AH782" s="92"/>
      <c r="AI782" s="92"/>
      <c r="AJ782" s="92"/>
      <c r="AK782" s="92"/>
      <c r="AL782" s="92"/>
      <c r="AM782" s="92"/>
      <c r="AN782" s="92"/>
      <c r="AO782" s="92"/>
      <c r="AP782" s="92"/>
      <c r="AQ782" s="92"/>
      <c r="AR782" s="92"/>
      <c r="AS782" s="92"/>
      <c r="AT782" s="92"/>
      <c r="AU782" s="92"/>
      <c r="AV782" s="92"/>
      <c r="AW782" s="92"/>
      <c r="AX782" s="92"/>
      <c r="AY782" s="92"/>
      <c r="AZ782" s="92"/>
      <c r="BA782" s="92"/>
      <c r="BB782" s="92"/>
      <c r="BC782" s="92"/>
    </row>
    <row r="783" spans="1:55" ht="15.75" thickBot="1" x14ac:dyDescent="0.3">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c r="AA783" s="92"/>
      <c r="AB783" s="92"/>
      <c r="AC783" s="92"/>
      <c r="AD783" s="92"/>
      <c r="AE783" s="92"/>
      <c r="AF783" s="92"/>
      <c r="AG783" s="92"/>
      <c r="AH783" s="92"/>
      <c r="AI783" s="92"/>
      <c r="AJ783" s="92"/>
      <c r="AK783" s="92"/>
      <c r="AL783" s="92"/>
      <c r="AM783" s="92"/>
      <c r="AN783" s="92"/>
      <c r="AO783" s="92"/>
      <c r="AP783" s="92"/>
      <c r="AQ783" s="92"/>
      <c r="AR783" s="92"/>
      <c r="AS783" s="92"/>
      <c r="AT783" s="92"/>
      <c r="AU783" s="92"/>
      <c r="AV783" s="92"/>
      <c r="AW783" s="92"/>
      <c r="AX783" s="92"/>
      <c r="AY783" s="92"/>
      <c r="AZ783" s="92"/>
      <c r="BA783" s="92"/>
      <c r="BB783" s="92"/>
      <c r="BC783" s="92"/>
    </row>
    <row r="784" spans="1:55" ht="120" x14ac:dyDescent="0.25">
      <c r="A784" s="92"/>
      <c r="B784" s="92"/>
      <c r="C784" s="105" t="s">
        <v>269</v>
      </c>
      <c r="D784" s="106" t="s">
        <v>267</v>
      </c>
      <c r="E784" s="106" t="s">
        <v>268</v>
      </c>
      <c r="F784" s="106" t="s">
        <v>271</v>
      </c>
      <c r="G784" s="106" t="s">
        <v>273</v>
      </c>
      <c r="H784" s="106" t="s">
        <v>332</v>
      </c>
      <c r="I784" s="106" t="s">
        <v>274</v>
      </c>
      <c r="J784" s="106" t="s">
        <v>277</v>
      </c>
      <c r="K784" s="106" t="s">
        <v>384</v>
      </c>
      <c r="L784" s="106" t="s">
        <v>385</v>
      </c>
      <c r="M784" s="106" t="s">
        <v>386</v>
      </c>
      <c r="N784" s="106" t="s">
        <v>387</v>
      </c>
      <c r="O784" s="108" t="s">
        <v>275</v>
      </c>
      <c r="P784" s="92"/>
      <c r="Q784" s="92"/>
      <c r="R784" s="92"/>
      <c r="S784" s="92"/>
      <c r="T784" s="92"/>
      <c r="U784" s="92"/>
      <c r="V784" s="92"/>
      <c r="W784" s="92"/>
      <c r="X784" s="92"/>
      <c r="Y784" s="92"/>
      <c r="Z784" s="92"/>
      <c r="AA784" s="92"/>
      <c r="AB784" s="92"/>
      <c r="AC784" s="92"/>
      <c r="AD784" s="92"/>
      <c r="AE784" s="92"/>
      <c r="AF784" s="92"/>
      <c r="AG784" s="92"/>
      <c r="AH784" s="92"/>
      <c r="AI784" s="92"/>
      <c r="AJ784" s="92"/>
      <c r="AK784" s="92"/>
      <c r="AL784" s="92"/>
      <c r="AM784" s="92"/>
      <c r="AN784" s="92"/>
      <c r="AO784" s="92"/>
      <c r="AP784" s="92"/>
      <c r="AQ784" s="92"/>
      <c r="AR784" s="92"/>
      <c r="AS784" s="92"/>
      <c r="AT784" s="92"/>
      <c r="AU784" s="92"/>
      <c r="AV784" s="92"/>
      <c r="AW784" s="92"/>
      <c r="AX784" s="92"/>
      <c r="AY784" s="92"/>
      <c r="AZ784" s="92"/>
      <c r="BA784" s="92"/>
      <c r="BB784" s="92"/>
      <c r="BC784" s="92"/>
    </row>
    <row r="785" spans="1:55" x14ac:dyDescent="0.25">
      <c r="A785" s="92"/>
      <c r="B785" s="92"/>
      <c r="C785" s="109" t="s">
        <v>7</v>
      </c>
      <c r="D785" s="110" t="s">
        <v>7</v>
      </c>
      <c r="E785" s="110" t="s">
        <v>7</v>
      </c>
      <c r="F785" s="110" t="s">
        <v>213</v>
      </c>
      <c r="G785" s="132" t="s">
        <v>7</v>
      </c>
      <c r="H785" s="132"/>
      <c r="I785" s="110" t="s">
        <v>151</v>
      </c>
      <c r="J785" s="110" t="s">
        <v>23</v>
      </c>
      <c r="K785" s="110" t="s">
        <v>154</v>
      </c>
      <c r="L785" s="110" t="s">
        <v>154</v>
      </c>
      <c r="M785" s="132" t="s">
        <v>154</v>
      </c>
      <c r="N785" s="110" t="s">
        <v>154</v>
      </c>
      <c r="O785" s="111" t="s">
        <v>154</v>
      </c>
      <c r="P785" s="92"/>
      <c r="Q785" s="92"/>
      <c r="R785" s="92"/>
      <c r="S785" s="92"/>
      <c r="T785" s="92"/>
      <c r="U785" s="92"/>
      <c r="V785" s="92"/>
      <c r="W785" s="92"/>
      <c r="X785" s="92"/>
      <c r="Y785" s="92"/>
      <c r="Z785" s="92"/>
      <c r="AA785" s="92"/>
      <c r="AB785" s="92"/>
      <c r="AC785" s="92"/>
      <c r="AD785" s="92"/>
      <c r="AE785" s="92"/>
      <c r="AF785" s="92"/>
      <c r="AG785" s="92"/>
      <c r="AH785" s="92"/>
      <c r="AI785" s="92"/>
      <c r="AJ785" s="92"/>
      <c r="AK785" s="92"/>
      <c r="AL785" s="92"/>
      <c r="AM785" s="92"/>
      <c r="AN785" s="92"/>
      <c r="AO785" s="92"/>
      <c r="AP785" s="92"/>
      <c r="AQ785" s="92"/>
      <c r="AR785" s="92"/>
      <c r="AS785" s="92"/>
      <c r="AT785" s="92"/>
      <c r="AU785" s="92"/>
      <c r="AV785" s="92"/>
      <c r="AW785" s="92"/>
      <c r="AX785" s="92"/>
      <c r="AY785" s="92"/>
      <c r="AZ785" s="92"/>
      <c r="BA785" s="92"/>
      <c r="BB785" s="92"/>
      <c r="BC785" s="92"/>
    </row>
    <row r="786" spans="1:55" x14ac:dyDescent="0.25">
      <c r="A786" s="92"/>
      <c r="B786" s="92"/>
      <c r="C786" s="113" t="str">
        <f t="shared" ref="C786:C792" si="41">IF(D776&lt;$G$770,_xlfn.CONCAT(D786,"-",E786),"")</f>
        <v>1-2</v>
      </c>
      <c r="D786" s="114">
        <f t="shared" ref="D786:D791" si="42">IF(D776&lt;=$G$770,D776,"")</f>
        <v>1</v>
      </c>
      <c r="E786" s="114">
        <f t="shared" ref="E786:E792" si="43">IF(D776&lt;$G$770,D777,"")</f>
        <v>2</v>
      </c>
      <c r="F786" s="114" t="s">
        <v>70</v>
      </c>
      <c r="G786" s="114">
        <f>IF(D776&lt;$G$770,IF(E776=E777,1,F777/F776),"")</f>
        <v>2.6842105263157894</v>
      </c>
      <c r="H786" s="114" t="str">
        <f>G771</f>
        <v>CCW</v>
      </c>
      <c r="I786" s="120">
        <f>($G$772*(550/1))/(2*PI()*CONVERT($G$773,"s","min"))</f>
        <v>31.512678732195276</v>
      </c>
      <c r="J786" s="120">
        <f t="shared" ref="J786:J792" si="44">IF(D776&gt;$G$770,"",IF(D776=1,$G$773,IF(AND(D776=E785,E775=E776),J785,J785*(F775/F776))))</f>
        <v>2000</v>
      </c>
      <c r="K786" s="120">
        <f t="shared" ref="K786:K792" si="45">IF(AND(ISNUMBER(D786),ISNUMBER(E786)),IF(E777=E776,0,CONVERT(I786,"ft","in")/(J776/2)),"")</f>
        <v>432.91229495301928</v>
      </c>
      <c r="L786" s="120">
        <f t="shared" ref="L786:L792" si="46">IF(ISNUMBER(K786),K786*TAN((ATAN(TAN(RADIANS($G776))/COS(RADIANS($H776))))),"")</f>
        <v>173.85615754882386</v>
      </c>
      <c r="M786" s="120">
        <f t="shared" ref="M786:M792" si="47">IF(ISNUMBER(K786),K786*TAN(RADIANS($H776)),"")</f>
        <v>201.87031844604843</v>
      </c>
      <c r="N786" s="120">
        <f>IF(ISNUMBER(K786),SQRT(K786^2+L786^2),"")</f>
        <v>466.51797247172743</v>
      </c>
      <c r="O786" s="97">
        <f>IF(ISNUMBER(K786),SQRT(N786^2+M786^2),"")</f>
        <v>508.32139843669813</v>
      </c>
      <c r="P786" s="92"/>
      <c r="Q786" s="92"/>
      <c r="R786" s="92"/>
      <c r="S786" s="92"/>
      <c r="T786" s="92"/>
      <c r="U786" s="92"/>
      <c r="V786" s="92"/>
      <c r="W786" s="92"/>
      <c r="X786" s="92"/>
      <c r="Y786" s="92"/>
      <c r="Z786" s="92"/>
      <c r="AA786" s="92"/>
      <c r="AB786" s="92"/>
      <c r="AC786" s="92"/>
      <c r="AD786" s="92"/>
      <c r="AE786" s="92"/>
      <c r="AF786" s="92"/>
      <c r="AG786" s="92"/>
      <c r="AH786" s="92"/>
      <c r="AI786" s="92"/>
      <c r="AJ786" s="92"/>
      <c r="AK786" s="92"/>
      <c r="AL786" s="92"/>
      <c r="AM786" s="92"/>
      <c r="AN786" s="92"/>
      <c r="AO786" s="92"/>
      <c r="AP786" s="92"/>
      <c r="AQ786" s="92"/>
      <c r="AR786" s="92"/>
      <c r="AS786" s="92"/>
      <c r="AT786" s="92"/>
      <c r="AU786" s="92"/>
      <c r="AV786" s="92"/>
      <c r="AW786" s="92"/>
      <c r="AX786" s="92"/>
      <c r="AY786" s="92"/>
      <c r="AZ786" s="92"/>
      <c r="BA786" s="92"/>
      <c r="BB786" s="92"/>
      <c r="BC786" s="92"/>
    </row>
    <row r="787" spans="1:55" x14ac:dyDescent="0.25">
      <c r="A787" s="92"/>
      <c r="B787" s="92"/>
      <c r="C787" s="113" t="str">
        <f t="shared" si="41"/>
        <v>2-3</v>
      </c>
      <c r="D787" s="114">
        <f t="shared" si="42"/>
        <v>2</v>
      </c>
      <c r="E787" s="114">
        <f t="shared" si="43"/>
        <v>3</v>
      </c>
      <c r="F787" s="120" t="s">
        <v>214</v>
      </c>
      <c r="G787" s="114">
        <f>IF(D777&lt;$G$770,IF(E777=E778,1,F778/F777),"")</f>
        <v>1</v>
      </c>
      <c r="H787" s="114" t="str">
        <f t="shared" ref="H787:H792" si="48">IF(ISNUMBER(D777),IF(E777=E776,H786,IF(H786="CW","CCW","CW")),"")</f>
        <v>CW</v>
      </c>
      <c r="I787" s="120">
        <f>IF(ISNUMBER(D787),I786*G786,"")</f>
        <v>84.58666396536627</v>
      </c>
      <c r="J787" s="120">
        <f t="shared" si="44"/>
        <v>745.0980392156863</v>
      </c>
      <c r="K787" s="120">
        <f t="shared" si="45"/>
        <v>0</v>
      </c>
      <c r="L787" s="120">
        <f t="shared" si="46"/>
        <v>0</v>
      </c>
      <c r="M787" s="120">
        <f t="shared" si="47"/>
        <v>0</v>
      </c>
      <c r="N787" s="120">
        <f>IF(ISNUMBER(K787),SQRT(K787^2+L787^2),"")</f>
        <v>0</v>
      </c>
      <c r="O787" s="97">
        <f>IF(ISNUMBER(K787),SQRT(N787^2+M787^2),"")</f>
        <v>0</v>
      </c>
      <c r="P787" s="92"/>
      <c r="Q787" s="92"/>
      <c r="R787" s="92"/>
      <c r="S787" s="92"/>
      <c r="T787" s="92"/>
      <c r="U787" s="92"/>
      <c r="V787" s="92"/>
      <c r="W787" s="92"/>
      <c r="X787" s="92"/>
      <c r="Y787" s="92"/>
      <c r="Z787" s="92"/>
      <c r="AA787" s="92"/>
      <c r="AB787" s="92"/>
      <c r="AC787" s="92"/>
      <c r="AD787" s="92"/>
      <c r="AE787" s="92"/>
      <c r="AF787" s="92"/>
      <c r="AG787" s="92"/>
      <c r="AH787" s="92"/>
      <c r="AI787" s="92"/>
      <c r="AJ787" s="92"/>
      <c r="AK787" s="92"/>
      <c r="AL787" s="92"/>
      <c r="AM787" s="92"/>
      <c r="AN787" s="92"/>
      <c r="AO787" s="92"/>
      <c r="AP787" s="92"/>
      <c r="AQ787" s="92"/>
      <c r="AR787" s="92"/>
      <c r="AS787" s="92"/>
      <c r="AT787" s="92"/>
      <c r="AU787" s="92"/>
      <c r="AV787" s="92"/>
      <c r="AW787" s="92"/>
      <c r="AX787" s="92"/>
      <c r="AY787" s="92"/>
      <c r="AZ787" s="92"/>
      <c r="BA787" s="92"/>
      <c r="BB787" s="92"/>
      <c r="BC787" s="92"/>
    </row>
    <row r="788" spans="1:55" x14ac:dyDescent="0.25">
      <c r="A788" s="92"/>
      <c r="B788" s="92"/>
      <c r="C788" s="113" t="str">
        <f t="shared" si="41"/>
        <v>3-4</v>
      </c>
      <c r="D788" s="114">
        <f t="shared" si="42"/>
        <v>3</v>
      </c>
      <c r="E788" s="114">
        <f t="shared" si="43"/>
        <v>4</v>
      </c>
      <c r="F788" s="120" t="s">
        <v>70</v>
      </c>
      <c r="G788" s="114">
        <f>IF(D778&lt;$G$770,IF(E778=E779,1,F779/F778),"")</f>
        <v>2.4117647058823528</v>
      </c>
      <c r="H788" s="114" t="str">
        <f t="shared" si="48"/>
        <v>CW</v>
      </c>
      <c r="I788" s="120">
        <f t="shared" ref="I788:I792" si="49">IF(ISNUMBER(D788),I787*G787,"")</f>
        <v>84.58666396536627</v>
      </c>
      <c r="J788" s="120">
        <f t="shared" si="44"/>
        <v>745.0980392156863</v>
      </c>
      <c r="K788" s="120">
        <f t="shared" si="45"/>
        <v>1731.6491798120774</v>
      </c>
      <c r="L788" s="120">
        <f t="shared" si="46"/>
        <v>695.42463019529555</v>
      </c>
      <c r="M788" s="120">
        <f t="shared" si="47"/>
        <v>807.48127378419383</v>
      </c>
      <c r="N788" s="120">
        <f t="shared" ref="N788:N792" si="50">IF(ISNUMBER(K788),SQRT(K788^2+L788^2),"")</f>
        <v>1866.07188988691</v>
      </c>
      <c r="O788" s="97">
        <f t="shared" ref="O788:O792" si="51">IF(ISNUMBER(K788),SQRT(N788^2+M788^2),"")</f>
        <v>2033.2855937467928</v>
      </c>
      <c r="P788" s="92"/>
      <c r="Q788" s="92"/>
      <c r="R788" s="92"/>
      <c r="S788" s="92"/>
      <c r="T788" s="92"/>
      <c r="U788" s="92"/>
      <c r="V788" s="92"/>
      <c r="W788" s="92"/>
      <c r="X788" s="92"/>
      <c r="Y788" s="92"/>
      <c r="Z788" s="92"/>
      <c r="AA788" s="92"/>
      <c r="AB788" s="92"/>
      <c r="AC788" s="92"/>
      <c r="AD788" s="92"/>
      <c r="AE788" s="92"/>
      <c r="AF788" s="92"/>
      <c r="AG788" s="92"/>
      <c r="AH788" s="92"/>
      <c r="AI788" s="92"/>
      <c r="AJ788" s="92"/>
      <c r="AK788" s="92"/>
      <c r="AL788" s="92"/>
      <c r="AM788" s="92"/>
      <c r="AN788" s="92"/>
      <c r="AO788" s="92"/>
      <c r="AP788" s="92"/>
      <c r="AQ788" s="92"/>
      <c r="AR788" s="92"/>
      <c r="AS788" s="92"/>
      <c r="AT788" s="92"/>
      <c r="AU788" s="92"/>
      <c r="AV788" s="92"/>
      <c r="AW788" s="92"/>
      <c r="AX788" s="92"/>
      <c r="AY788" s="92"/>
      <c r="AZ788" s="92"/>
      <c r="BA788" s="92"/>
      <c r="BB788" s="92"/>
      <c r="BC788" s="92"/>
    </row>
    <row r="789" spans="1:55" x14ac:dyDescent="0.25">
      <c r="A789" s="92"/>
      <c r="B789" s="92"/>
      <c r="C789" s="113" t="str">
        <f t="shared" si="41"/>
        <v>4-5</v>
      </c>
      <c r="D789" s="114">
        <f t="shared" si="42"/>
        <v>4</v>
      </c>
      <c r="E789" s="114">
        <f t="shared" si="43"/>
        <v>5</v>
      </c>
      <c r="F789" s="120" t="s">
        <v>70</v>
      </c>
      <c r="G789" s="114">
        <f>IF(D779&lt;$G$770,IF(E779=E780,1,F780/F779),"")</f>
        <v>1.6585365853658536</v>
      </c>
      <c r="H789" s="114" t="str">
        <f t="shared" si="48"/>
        <v>CCW</v>
      </c>
      <c r="I789" s="120">
        <f t="shared" si="49"/>
        <v>204.00313074000098</v>
      </c>
      <c r="J789" s="120">
        <f t="shared" si="44"/>
        <v>308.9430894308943</v>
      </c>
      <c r="K789" s="120">
        <f t="shared" si="45"/>
        <v>1731.6491798120771</v>
      </c>
      <c r="L789" s="120">
        <f t="shared" si="46"/>
        <v>695.42463019529544</v>
      </c>
      <c r="M789" s="120">
        <f t="shared" si="47"/>
        <v>807.48127378419372</v>
      </c>
      <c r="N789" s="120">
        <f t="shared" si="50"/>
        <v>1866.0718898869097</v>
      </c>
      <c r="O789" s="97">
        <f t="shared" si="51"/>
        <v>2033.2855937467925</v>
      </c>
      <c r="P789" s="92"/>
      <c r="Q789" s="92"/>
      <c r="R789" s="92"/>
      <c r="S789" s="92"/>
      <c r="T789" s="92"/>
      <c r="U789" s="92"/>
      <c r="V789" s="92"/>
      <c r="W789" s="92"/>
      <c r="X789" s="92"/>
      <c r="Y789" s="92"/>
      <c r="Z789" s="92"/>
      <c r="AA789" s="92"/>
      <c r="AB789" s="92"/>
      <c r="AC789" s="92"/>
      <c r="AD789" s="92"/>
      <c r="AE789" s="92"/>
      <c r="AF789" s="92"/>
      <c r="AG789" s="92"/>
      <c r="AH789" s="92"/>
      <c r="AI789" s="92"/>
      <c r="AJ789" s="92"/>
      <c r="AK789" s="92"/>
      <c r="AL789" s="92"/>
      <c r="AM789" s="92"/>
      <c r="AN789" s="92"/>
      <c r="AO789" s="92"/>
      <c r="AP789" s="92"/>
      <c r="AQ789" s="92"/>
      <c r="AR789" s="92"/>
      <c r="AS789" s="92"/>
      <c r="AT789" s="92"/>
      <c r="AU789" s="92"/>
      <c r="AV789" s="92"/>
      <c r="AW789" s="92"/>
      <c r="AX789" s="92"/>
      <c r="AY789" s="92"/>
      <c r="AZ789" s="92"/>
      <c r="BA789" s="92"/>
      <c r="BB789" s="92"/>
      <c r="BC789" s="92"/>
    </row>
    <row r="790" spans="1:55" x14ac:dyDescent="0.25">
      <c r="A790" s="92"/>
      <c r="B790" s="92"/>
      <c r="C790" s="133" t="str">
        <f t="shared" si="41"/>
        <v>5-6</v>
      </c>
      <c r="D790" s="114">
        <f t="shared" si="42"/>
        <v>5</v>
      </c>
      <c r="E790" s="134">
        <f t="shared" si="43"/>
        <v>6</v>
      </c>
      <c r="F790" s="135" t="s">
        <v>70</v>
      </c>
      <c r="G790" s="134">
        <f>IF(D780&lt;$G$770,IF(F790="Yes",1,F781/F780),"")</f>
        <v>1.1029411764705883</v>
      </c>
      <c r="H790" s="114" t="str">
        <f t="shared" si="48"/>
        <v>CW</v>
      </c>
      <c r="I790" s="120">
        <f t="shared" si="49"/>
        <v>338.34665586146502</v>
      </c>
      <c r="J790" s="120">
        <f t="shared" si="44"/>
        <v>186.27450980392155</v>
      </c>
      <c r="K790" s="120">
        <f t="shared" si="45"/>
        <v>1731.6491798120771</v>
      </c>
      <c r="L790" s="120">
        <f t="shared" si="46"/>
        <v>695.42463019529544</v>
      </c>
      <c r="M790" s="120">
        <f t="shared" si="47"/>
        <v>807.48127378419372</v>
      </c>
      <c r="N790" s="120">
        <f t="shared" si="50"/>
        <v>1866.0718898869097</v>
      </c>
      <c r="O790" s="97">
        <f t="shared" si="51"/>
        <v>2033.2855937467925</v>
      </c>
      <c r="P790" s="92"/>
      <c r="Q790" s="92"/>
      <c r="R790" s="92"/>
      <c r="S790" s="92"/>
      <c r="T790" s="92"/>
      <c r="U790" s="92"/>
      <c r="V790" s="92"/>
      <c r="W790" s="92"/>
      <c r="X790" s="92"/>
      <c r="Y790" s="92"/>
      <c r="Z790" s="92"/>
      <c r="AA790" s="92"/>
      <c r="AB790" s="92"/>
      <c r="AC790" s="92"/>
      <c r="AD790" s="92"/>
      <c r="AE790" s="92"/>
      <c r="AF790" s="92"/>
      <c r="AG790" s="92"/>
      <c r="AH790" s="92"/>
      <c r="AI790" s="92"/>
      <c r="AJ790" s="92"/>
      <c r="AK790" s="92"/>
      <c r="AL790" s="92"/>
      <c r="AM790" s="92"/>
      <c r="AN790" s="92"/>
      <c r="AO790" s="92"/>
      <c r="AP790" s="92"/>
      <c r="AQ790" s="92"/>
      <c r="AR790" s="92"/>
      <c r="AS790" s="92"/>
      <c r="AT790" s="92"/>
      <c r="AU790" s="92"/>
      <c r="AV790" s="92"/>
      <c r="AW790" s="92"/>
      <c r="AX790" s="92"/>
      <c r="AY790" s="92"/>
      <c r="AZ790" s="92"/>
      <c r="BA790" s="92"/>
      <c r="BB790" s="92"/>
      <c r="BC790" s="92"/>
    </row>
    <row r="791" spans="1:55" x14ac:dyDescent="0.25">
      <c r="A791" s="92"/>
      <c r="B791" s="92"/>
      <c r="C791" s="113" t="str">
        <f t="shared" si="41"/>
        <v>6-7</v>
      </c>
      <c r="D791" s="114">
        <f t="shared" si="42"/>
        <v>6</v>
      </c>
      <c r="E791" s="114">
        <f t="shared" si="43"/>
        <v>7</v>
      </c>
      <c r="F791" s="120" t="s">
        <v>70</v>
      </c>
      <c r="G791" s="114">
        <f>IF(D781&lt;$G$770,IF(F791="Yes",1,F782/F781),"")</f>
        <v>1.6666666666666667</v>
      </c>
      <c r="H791" s="114" t="str">
        <f t="shared" si="48"/>
        <v>CCW</v>
      </c>
      <c r="I791" s="120">
        <f t="shared" si="49"/>
        <v>373.1764586707335</v>
      </c>
      <c r="J791" s="120">
        <f t="shared" si="44"/>
        <v>168.88888888888886</v>
      </c>
      <c r="K791" s="120">
        <f t="shared" si="45"/>
        <v>1731.6491798120774</v>
      </c>
      <c r="L791" s="120">
        <f t="shared" si="46"/>
        <v>695.42463019529555</v>
      </c>
      <c r="M791" s="120">
        <f t="shared" si="47"/>
        <v>807.48127378419383</v>
      </c>
      <c r="N791" s="120">
        <f t="shared" si="50"/>
        <v>1866.07188988691</v>
      </c>
      <c r="O791" s="97">
        <f t="shared" si="51"/>
        <v>2033.2855937467928</v>
      </c>
      <c r="P791" s="92"/>
      <c r="Q791" s="92"/>
      <c r="R791" s="92"/>
      <c r="S791" s="92"/>
      <c r="T791" s="92"/>
      <c r="U791" s="92"/>
      <c r="V791" s="92"/>
      <c r="W791" s="92"/>
      <c r="X791" s="92"/>
      <c r="Y791" s="92"/>
      <c r="Z791" s="92"/>
      <c r="AA791" s="92"/>
      <c r="AB791" s="92"/>
      <c r="AC791" s="92"/>
      <c r="AD791" s="92"/>
      <c r="AE791" s="92"/>
      <c r="AF791" s="92"/>
      <c r="AG791" s="92"/>
      <c r="AH791" s="92"/>
      <c r="AI791" s="92"/>
      <c r="AJ791" s="92"/>
      <c r="AK791" s="92"/>
      <c r="AL791" s="92"/>
      <c r="AM791" s="92"/>
      <c r="AN791" s="92"/>
      <c r="AO791" s="92"/>
      <c r="AP791" s="92"/>
      <c r="AQ791" s="92"/>
      <c r="AR791" s="92"/>
      <c r="AS791" s="92"/>
      <c r="AT791" s="92"/>
      <c r="AU791" s="92"/>
      <c r="AV791" s="92"/>
      <c r="AW791" s="92"/>
      <c r="AX791" s="92"/>
      <c r="AY791" s="92"/>
      <c r="AZ791" s="92"/>
      <c r="BA791" s="92"/>
      <c r="BB791" s="92"/>
      <c r="BC791" s="92"/>
    </row>
    <row r="792" spans="1:55" ht="15.75" thickBot="1" x14ac:dyDescent="0.3">
      <c r="A792" s="92"/>
      <c r="B792" s="92"/>
      <c r="C792" s="160" t="str">
        <f t="shared" si="41"/>
        <v/>
      </c>
      <c r="D792" s="114">
        <f>IF(D782&lt;=$G$770,D782,"")</f>
        <v>7</v>
      </c>
      <c r="E792" s="161" t="str">
        <f t="shared" si="43"/>
        <v/>
      </c>
      <c r="F792" s="128"/>
      <c r="G792" s="161" t="str">
        <f>IF(D782&lt;$G$770,IF(F792="Yes",1,F783/F782),"")</f>
        <v/>
      </c>
      <c r="H792" s="161" t="str">
        <f t="shared" si="48"/>
        <v>CW</v>
      </c>
      <c r="I792" s="120">
        <f t="shared" si="49"/>
        <v>621.96076445122253</v>
      </c>
      <c r="J792" s="120">
        <f t="shared" si="44"/>
        <v>101.33333333333331</v>
      </c>
      <c r="K792" s="128" t="str">
        <f t="shared" si="45"/>
        <v/>
      </c>
      <c r="L792" s="128" t="str">
        <f t="shared" si="46"/>
        <v/>
      </c>
      <c r="M792" s="128" t="str">
        <f t="shared" si="47"/>
        <v/>
      </c>
      <c r="N792" s="128" t="str">
        <f t="shared" si="50"/>
        <v/>
      </c>
      <c r="O792" s="100" t="str">
        <f t="shared" si="51"/>
        <v/>
      </c>
      <c r="P792" s="92"/>
      <c r="Q792" s="92"/>
      <c r="R792" s="92"/>
      <c r="S792" s="92"/>
      <c r="T792" s="92"/>
      <c r="U792" s="92"/>
      <c r="V792" s="92"/>
      <c r="W792" s="92"/>
      <c r="X792" s="92"/>
      <c r="Y792" s="92"/>
      <c r="Z792" s="92"/>
      <c r="AA792" s="92"/>
      <c r="AB792" s="92"/>
      <c r="AC792" s="92"/>
      <c r="AD792" s="92"/>
      <c r="AE792" s="92"/>
      <c r="AF792" s="92"/>
      <c r="AG792" s="92"/>
      <c r="AH792" s="92"/>
      <c r="AI792" s="92"/>
      <c r="AJ792" s="92"/>
      <c r="AK792" s="92"/>
      <c r="AL792" s="92"/>
      <c r="AM792" s="92"/>
      <c r="AN792" s="92"/>
      <c r="AO792" s="92"/>
      <c r="AP792" s="92"/>
      <c r="AQ792" s="92"/>
      <c r="AR792" s="92"/>
      <c r="AS792" s="92"/>
      <c r="AT792" s="92"/>
      <c r="AU792" s="92"/>
      <c r="AV792" s="92"/>
      <c r="AW792" s="92"/>
      <c r="AX792" s="92"/>
      <c r="AY792" s="92"/>
      <c r="AZ792" s="92"/>
      <c r="BA792" s="92"/>
      <c r="BB792" s="92"/>
      <c r="BC792" s="92"/>
    </row>
    <row r="793" spans="1:55" x14ac:dyDescent="0.25">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c r="AA793" s="92"/>
      <c r="AB793" s="92"/>
      <c r="AC793" s="92"/>
      <c r="AD793" s="92"/>
      <c r="AE793" s="92"/>
      <c r="AF793" s="92"/>
      <c r="AG793" s="92"/>
      <c r="AH793" s="92"/>
      <c r="AI793" s="92"/>
      <c r="AJ793" s="92"/>
      <c r="AK793" s="92"/>
      <c r="AL793" s="92"/>
      <c r="AM793" s="92"/>
      <c r="AN793" s="92"/>
      <c r="AO793" s="92"/>
      <c r="AP793" s="92"/>
      <c r="AQ793" s="92"/>
      <c r="AR793" s="92"/>
      <c r="AS793" s="92"/>
      <c r="AT793" s="92"/>
      <c r="AU793" s="92"/>
      <c r="AV793" s="92"/>
      <c r="AW793" s="92"/>
      <c r="AX793" s="92"/>
      <c r="AY793" s="92"/>
      <c r="AZ793" s="92"/>
      <c r="BA793" s="92"/>
      <c r="BB793" s="92"/>
      <c r="BC793" s="92"/>
    </row>
    <row r="794" spans="1:55" x14ac:dyDescent="0.25">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c r="AA794" s="92"/>
      <c r="AB794" s="92"/>
      <c r="AC794" s="92"/>
      <c r="AD794" s="92"/>
      <c r="AE794" s="92"/>
      <c r="AF794" s="92"/>
      <c r="AG794" s="92"/>
      <c r="AH794" s="92"/>
      <c r="AI794" s="92"/>
      <c r="AJ794" s="92"/>
      <c r="AK794" s="92"/>
      <c r="AL794" s="92"/>
      <c r="AM794" s="92"/>
      <c r="AN794" s="92"/>
      <c r="AO794" s="92"/>
      <c r="AP794" s="92"/>
      <c r="AQ794" s="92"/>
      <c r="AR794" s="92"/>
      <c r="AS794" s="92"/>
      <c r="AT794" s="92"/>
      <c r="AU794" s="92"/>
      <c r="AV794" s="92"/>
      <c r="AW794" s="92"/>
      <c r="AX794" s="92"/>
      <c r="AY794" s="92"/>
      <c r="AZ794" s="92"/>
      <c r="BA794" s="92"/>
      <c r="BB794" s="92"/>
      <c r="BC794" s="92"/>
    </row>
    <row r="795" spans="1:55" ht="15.75" thickBot="1" x14ac:dyDescent="0.3">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c r="AA795" s="92"/>
      <c r="AB795" s="92"/>
      <c r="AC795" s="92"/>
      <c r="AD795" s="92"/>
      <c r="AE795" s="92"/>
      <c r="AF795" s="92"/>
      <c r="AG795" s="92"/>
      <c r="AH795" s="92"/>
      <c r="AI795" s="92"/>
      <c r="AJ795" s="92"/>
      <c r="AK795" s="92"/>
      <c r="AL795" s="92"/>
      <c r="AM795" s="92"/>
      <c r="AN795" s="92"/>
      <c r="AO795" s="92"/>
      <c r="AP795" s="92"/>
      <c r="AQ795" s="92"/>
      <c r="AR795" s="92"/>
      <c r="AS795" s="92"/>
      <c r="AT795" s="92"/>
      <c r="AU795" s="92"/>
      <c r="AV795" s="92"/>
      <c r="AW795" s="92"/>
      <c r="AX795" s="92"/>
      <c r="AY795" s="92"/>
      <c r="AZ795" s="92"/>
      <c r="BA795" s="92"/>
      <c r="BB795" s="92"/>
      <c r="BC795" s="92"/>
    </row>
    <row r="796" spans="1:55" ht="15.75" thickBot="1" x14ac:dyDescent="0.3">
      <c r="A796" s="92"/>
      <c r="B796" s="92"/>
      <c r="C796" s="174" t="s">
        <v>362</v>
      </c>
      <c r="D796" s="175"/>
      <c r="E796" s="175"/>
      <c r="F796" s="175"/>
      <c r="G796" s="175"/>
      <c r="H796" s="175"/>
      <c r="I796" s="175"/>
      <c r="J796" s="175"/>
      <c r="K796" s="175"/>
      <c r="L796" s="175"/>
      <c r="M796" s="175"/>
      <c r="N796" s="175"/>
      <c r="O796" s="175"/>
      <c r="P796" s="175"/>
      <c r="Q796" s="175"/>
      <c r="R796" s="176"/>
      <c r="S796" s="92"/>
      <c r="T796" s="92"/>
      <c r="U796" s="92"/>
      <c r="V796" s="92"/>
      <c r="W796" s="92"/>
      <c r="X796" s="92"/>
      <c r="Y796" s="92"/>
      <c r="Z796" s="92"/>
      <c r="AA796" s="92"/>
      <c r="AB796" s="92"/>
      <c r="AC796" s="92"/>
      <c r="AD796" s="92"/>
      <c r="AE796" s="92"/>
      <c r="AF796" s="92"/>
      <c r="AG796" s="92"/>
      <c r="AH796" s="92"/>
      <c r="AI796" s="92"/>
      <c r="AJ796" s="92"/>
      <c r="AK796" s="92"/>
      <c r="AL796" s="92"/>
      <c r="AM796" s="92"/>
      <c r="AN796" s="92"/>
      <c r="AO796" s="92"/>
      <c r="AP796" s="92"/>
      <c r="AQ796" s="92"/>
      <c r="AR796" s="92"/>
      <c r="AS796" s="92"/>
      <c r="AT796" s="92"/>
      <c r="AU796" s="92"/>
      <c r="AV796" s="92"/>
      <c r="AW796" s="92"/>
      <c r="AX796" s="92"/>
      <c r="AY796" s="92"/>
      <c r="AZ796" s="92"/>
      <c r="BA796" s="92"/>
      <c r="BB796" s="92"/>
      <c r="BC796" s="92"/>
    </row>
    <row r="797" spans="1:55" x14ac:dyDescent="0.25">
      <c r="B797" s="92"/>
      <c r="C797" s="136" t="s">
        <v>337</v>
      </c>
      <c r="D797" s="137">
        <v>0</v>
      </c>
      <c r="E797" s="137">
        <v>1</v>
      </c>
      <c r="F797" s="137">
        <v>1</v>
      </c>
      <c r="G797" s="137">
        <v>2</v>
      </c>
      <c r="H797" s="137">
        <v>2</v>
      </c>
      <c r="I797" s="137">
        <v>3</v>
      </c>
      <c r="J797" s="137">
        <v>3</v>
      </c>
      <c r="K797" s="137">
        <v>4</v>
      </c>
      <c r="L797" s="137">
        <v>4</v>
      </c>
      <c r="M797" s="137">
        <v>5</v>
      </c>
      <c r="N797" s="137">
        <v>5</v>
      </c>
      <c r="O797" s="137">
        <v>6</v>
      </c>
      <c r="P797" s="137">
        <v>6</v>
      </c>
      <c r="Q797" s="137">
        <v>7</v>
      </c>
      <c r="R797" s="94">
        <v>7</v>
      </c>
      <c r="S797" s="92"/>
      <c r="T797" s="92"/>
      <c r="U797" s="92"/>
      <c r="V797" s="92"/>
      <c r="W797" s="92"/>
      <c r="X797" s="92"/>
      <c r="Y797" s="92"/>
      <c r="Z797" s="92"/>
      <c r="AA797" s="92"/>
      <c r="AB797" s="92"/>
      <c r="AC797" s="92"/>
      <c r="AD797" s="92"/>
      <c r="AE797" s="92"/>
      <c r="AF797" s="92"/>
      <c r="AG797" s="92"/>
      <c r="AH797" s="92"/>
      <c r="AI797" s="92"/>
      <c r="AJ797" s="92"/>
      <c r="AK797" s="92"/>
      <c r="AL797" s="92"/>
      <c r="AM797" s="92"/>
      <c r="AN797" s="92"/>
      <c r="AO797" s="92"/>
      <c r="AP797" s="92"/>
      <c r="AQ797" s="92"/>
      <c r="AR797" s="92"/>
      <c r="AS797" s="92"/>
      <c r="AT797" s="92"/>
      <c r="AU797" s="92"/>
      <c r="AV797" s="92"/>
      <c r="AW797" s="92"/>
      <c r="AX797" s="92"/>
      <c r="AY797" s="92"/>
      <c r="AZ797" s="92"/>
      <c r="BA797" s="92"/>
      <c r="BB797" s="92"/>
      <c r="BC797" s="92"/>
    </row>
    <row r="798" spans="1:55" x14ac:dyDescent="0.25">
      <c r="B798" s="92"/>
      <c r="C798" s="98" t="s">
        <v>337</v>
      </c>
      <c r="D798" s="120">
        <f t="shared" ref="D798:R798" si="52">IF(D797&lt;=$G$770,D797,"")</f>
        <v>0</v>
      </c>
      <c r="E798" s="120">
        <f t="shared" si="52"/>
        <v>1</v>
      </c>
      <c r="F798" s="120">
        <f t="shared" si="52"/>
        <v>1</v>
      </c>
      <c r="G798" s="120">
        <f t="shared" si="52"/>
        <v>2</v>
      </c>
      <c r="H798" s="120">
        <f t="shared" si="52"/>
        <v>2</v>
      </c>
      <c r="I798" s="120">
        <f t="shared" si="52"/>
        <v>3</v>
      </c>
      <c r="J798" s="120">
        <f t="shared" si="52"/>
        <v>3</v>
      </c>
      <c r="K798" s="120">
        <f t="shared" si="52"/>
        <v>4</v>
      </c>
      <c r="L798" s="120">
        <f t="shared" si="52"/>
        <v>4</v>
      </c>
      <c r="M798" s="120">
        <f t="shared" si="52"/>
        <v>5</v>
      </c>
      <c r="N798" s="120">
        <f t="shared" si="52"/>
        <v>5</v>
      </c>
      <c r="O798" s="120">
        <f t="shared" si="52"/>
        <v>6</v>
      </c>
      <c r="P798" s="120">
        <f t="shared" si="52"/>
        <v>6</v>
      </c>
      <c r="Q798" s="120">
        <f t="shared" si="52"/>
        <v>7</v>
      </c>
      <c r="R798" s="97">
        <f t="shared" si="52"/>
        <v>7</v>
      </c>
      <c r="S798" s="92"/>
      <c r="T798" s="92"/>
      <c r="U798" s="92"/>
      <c r="V798" s="92"/>
      <c r="W798" s="92"/>
      <c r="X798" s="92"/>
      <c r="Y798" s="92"/>
      <c r="Z798" s="92"/>
      <c r="AA798" s="92"/>
      <c r="AB798" s="92"/>
      <c r="AC798" s="92"/>
      <c r="AD798" s="92"/>
      <c r="AE798" s="92"/>
      <c r="AF798" s="92"/>
      <c r="AG798" s="92"/>
      <c r="AH798" s="92"/>
      <c r="AI798" s="92"/>
      <c r="AJ798" s="92"/>
      <c r="AK798" s="92"/>
      <c r="AL798" s="92"/>
      <c r="AM798" s="92"/>
      <c r="AN798" s="92"/>
      <c r="AO798" s="92"/>
      <c r="AP798" s="92"/>
      <c r="AQ798" s="92"/>
      <c r="AR798" s="92"/>
      <c r="AS798" s="92"/>
      <c r="AT798" s="92"/>
      <c r="AU798" s="92"/>
      <c r="AV798" s="92"/>
      <c r="AW798" s="92"/>
      <c r="AX798" s="92"/>
      <c r="AY798" s="92"/>
      <c r="AZ798" s="92"/>
      <c r="BA798" s="92"/>
      <c r="BB798" s="92"/>
      <c r="BC798" s="92"/>
    </row>
    <row r="799" spans="1:55" x14ac:dyDescent="0.25">
      <c r="B799" s="92"/>
      <c r="C799" s="177" t="s">
        <v>153</v>
      </c>
      <c r="D799" s="178"/>
      <c r="E799" s="120"/>
      <c r="F799" s="138"/>
      <c r="G799" s="120" t="str">
        <f>_xlfn.CONCAT($C799,"_",F$797,",",G$797)</f>
        <v>W_t_1,2</v>
      </c>
      <c r="H799" s="138">
        <f>F800</f>
        <v>432.91229495301928</v>
      </c>
      <c r="I799" s="120" t="str">
        <f>_xlfn.CONCAT($C799,"_",H$797,",",I$797)</f>
        <v>W_t_2,3</v>
      </c>
      <c r="J799" s="138">
        <f>H800</f>
        <v>0</v>
      </c>
      <c r="K799" s="120" t="str">
        <f>_xlfn.CONCAT($C799,"_",J$797,",",K$797)</f>
        <v>W_t_3,4</v>
      </c>
      <c r="L799" s="138">
        <f>J800</f>
        <v>1731.6491798120774</v>
      </c>
      <c r="M799" s="120" t="str">
        <f>_xlfn.CONCAT($C799,"_",L$797,",",M$797)</f>
        <v>W_t_4,5</v>
      </c>
      <c r="N799" s="138">
        <f>L800</f>
        <v>1731.6491798120771</v>
      </c>
      <c r="O799" s="120" t="str">
        <f>_xlfn.CONCAT($C799,"_",N$797,",",O$797)</f>
        <v>W_t_5,6</v>
      </c>
      <c r="P799" s="138">
        <f>N800</f>
        <v>1731.6491798120771</v>
      </c>
      <c r="Q799" s="120" t="str">
        <f>_xlfn.CONCAT($C799,"_",P$797,",",Q$797)</f>
        <v>W_t_6,7</v>
      </c>
      <c r="R799" s="139">
        <f>P800</f>
        <v>1731.6491798120774</v>
      </c>
      <c r="S799" s="92"/>
      <c r="T799" s="92"/>
      <c r="U799" s="92"/>
      <c r="V799" s="92"/>
      <c r="W799" s="92"/>
      <c r="X799" s="92"/>
      <c r="Y799" s="92"/>
      <c r="Z799" s="92"/>
      <c r="AA799" s="92"/>
      <c r="AB799" s="92"/>
      <c r="AC799" s="92"/>
      <c r="AD799" s="92"/>
      <c r="AE799" s="92"/>
      <c r="AF799" s="92"/>
      <c r="AG799" s="92"/>
      <c r="AH799" s="92"/>
      <c r="AI799" s="92"/>
      <c r="AJ799" s="92"/>
      <c r="AK799" s="92"/>
      <c r="AL799" s="92"/>
      <c r="AM799" s="92"/>
      <c r="AN799" s="92"/>
      <c r="AO799" s="92"/>
      <c r="AP799" s="92"/>
      <c r="AQ799" s="92"/>
      <c r="AR799" s="92"/>
      <c r="AS799" s="92"/>
      <c r="AT799" s="92"/>
      <c r="AU799" s="92"/>
      <c r="AV799" s="92"/>
      <c r="AW799" s="92"/>
      <c r="AX799" s="92"/>
      <c r="AY799" s="92"/>
      <c r="AZ799" s="92"/>
      <c r="BA799" s="92"/>
      <c r="BB799" s="92"/>
      <c r="BC799" s="92"/>
    </row>
    <row r="800" spans="1:55" x14ac:dyDescent="0.25">
      <c r="B800" s="92"/>
      <c r="C800" s="177" t="s">
        <v>153</v>
      </c>
      <c r="D800" s="178"/>
      <c r="E800" s="120" t="str">
        <f>_xlfn.CONCAT($C799,"_",G$797,",",E$797)</f>
        <v>W_t_2,1</v>
      </c>
      <c r="F800" s="138">
        <f>IF(H786="CCW",K786,-K786)</f>
        <v>432.91229495301928</v>
      </c>
      <c r="G800" s="120" t="str">
        <f>_xlfn.CONCAT($C799,"_",I$797,",",G$797)</f>
        <v>W_t_3,2</v>
      </c>
      <c r="H800" s="138">
        <f>K787</f>
        <v>0</v>
      </c>
      <c r="I800" s="120" t="str">
        <f>_xlfn.CONCAT($C799,"_",K$797,",",I$797)</f>
        <v>W_t_4,3</v>
      </c>
      <c r="J800" s="138">
        <f>K788</f>
        <v>1731.6491798120774</v>
      </c>
      <c r="K800" s="120" t="str">
        <f>_xlfn.CONCAT($C799,"_",M$797,",",K$797)</f>
        <v>W_t_5,4</v>
      </c>
      <c r="L800" s="138">
        <f>K789</f>
        <v>1731.6491798120771</v>
      </c>
      <c r="M800" s="120" t="str">
        <f>_xlfn.CONCAT($C799,"_",O$797,",",M$797)</f>
        <v>W_t_6,5</v>
      </c>
      <c r="N800" s="138">
        <f>K790</f>
        <v>1731.6491798120771</v>
      </c>
      <c r="O800" s="120" t="str">
        <f>_xlfn.CONCAT($C799,"_",Q$797,",",O$797)</f>
        <v>W_t_7,6</v>
      </c>
      <c r="P800" s="138">
        <f>K791</f>
        <v>1731.6491798120774</v>
      </c>
      <c r="Q800" s="120"/>
      <c r="R800" s="139"/>
      <c r="S800" s="92"/>
      <c r="T800" s="92"/>
      <c r="U800" s="92"/>
      <c r="V800" s="92"/>
      <c r="W800" s="92"/>
      <c r="X800" s="92"/>
      <c r="Y800" s="92"/>
      <c r="Z800" s="92"/>
      <c r="AA800" s="92"/>
      <c r="AB800" s="92"/>
      <c r="AC800" s="92"/>
      <c r="AD800" s="92"/>
      <c r="AE800" s="92"/>
      <c r="AF800" s="92"/>
      <c r="AG800" s="92"/>
      <c r="AH800" s="92"/>
      <c r="AI800" s="92"/>
      <c r="AJ800" s="92"/>
      <c r="AK800" s="92"/>
      <c r="AL800" s="92"/>
      <c r="AM800" s="92"/>
      <c r="AN800" s="92"/>
      <c r="AO800" s="92"/>
      <c r="AP800" s="92"/>
      <c r="AQ800" s="92"/>
      <c r="AR800" s="92"/>
      <c r="AS800" s="92"/>
      <c r="AT800" s="92"/>
      <c r="AU800" s="92"/>
      <c r="AV800" s="92"/>
      <c r="AW800" s="92"/>
      <c r="AX800" s="92"/>
      <c r="AY800" s="92"/>
      <c r="AZ800" s="92"/>
      <c r="BA800" s="92"/>
      <c r="BB800" s="92"/>
      <c r="BC800" s="92"/>
    </row>
    <row r="801" spans="2:55" x14ac:dyDescent="0.25">
      <c r="B801" s="92"/>
      <c r="C801" s="177" t="s">
        <v>156</v>
      </c>
      <c r="D801" s="178"/>
      <c r="E801" s="120"/>
      <c r="F801" s="138"/>
      <c r="G801" s="120" t="str">
        <f>_xlfn.CONCAT($C801,"_",F$797,",",G$797)</f>
        <v>W_r_1,2</v>
      </c>
      <c r="H801" s="138">
        <f>F802</f>
        <v>173.85615754882386</v>
      </c>
      <c r="I801" s="120" t="str">
        <f>_xlfn.CONCAT($C801,"_",H$797,",",I$797)</f>
        <v>W_r_2,3</v>
      </c>
      <c r="J801" s="138">
        <f>H802</f>
        <v>0</v>
      </c>
      <c r="K801" s="120" t="str">
        <f>_xlfn.CONCAT($C801,"_",J$797,",",K$797)</f>
        <v>W_r_3,4</v>
      </c>
      <c r="L801" s="138">
        <f>J802</f>
        <v>695.42463019529555</v>
      </c>
      <c r="M801" s="120" t="str">
        <f>_xlfn.CONCAT($C801,"_",L$797,",",M$797)</f>
        <v>W_r_4,5</v>
      </c>
      <c r="N801" s="138">
        <f>L802</f>
        <v>695.42463019529544</v>
      </c>
      <c r="O801" s="120" t="str">
        <f>_xlfn.CONCAT($C801,"_",N$797,",",O$797)</f>
        <v>W_r_5,6</v>
      </c>
      <c r="P801" s="138">
        <f>N802</f>
        <v>695.42463019529544</v>
      </c>
      <c r="Q801" s="120" t="str">
        <f>_xlfn.CONCAT($C801,"_",P$797,",",Q$797)</f>
        <v>W_r_6,7</v>
      </c>
      <c r="R801" s="139">
        <f>P802</f>
        <v>695.42463019529555</v>
      </c>
      <c r="S801" s="92"/>
      <c r="T801" s="92"/>
      <c r="U801" s="92"/>
      <c r="V801" s="92"/>
      <c r="W801" s="92"/>
      <c r="X801" s="92"/>
      <c r="Y801" s="92"/>
      <c r="Z801" s="92"/>
      <c r="AA801" s="92"/>
      <c r="AB801" s="92"/>
      <c r="AC801" s="92"/>
      <c r="AD801" s="92"/>
      <c r="AE801" s="92"/>
      <c r="AF801" s="92"/>
      <c r="AG801" s="92"/>
      <c r="AH801" s="92"/>
      <c r="AI801" s="92"/>
      <c r="AJ801" s="92"/>
      <c r="AK801" s="92"/>
      <c r="AL801" s="92"/>
      <c r="AM801" s="92"/>
      <c r="AN801" s="92"/>
      <c r="AO801" s="92"/>
      <c r="AP801" s="92"/>
      <c r="AQ801" s="92"/>
      <c r="AR801" s="92"/>
      <c r="AS801" s="92"/>
      <c r="AT801" s="92"/>
      <c r="AU801" s="92"/>
      <c r="AV801" s="92"/>
      <c r="AW801" s="92"/>
      <c r="AX801" s="92"/>
      <c r="AY801" s="92"/>
      <c r="AZ801" s="92"/>
      <c r="BA801" s="92"/>
      <c r="BB801" s="92"/>
      <c r="BC801" s="92"/>
    </row>
    <row r="802" spans="2:55" x14ac:dyDescent="0.25">
      <c r="B802" s="92"/>
      <c r="C802" s="177" t="s">
        <v>156</v>
      </c>
      <c r="D802" s="178"/>
      <c r="E802" s="120" t="str">
        <f>_xlfn.CONCAT($C801,"_",G$797,",",E$797)</f>
        <v>W_r_2,1</v>
      </c>
      <c r="F802" s="138">
        <f>L786</f>
        <v>173.85615754882386</v>
      </c>
      <c r="G802" s="120" t="str">
        <f>_xlfn.CONCAT($C801,"_",I$797,",",G$797)</f>
        <v>W_r_3,2</v>
      </c>
      <c r="H802" s="138">
        <f>L787</f>
        <v>0</v>
      </c>
      <c r="I802" s="120" t="str">
        <f>_xlfn.CONCAT($C801,"_",K$797,",",I$797)</f>
        <v>W_r_4,3</v>
      </c>
      <c r="J802" s="138">
        <f>L788</f>
        <v>695.42463019529555</v>
      </c>
      <c r="K802" s="120" t="str">
        <f>_xlfn.CONCAT($C801,"_",M$797,",",K$797)</f>
        <v>W_r_5,4</v>
      </c>
      <c r="L802" s="138">
        <f>L789</f>
        <v>695.42463019529544</v>
      </c>
      <c r="M802" s="120" t="str">
        <f>_xlfn.CONCAT($C801,"_",O$797,",",M$797)</f>
        <v>W_r_6,5</v>
      </c>
      <c r="N802" s="138">
        <f>L790</f>
        <v>695.42463019529544</v>
      </c>
      <c r="O802" s="120" t="str">
        <f>_xlfn.CONCAT($C801,"_",Q$797,",",O$797)</f>
        <v>W_r_7,6</v>
      </c>
      <c r="P802" s="138">
        <f>L791</f>
        <v>695.42463019529555</v>
      </c>
      <c r="Q802" s="120"/>
      <c r="R802" s="139"/>
      <c r="S802" s="92"/>
      <c r="T802" s="92"/>
      <c r="U802" s="92"/>
      <c r="V802" s="92"/>
      <c r="W802" s="92"/>
      <c r="X802" s="92"/>
      <c r="Y802" s="92"/>
      <c r="Z802" s="92"/>
      <c r="AA802" s="92"/>
      <c r="AB802" s="92"/>
      <c r="AC802" s="92"/>
      <c r="AD802" s="92"/>
      <c r="AE802" s="92"/>
      <c r="AF802" s="92"/>
      <c r="AG802" s="92"/>
      <c r="AH802" s="92"/>
      <c r="AI802" s="92"/>
      <c r="AJ802" s="92"/>
      <c r="AK802" s="92"/>
      <c r="AL802" s="92"/>
      <c r="AM802" s="92"/>
      <c r="AN802" s="92"/>
      <c r="AO802" s="92"/>
      <c r="AP802" s="92"/>
      <c r="AQ802" s="92"/>
      <c r="AR802" s="92"/>
      <c r="AS802" s="92"/>
      <c r="AT802" s="92"/>
      <c r="AU802" s="92"/>
      <c r="AV802" s="92"/>
      <c r="AW802" s="92"/>
      <c r="AX802" s="92"/>
      <c r="AY802" s="92"/>
      <c r="AZ802" s="92"/>
      <c r="BA802" s="92"/>
      <c r="BB802" s="92"/>
      <c r="BC802" s="92"/>
    </row>
    <row r="803" spans="2:55" x14ac:dyDescent="0.25">
      <c r="B803" s="92"/>
      <c r="C803" s="177" t="s">
        <v>158</v>
      </c>
      <c r="D803" s="178"/>
      <c r="E803" s="120"/>
      <c r="F803" s="138"/>
      <c r="G803" s="120" t="str">
        <f>_xlfn.CONCAT($C803,"_",F$797,",",G$797)</f>
        <v>W_a_1,2</v>
      </c>
      <c r="H803" s="138">
        <f>F804</f>
        <v>201.87031844604843</v>
      </c>
      <c r="I803" s="120" t="str">
        <f>_xlfn.CONCAT($C803,"_",H$797,",",I$797)</f>
        <v>W_a_2,3</v>
      </c>
      <c r="J803" s="138">
        <f>H804</f>
        <v>0</v>
      </c>
      <c r="K803" s="120" t="str">
        <f>_xlfn.CONCAT($C803,"_",J$797,",",K$797)</f>
        <v>W_a_3,4</v>
      </c>
      <c r="L803" s="138">
        <f>J804</f>
        <v>807.48127378419383</v>
      </c>
      <c r="M803" s="120" t="str">
        <f>_xlfn.CONCAT($C803,"_",L$797,",",M$797)</f>
        <v>W_a_4,5</v>
      </c>
      <c r="N803" s="138">
        <f>L804</f>
        <v>807.48127378419372</v>
      </c>
      <c r="O803" s="120" t="str">
        <f>_xlfn.CONCAT($C803,"_",N$797,",",O$797)</f>
        <v>W_a_5,6</v>
      </c>
      <c r="P803" s="138">
        <f>N804</f>
        <v>807.48127378419372</v>
      </c>
      <c r="Q803" s="120" t="str">
        <f>_xlfn.CONCAT($C803,"_",P$797,",",Q$797)</f>
        <v>W_a_6,7</v>
      </c>
      <c r="R803" s="139">
        <f>P804</f>
        <v>807.48127378419383</v>
      </c>
      <c r="S803" s="92"/>
      <c r="T803" s="92"/>
      <c r="U803" s="92"/>
      <c r="V803" s="92"/>
      <c r="W803" s="92"/>
      <c r="X803" s="92"/>
      <c r="Y803" s="92"/>
      <c r="Z803" s="92"/>
      <c r="AA803" s="92"/>
      <c r="AB803" s="92"/>
      <c r="AC803" s="92"/>
      <c r="AD803" s="92"/>
      <c r="AE803" s="92"/>
      <c r="AF803" s="92"/>
      <c r="AG803" s="92"/>
      <c r="AH803" s="92"/>
      <c r="AI803" s="92"/>
      <c r="AJ803" s="92"/>
      <c r="AK803" s="92"/>
      <c r="AL803" s="92"/>
      <c r="AM803" s="92"/>
      <c r="AN803" s="92"/>
      <c r="AO803" s="92"/>
      <c r="AP803" s="92"/>
      <c r="AQ803" s="92"/>
      <c r="AR803" s="92"/>
      <c r="AS803" s="92"/>
      <c r="AT803" s="92"/>
      <c r="AU803" s="92"/>
      <c r="AV803" s="92"/>
      <c r="AW803" s="92"/>
      <c r="AX803" s="92"/>
      <c r="AY803" s="92"/>
      <c r="AZ803" s="92"/>
      <c r="BA803" s="92"/>
      <c r="BB803" s="92"/>
      <c r="BC803" s="92"/>
    </row>
    <row r="804" spans="2:55" ht="15.75" thickBot="1" x14ac:dyDescent="0.3">
      <c r="B804" s="92"/>
      <c r="C804" s="179" t="s">
        <v>158</v>
      </c>
      <c r="D804" s="180"/>
      <c r="E804" s="128" t="str">
        <f>_xlfn.CONCAT($C803,"_",G$797,",",E$797)</f>
        <v>W_a_2,1</v>
      </c>
      <c r="F804" s="140">
        <f>M786</f>
        <v>201.87031844604843</v>
      </c>
      <c r="G804" s="128" t="str">
        <f>_xlfn.CONCAT($C803,"_",I$797,",",G$797)</f>
        <v>W_a_3,2</v>
      </c>
      <c r="H804" s="140">
        <f>M787</f>
        <v>0</v>
      </c>
      <c r="I804" s="128" t="str">
        <f>_xlfn.CONCAT($C803,"_",K$797,",",I$797)</f>
        <v>W_a_4,3</v>
      </c>
      <c r="J804" s="140">
        <f>M788</f>
        <v>807.48127378419383</v>
      </c>
      <c r="K804" s="128" t="str">
        <f>_xlfn.CONCAT($C803,"_",M$797,",",K$797)</f>
        <v>W_a_5,4</v>
      </c>
      <c r="L804" s="140">
        <f>M789</f>
        <v>807.48127378419372</v>
      </c>
      <c r="M804" s="128" t="str">
        <f>_xlfn.CONCAT($C803,"_",O$797,",",M$797)</f>
        <v>W_a_6,5</v>
      </c>
      <c r="N804" s="140">
        <f>M790</f>
        <v>807.48127378419372</v>
      </c>
      <c r="O804" s="128" t="str">
        <f>_xlfn.CONCAT($C803,"_",Q$797,",",O$797)</f>
        <v>W_a_7,6</v>
      </c>
      <c r="P804" s="140">
        <f>M791</f>
        <v>807.48127378419383</v>
      </c>
      <c r="Q804" s="128"/>
      <c r="R804" s="141"/>
      <c r="S804" s="92"/>
      <c r="T804" s="92"/>
      <c r="U804" s="92"/>
      <c r="V804" s="92"/>
      <c r="W804" s="92"/>
      <c r="X804" s="92"/>
      <c r="Y804" s="92"/>
      <c r="Z804" s="92"/>
      <c r="AA804" s="92"/>
      <c r="AB804" s="92"/>
      <c r="AC804" s="92"/>
      <c r="AD804" s="92"/>
      <c r="AE804" s="92"/>
      <c r="AF804" s="92"/>
      <c r="AG804" s="92"/>
      <c r="AH804" s="92"/>
      <c r="AI804" s="92"/>
      <c r="AJ804" s="92"/>
      <c r="AK804" s="92"/>
      <c r="AL804" s="92"/>
      <c r="AM804" s="92"/>
      <c r="AN804" s="92"/>
      <c r="AO804" s="92"/>
      <c r="AP804" s="92"/>
      <c r="AQ804" s="92"/>
      <c r="AR804" s="92"/>
      <c r="AS804" s="92"/>
      <c r="AT804" s="92"/>
      <c r="AU804" s="92"/>
      <c r="AV804" s="92"/>
      <c r="AW804" s="92"/>
      <c r="AX804" s="92"/>
      <c r="AY804" s="92"/>
      <c r="AZ804" s="92"/>
      <c r="BA804" s="92"/>
      <c r="BB804" s="92"/>
      <c r="BC804" s="92"/>
    </row>
    <row r="805" spans="2:55" x14ac:dyDescent="0.25">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c r="AA805" s="92"/>
      <c r="AB805" s="92"/>
      <c r="AC805" s="92"/>
      <c r="AD805" s="92"/>
      <c r="AE805" s="92"/>
      <c r="AF805" s="92"/>
      <c r="AG805" s="92"/>
      <c r="AH805" s="92"/>
      <c r="AI805" s="92"/>
      <c r="AJ805" s="92"/>
      <c r="AK805" s="92"/>
      <c r="AL805" s="92"/>
      <c r="AM805" s="92"/>
      <c r="AN805" s="92"/>
      <c r="AO805" s="92"/>
      <c r="AP805" s="92"/>
      <c r="AQ805" s="92"/>
      <c r="AR805" s="92"/>
      <c r="AS805" s="92"/>
      <c r="AT805" s="92"/>
      <c r="AU805" s="92"/>
      <c r="AV805" s="92"/>
      <c r="AW805" s="92"/>
      <c r="AX805" s="92"/>
      <c r="AY805" s="92"/>
      <c r="AZ805" s="92"/>
      <c r="BA805" s="92"/>
      <c r="BB805" s="92"/>
      <c r="BC805" s="92"/>
    </row>
    <row r="806" spans="2:55" x14ac:dyDescent="0.25">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c r="AA806" s="92"/>
      <c r="AB806" s="92"/>
      <c r="AC806" s="92"/>
      <c r="AD806" s="92"/>
      <c r="AE806" s="92"/>
      <c r="AF806" s="92"/>
      <c r="AG806" s="92"/>
      <c r="AH806" s="92"/>
      <c r="AI806" s="92"/>
      <c r="AJ806" s="92"/>
      <c r="AK806" s="92"/>
      <c r="AL806" s="92"/>
      <c r="AM806" s="92"/>
      <c r="AN806" s="92"/>
      <c r="AO806" s="92"/>
      <c r="AP806" s="92"/>
      <c r="AQ806" s="92"/>
      <c r="AR806" s="92"/>
      <c r="AS806" s="92"/>
      <c r="AT806" s="92"/>
      <c r="AU806" s="92"/>
      <c r="AV806" s="92"/>
      <c r="AW806" s="92"/>
      <c r="AX806" s="92"/>
      <c r="AY806" s="92"/>
      <c r="AZ806" s="92"/>
      <c r="BA806" s="92"/>
      <c r="BB806" s="92"/>
      <c r="BC806" s="92"/>
    </row>
    <row r="807" spans="2:55" hidden="1" x14ac:dyDescent="0.25">
      <c r="B807" s="92"/>
      <c r="C807" s="92"/>
      <c r="D807" s="92" t="s">
        <v>367</v>
      </c>
      <c r="E807" s="92"/>
      <c r="F807" s="92" t="e">
        <f>IF(F801&gt;0,F801/#REF!,F802/#REF!)</f>
        <v>#REF!</v>
      </c>
      <c r="G807" s="92"/>
      <c r="H807" s="92" t="e">
        <f>IF(H801&gt;0,H801/#REF!,H802/#REF!)</f>
        <v>#REF!</v>
      </c>
      <c r="I807" s="92"/>
      <c r="J807" s="92" t="e">
        <f>IF(J801&gt;0,J801/#REF!,J802/#REF!)</f>
        <v>#REF!</v>
      </c>
      <c r="K807" s="92"/>
      <c r="L807" s="92" t="e">
        <f>IF(L801&gt;0,L801/#REF!,L802/#REF!)</f>
        <v>#REF!</v>
      </c>
      <c r="M807" s="92"/>
      <c r="N807" s="92" t="e">
        <f>IF(N801&gt;0,N801/#REF!,N802/#REF!)</f>
        <v>#REF!</v>
      </c>
      <c r="O807" s="92"/>
      <c r="P807" s="92" t="e">
        <f>IF(P801&gt;0,P801/#REF!,P802/#REF!)</f>
        <v>#REF!</v>
      </c>
      <c r="Q807" s="92"/>
      <c r="R807" s="92" t="e">
        <f>IF(R801&gt;0,R801/#REF!,R802/#REF!)</f>
        <v>#REF!</v>
      </c>
      <c r="S807" s="92"/>
      <c r="T807" s="92"/>
      <c r="U807" s="92"/>
      <c r="V807" s="92"/>
      <c r="W807" s="92"/>
      <c r="X807" s="92"/>
      <c r="Y807" s="92"/>
      <c r="Z807" s="92"/>
      <c r="AA807" s="92"/>
      <c r="AB807" s="92"/>
      <c r="AC807" s="92"/>
      <c r="AD807" s="92"/>
      <c r="AE807" s="92"/>
      <c r="AF807" s="92"/>
      <c r="AG807" s="92"/>
      <c r="AH807" s="92"/>
      <c r="AI807" s="92"/>
      <c r="AJ807" s="92"/>
      <c r="AK807" s="92"/>
      <c r="AL807" s="92"/>
      <c r="AM807" s="92"/>
      <c r="AN807" s="92"/>
      <c r="AO807" s="92"/>
      <c r="AP807" s="92"/>
      <c r="AQ807" s="92"/>
      <c r="AR807" s="92"/>
      <c r="AS807" s="92"/>
      <c r="AT807" s="92"/>
      <c r="AU807" s="92"/>
      <c r="AV807" s="92"/>
      <c r="AW807" s="92"/>
      <c r="AX807" s="92"/>
      <c r="AY807" s="92"/>
      <c r="AZ807" s="92"/>
      <c r="BA807" s="92"/>
      <c r="BB807" s="92"/>
      <c r="BC807" s="92"/>
    </row>
    <row r="808" spans="2:55" hidden="1" x14ac:dyDescent="0.25">
      <c r="B808" s="92"/>
      <c r="C808" s="92"/>
      <c r="D808" s="92" t="s">
        <v>366</v>
      </c>
      <c r="E808" s="92"/>
      <c r="F808" s="92" t="e">
        <f>IF(F799&gt;0,F799/#REF!,F800/#REF!)</f>
        <v>#REF!</v>
      </c>
      <c r="G808" s="92"/>
      <c r="H808" s="92" t="e">
        <f>IF(H799&gt;0,H799/#REF!,H800/#REF!)</f>
        <v>#REF!</v>
      </c>
      <c r="I808" s="92"/>
      <c r="J808" s="92" t="e">
        <f>IF(J799&gt;0,J799/#REF!,J800/#REF!)</f>
        <v>#REF!</v>
      </c>
      <c r="K808" s="92"/>
      <c r="L808" s="92" t="e">
        <f>IF(L799&gt;0,L799/#REF!,L800/#REF!)</f>
        <v>#REF!</v>
      </c>
      <c r="M808" s="92"/>
      <c r="N808" s="92" t="e">
        <f>IF(N799&gt;0,N799/#REF!,N800/#REF!)</f>
        <v>#REF!</v>
      </c>
      <c r="O808" s="92"/>
      <c r="P808" s="92" t="e">
        <f>IF(P799&gt;0,P799/#REF!,P800/#REF!)</f>
        <v>#REF!</v>
      </c>
      <c r="Q808" s="92"/>
      <c r="R808" s="92" t="e">
        <f>IF(R799&gt;0,R799/#REF!,R800/#REF!)</f>
        <v>#REF!</v>
      </c>
      <c r="S808" s="92"/>
      <c r="T808" s="92"/>
      <c r="U808" s="92"/>
      <c r="V808" s="92"/>
      <c r="W808" s="92"/>
      <c r="X808" s="92"/>
      <c r="Y808" s="92"/>
      <c r="Z808" s="92"/>
      <c r="AA808" s="92"/>
      <c r="AB808" s="92"/>
      <c r="AC808" s="92"/>
      <c r="AD808" s="92"/>
      <c r="AE808" s="92"/>
      <c r="AF808" s="92"/>
      <c r="AG808" s="92"/>
      <c r="AH808" s="92"/>
      <c r="AI808" s="92"/>
      <c r="AJ808" s="92"/>
      <c r="AK808" s="92"/>
      <c r="AL808" s="92"/>
      <c r="AM808" s="92"/>
      <c r="AN808" s="92"/>
      <c r="AO808" s="92"/>
      <c r="AP808" s="92"/>
      <c r="AQ808" s="92"/>
      <c r="AR808" s="92"/>
      <c r="AS808" s="92"/>
      <c r="AT808" s="92"/>
      <c r="AU808" s="92"/>
      <c r="AV808" s="92"/>
      <c r="AW808" s="92"/>
      <c r="AX808" s="92"/>
      <c r="AY808" s="92"/>
      <c r="AZ808" s="92"/>
      <c r="BA808" s="92"/>
      <c r="BB808" s="92"/>
      <c r="BC808" s="92"/>
    </row>
    <row r="809" spans="2:55" hidden="1" x14ac:dyDescent="0.25">
      <c r="B809" s="92"/>
      <c r="C809" s="92"/>
      <c r="D809" s="92" t="s">
        <v>368</v>
      </c>
      <c r="E809" s="92"/>
      <c r="F809" s="92" t="e">
        <f>ABS(F808)/ABS(F807)</f>
        <v>#REF!</v>
      </c>
      <c r="G809" s="92"/>
      <c r="H809" s="92" t="e">
        <f t="shared" ref="H809:R809" si="53">ABS(H808)/ABS(H807)</f>
        <v>#REF!</v>
      </c>
      <c r="I809" s="92"/>
      <c r="J809" s="92" t="e">
        <f t="shared" si="53"/>
        <v>#REF!</v>
      </c>
      <c r="K809" s="92"/>
      <c r="L809" s="92" t="e">
        <f t="shared" si="53"/>
        <v>#REF!</v>
      </c>
      <c r="M809" s="92"/>
      <c r="N809" s="92" t="e">
        <f t="shared" si="53"/>
        <v>#REF!</v>
      </c>
      <c r="O809" s="92"/>
      <c r="P809" s="92" t="e">
        <f t="shared" si="53"/>
        <v>#REF!</v>
      </c>
      <c r="Q809" s="92"/>
      <c r="R809" s="92" t="e">
        <f t="shared" si="53"/>
        <v>#REF!</v>
      </c>
      <c r="S809" s="92"/>
      <c r="T809" s="92"/>
      <c r="U809" s="92"/>
      <c r="V809" s="92"/>
      <c r="W809" s="92"/>
      <c r="X809" s="92"/>
      <c r="Y809" s="92"/>
      <c r="Z809" s="92"/>
      <c r="AA809" s="92"/>
      <c r="AB809" s="92"/>
      <c r="AC809" s="92"/>
      <c r="AD809" s="92"/>
      <c r="AE809" s="92"/>
      <c r="AF809" s="92"/>
      <c r="AG809" s="92"/>
      <c r="AH809" s="92"/>
      <c r="AI809" s="92"/>
      <c r="AJ809" s="92"/>
      <c r="AK809" s="92"/>
      <c r="AL809" s="92"/>
      <c r="AM809" s="92"/>
      <c r="AN809" s="92"/>
      <c r="AO809" s="92"/>
      <c r="AP809" s="92"/>
      <c r="AQ809" s="92"/>
      <c r="AR809" s="92"/>
      <c r="AS809" s="92"/>
      <c r="AT809" s="92"/>
      <c r="AU809" s="92"/>
      <c r="AV809" s="92"/>
      <c r="AW809" s="92"/>
      <c r="AX809" s="92"/>
      <c r="AY809" s="92"/>
      <c r="AZ809" s="92"/>
      <c r="BA809" s="92"/>
      <c r="BB809" s="92"/>
      <c r="BC809" s="92"/>
    </row>
    <row r="810" spans="2:55" ht="15.75" thickBot="1" x14ac:dyDescent="0.3">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c r="AA810" s="92"/>
      <c r="AB810" s="92"/>
      <c r="AC810" s="92"/>
      <c r="AD810" s="92"/>
      <c r="AE810" s="92"/>
      <c r="AF810" s="92"/>
      <c r="AG810" s="92"/>
      <c r="AH810" s="92"/>
      <c r="AI810" s="92"/>
      <c r="AJ810" s="92"/>
      <c r="AK810" s="92"/>
      <c r="AL810" s="92"/>
      <c r="AM810" s="92"/>
      <c r="AN810" s="92"/>
      <c r="AO810" s="92"/>
      <c r="AP810" s="92"/>
      <c r="AQ810" s="92"/>
      <c r="AR810" s="92"/>
      <c r="AS810" s="92"/>
      <c r="AT810" s="92"/>
      <c r="AU810" s="92"/>
      <c r="AV810" s="92"/>
      <c r="AW810" s="92"/>
      <c r="AX810" s="92"/>
      <c r="AY810" s="92"/>
      <c r="AZ810" s="92"/>
      <c r="BA810" s="92"/>
      <c r="BB810" s="92"/>
      <c r="BC810" s="92"/>
    </row>
    <row r="811" spans="2:55" ht="15.75" thickBot="1" x14ac:dyDescent="0.3">
      <c r="B811" s="174"/>
      <c r="C811" s="175"/>
      <c r="D811" s="175"/>
      <c r="E811" s="175"/>
      <c r="F811" s="176"/>
      <c r="G811" s="174" t="s">
        <v>7</v>
      </c>
      <c r="H811" s="175"/>
      <c r="I811" s="175"/>
      <c r="J811" s="175"/>
      <c r="K811" s="175"/>
      <c r="L811" s="175"/>
      <c r="M811" s="175"/>
      <c r="N811" s="176"/>
      <c r="O811" s="175" t="s">
        <v>156</v>
      </c>
      <c r="P811" s="175"/>
      <c r="Q811" s="175"/>
      <c r="R811" s="175"/>
      <c r="S811" s="175"/>
      <c r="T811" s="175"/>
      <c r="U811" s="175"/>
      <c r="V811" s="175"/>
      <c r="W811" s="175"/>
      <c r="X811" s="176"/>
      <c r="Y811" s="142" t="s">
        <v>153</v>
      </c>
      <c r="Z811" s="143"/>
      <c r="AA811" s="143"/>
      <c r="AB811" s="143"/>
      <c r="AC811" s="143"/>
      <c r="AD811" s="143"/>
      <c r="AE811" s="143"/>
      <c r="AF811" s="143"/>
      <c r="AG811" s="143"/>
      <c r="AH811" s="143"/>
      <c r="AI811" s="174" t="s">
        <v>388</v>
      </c>
      <c r="AJ811" s="175"/>
      <c r="AK811" s="175"/>
      <c r="AL811" s="175"/>
      <c r="AM811" s="175"/>
      <c r="AN811" s="175"/>
      <c r="AO811" s="175"/>
      <c r="AP811" s="175"/>
      <c r="AQ811" s="175"/>
      <c r="AR811" s="176"/>
      <c r="AS811" s="174" t="s">
        <v>389</v>
      </c>
      <c r="AT811" s="175"/>
      <c r="AU811" s="175"/>
      <c r="AV811" s="175"/>
      <c r="AW811" s="175"/>
      <c r="AX811" s="175"/>
      <c r="AY811" s="175"/>
      <c r="AZ811" s="175"/>
      <c r="BA811" s="175"/>
      <c r="BB811" s="176"/>
      <c r="BC811" s="92"/>
    </row>
    <row r="812" spans="2:55" x14ac:dyDescent="0.25">
      <c r="B812" s="144" t="s">
        <v>337</v>
      </c>
      <c r="C812" s="136" t="s">
        <v>390</v>
      </c>
      <c r="D812" s="137" t="s">
        <v>342</v>
      </c>
      <c r="E812" s="145" t="s">
        <v>269</v>
      </c>
      <c r="F812" s="94" t="s">
        <v>331</v>
      </c>
      <c r="G812" s="126" t="s">
        <v>391</v>
      </c>
      <c r="H812" s="135" t="s">
        <v>392</v>
      </c>
      <c r="I812" s="135" t="s">
        <v>393</v>
      </c>
      <c r="J812" s="135" t="s">
        <v>394</v>
      </c>
      <c r="K812" s="135" t="s">
        <v>395</v>
      </c>
      <c r="L812" s="135" t="s">
        <v>396</v>
      </c>
      <c r="M812" s="135" t="s">
        <v>397</v>
      </c>
      <c r="N812" s="146" t="s">
        <v>343</v>
      </c>
      <c r="O812" s="147" t="s">
        <v>344</v>
      </c>
      <c r="P812" s="147" t="s">
        <v>398</v>
      </c>
      <c r="Q812" s="147" t="s">
        <v>399</v>
      </c>
      <c r="R812" s="147" t="s">
        <v>400</v>
      </c>
      <c r="S812" s="147" t="s">
        <v>401</v>
      </c>
      <c r="T812" s="147" t="s">
        <v>402</v>
      </c>
      <c r="U812" s="147" t="s">
        <v>403</v>
      </c>
      <c r="V812" s="147" t="s">
        <v>404</v>
      </c>
      <c r="W812" s="147" t="s">
        <v>405</v>
      </c>
      <c r="X812" s="148" t="s">
        <v>406</v>
      </c>
      <c r="Y812" s="144" t="s">
        <v>344</v>
      </c>
      <c r="Z812" s="147" t="s">
        <v>407</v>
      </c>
      <c r="AA812" s="147" t="s">
        <v>408</v>
      </c>
      <c r="AB812" s="147" t="s">
        <v>409</v>
      </c>
      <c r="AC812" s="147" t="s">
        <v>410</v>
      </c>
      <c r="AD812" s="147" t="s">
        <v>411</v>
      </c>
      <c r="AE812" s="147" t="s">
        <v>412</v>
      </c>
      <c r="AF812" s="147" t="s">
        <v>413</v>
      </c>
      <c r="AG812" s="147" t="s">
        <v>414</v>
      </c>
      <c r="AH812" s="148" t="s">
        <v>415</v>
      </c>
      <c r="AI812" s="147" t="s">
        <v>344</v>
      </c>
      <c r="AJ812" s="147" t="s">
        <v>416</v>
      </c>
      <c r="AK812" s="147" t="s">
        <v>417</v>
      </c>
      <c r="AL812" s="147" t="s">
        <v>418</v>
      </c>
      <c r="AM812" s="147" t="s">
        <v>419</v>
      </c>
      <c r="AN812" s="147" t="s">
        <v>420</v>
      </c>
      <c r="AO812" s="147" t="s">
        <v>421</v>
      </c>
      <c r="AP812" s="147" t="s">
        <v>422</v>
      </c>
      <c r="AQ812" s="147" t="s">
        <v>423</v>
      </c>
      <c r="AR812" s="148" t="s">
        <v>424</v>
      </c>
      <c r="AS812" s="126" t="s">
        <v>344</v>
      </c>
      <c r="AT812" s="135" t="s">
        <v>425</v>
      </c>
      <c r="AU812" s="135" t="s">
        <v>426</v>
      </c>
      <c r="AV812" s="135" t="s">
        <v>427</v>
      </c>
      <c r="AW812" s="135" t="s">
        <v>417</v>
      </c>
      <c r="AX812" s="135" t="s">
        <v>428</v>
      </c>
      <c r="AY812" s="135" t="s">
        <v>429</v>
      </c>
      <c r="AZ812" s="135" t="s">
        <v>430</v>
      </c>
      <c r="BA812" s="135" t="s">
        <v>431</v>
      </c>
      <c r="BB812" s="149" t="s">
        <v>432</v>
      </c>
      <c r="BC812" s="92"/>
    </row>
    <row r="813" spans="2:55" x14ac:dyDescent="0.25">
      <c r="B813" s="122">
        <v>1</v>
      </c>
      <c r="C813" s="98" t="str">
        <f t="shared" ref="C813:C824" si="54">VLOOKUP(B813,$D$786:$H$791,COLUMNS($D$786:$H$791),FALSE)</f>
        <v>CCW</v>
      </c>
      <c r="D813" s="120" t="str">
        <f t="shared" ref="D813:D826" si="55">IF(AND(B813=7,B812=7),"",IF(AND(NOT(ISNUMBER(B812)),B813=1),"",IF(B813=B812,B813+1,IF(B813=B814,B813-1,""))))</f>
        <v/>
      </c>
      <c r="E813" s="150" t="str">
        <f t="shared" ref="E813:E821" si="56">IF(AND(AND(ISNUMBER(D813),D813&lt;=$G$770),NOT(ISNA(C813))),_xlfn.CONCAT(B813,"-",D813),"")</f>
        <v/>
      </c>
      <c r="F813" s="151" t="str">
        <f t="shared" ref="F813:F826" si="57">VLOOKUP(B813,$D$776:$E$782,COLUMNS($D$776:$E$782),FALSE)</f>
        <v>a</v>
      </c>
      <c r="G813" s="98">
        <f t="shared" ref="G813:G826" si="58">VLOOKUP(VLOOKUP(B813,$D$776:$E$782,COLUMNS($D$776:$E$782),FALSE),$L$776:$S$782,COLUMNS($L$776:$S$782)-1,FALSE)</f>
        <v>0</v>
      </c>
      <c r="H813" s="120">
        <f t="shared" ref="H813:H826" si="59">VLOOKUP(VLOOKUP(B813,$D$776:$E$782,COLUMNS($D$776:$E$782),FALSE),$L$776:$S$782,COLUMNS($L$776:$S$782),FALSE)</f>
        <v>0</v>
      </c>
      <c r="I813" s="120" t="str">
        <f t="shared" ref="I813:I826" si="60">IF(ISNUMBER(D813),IF(VLOOKUP(D813,$D$776:$E$782,COLUMNS($D$776:$E$782),FALSE)=VLOOKUP(B813,$D$776:$E$782,COLUMNS($D$776:$E$782),FALSE),0,((VLOOKUP(D813,$B$814:$H$826,COLUMNS($B$814:$H$826),FALSE)-VLOOKUP(B813,$B$814:$H$826,COLUMNS($B$814:$H$826),FALSE))/(VLOOKUP(D813,$B$814:$H$826,COLUMNS($B$814:$H$826)-1,FALSE)-VLOOKUP(B813,$B$814:$H$826,COLUMNS($B$814:$H$826)-1,FALSE)))),"")</f>
        <v/>
      </c>
      <c r="J813" s="120" t="str">
        <f t="shared" ref="J813:J826" si="61">IF(ISNUMBER(I813),ATAN(I813),"")</f>
        <v/>
      </c>
      <c r="K813" s="120">
        <f t="shared" ref="K813:K826" si="62">VLOOKUP(B813,$D$776:$J$782,COLUMNS($D$776:$J$782),FALSE)/2</f>
        <v>0.87350751917863934</v>
      </c>
      <c r="L813" s="120" t="str">
        <f t="shared" ref="L813:L826" si="63">IF(ISNUMBER(D813),G813+IF(VLOOKUP(D813,$B$813:$H$826,COLUMNS($B$813:$H$826)-1,FALSE)&lt;VLOOKUP(B813,$B$813:$H$826,COLUMNS($B$813:$H$826)-1,FALSE),-K813,K813)*COS(J813),"")</f>
        <v/>
      </c>
      <c r="M813" s="120" t="str">
        <f t="shared" ref="M813:M826" si="64">IF(ISNUMBER(D813),H813+IF(VLOOKUP(D813,$B$813:$H$826,COLUMNS($B$813:$H$826)-1,FALSE)&lt;VLOOKUP(B813,$B$813:$H$826,COLUMNS($B$813:$H$826)-1,FALSE),-K813,K813)*SIN(J813),"")</f>
        <v/>
      </c>
      <c r="N813" s="97" t="str">
        <f t="shared" ref="N813:N822" si="65">IF(AND(ISNUMBER(D813),D813&lt;=$G$770,B813&lt;=$G$770),_xlfn.CONCAT(D813,"-",B813),"")</f>
        <v/>
      </c>
      <c r="O813" s="150" t="str">
        <f t="shared" ref="O813:O821" si="66">IF(OR(N813="",J813=""),"",_xlfn.CONCAT("Wr_",N813))</f>
        <v/>
      </c>
      <c r="P813" s="150" t="str">
        <f>IF(ISNA(IF(ISNUMBER(D813),IF(B813&lt;D813,VLOOKUP(B813,$D$786:$L$791,COLUMNS($D$786:$L$791),FALSE),IF(AND(B813=D812,D813=B812),P812,"")),"")),"",IF(ISNUMBER(D813),IF(B813&lt;D813,VLOOKUP(B813,$D$786:$L$791,COLUMNS($D$786:$L$791),FALSE),IF(AND(B813=D812,D813=B812),P812,"")),""))</f>
        <v/>
      </c>
      <c r="Q813" s="150" t="str">
        <f t="shared" ref="Q813:Q826" si="67">I813</f>
        <v/>
      </c>
      <c r="R813" s="150" t="str">
        <f t="shared" ref="R813:R826" si="68">IF(ISNUMBER(P813),(IF(VLOOKUP(D813,$B$813:$H$826,COLUMNS($B$813:$H$826)-1,FALSE)&gt;VLOOKUP(B813,$B$813:$H$826,COLUMNS($B$813:$H$826)-1,FALSE),-1,1))*P813*(1/(SQRT(1^2+Q813^2))),"")</f>
        <v/>
      </c>
      <c r="S813" s="150" t="str">
        <f t="shared" ref="S813:S826" si="69">IF(ISNUMBER(P813),(IF(VLOOKUP(D813,$B$813:$H$826,COLUMNS($B$813:$H$826),FALSE)&gt;VLOOKUP(B813,$B$813:$H$826,COLUMNS($B$813:$H$826),FALSE),-1,1))*(ABS(P813*(Q813/(SQRT(1^2+Q813^2))))),"")</f>
        <v/>
      </c>
      <c r="T813" s="150" t="str">
        <f t="shared" ref="T813:T826" si="70">IF(ISNUMBER(P813),IF(P813=0,0,ABS(AB813*(P813/Z813))),"")</f>
        <v/>
      </c>
      <c r="U813" s="150" t="str">
        <f t="shared" ref="U813:U826" si="71">L813</f>
        <v/>
      </c>
      <c r="V813" s="150" t="str">
        <f t="shared" ref="V813:V826" si="72">IF(ISNUMBER(Q813),U813+(IF(VLOOKUP(B813,$B$813:$H$826,COLUMNS($B$813:$H$826)-1,FALSE)&lt;VLOOKUP(D813,$B$813:$H$826,COLUMNS($B$813:$H$826)-1,FALSE),1,-1))*T813*COS(ATAN(Q813)),"")</f>
        <v/>
      </c>
      <c r="W813" s="150" t="str">
        <f t="shared" ref="W813:W826" si="73">M813</f>
        <v/>
      </c>
      <c r="X813" s="151" t="str">
        <f t="shared" ref="X813:X826" si="74">IF(ISNUMBER(Q813),W813+(IF(VLOOKUP(B813,$B$813:$H$826,COLUMNS($B$813:$H$826)-1,FALSE)&lt;VLOOKUP(D813,$B$813:$H$826,COLUMNS($B$813:$H$826)-1,FALSE),1,-1))*T813*SIN(ATAN(Q813)),"")</f>
        <v/>
      </c>
      <c r="Y813" s="122" t="str">
        <f t="shared" ref="Y813:Y821" si="75">IF(OR(N813="",J813=""),"",_xlfn.CONCAT("Wt_",N813))</f>
        <v/>
      </c>
      <c r="Z813" s="150" t="str">
        <f t="shared" ref="Z813:Z826" si="76">IF(ISNA(IF(ISNUMBER(D813),IF(B813&lt;D813,VLOOKUP(B813,$D$786:$L$791,COLUMNS($D$786:$L$791)-1,FALSE),IF(AND(B813=D812,D813=B812),Z812,"")),"")),"",IF(ISNUMBER(D813),IF(B813&lt;D813,VLOOKUP(B813,$D$786:$L$791,COLUMNS($D$786:$L$791)-1,FALSE),IF(AND(B813=D812,D813=B812),Z812,"")),""))</f>
        <v/>
      </c>
      <c r="AA813" s="150" t="str">
        <f t="shared" ref="AA813:AA816" si="77">IF(ISNUMBER(Q813),IF(Q813=0,-1E+99,-1/Q813),"")</f>
        <v/>
      </c>
      <c r="AB813" s="150" t="str">
        <f>IF(Z813=0,0,IF(ISNUMBER(Z813),IF(AND(B813=D812,D813=B812),-1,1)*IF(VLOOKUP(IF(D813&lt;B813,D813,B813),$B$813:$H$826,COLUMNS($B$813:$H$826),FALSE)&gt;VLOOKUP(IF(D813&gt;B813,D813,B813),$B$813:$H$826,COLUMNS($B$813:$H$826),FALSE),-1,1)*IF(OR(AND(ISODD(B813),C813="CW"),AND(ISEVEN(B813),C813="CCW")),1,-1)*IF(OR(AND(B813&lt;D813,ISEVEN(B813)),AND(B813&gt;D813,ISODD(B813))),-1,1)*IF(ISNUMBER(Z813),Z813*(($T$772*K813)/(Z813)),""),""))</f>
        <v/>
      </c>
      <c r="AC813" s="150" t="str">
        <f t="shared" ref="AC813:AC826" si="78">IF(ISNUMBER(AB813),Z813*(1/(SQRT(1^2+AA813^2)))*SIGN(AB813*COS(ATAN(AA813)))*-1,"")</f>
        <v/>
      </c>
      <c r="AD813" s="150" t="str">
        <f t="shared" ref="AD813:AD826" si="79">IF(ISNUMBER(AB813),Z813*(AA813/(SQRT(1^2+AA813^2)))*SIGN(AB813*SIN(ATAN(AA813)))*IF(VLOOKUP(MAX(B813,D813),$B$814:$H$825,COLUMNS($B$814:$H$825)-1,FALSE)&lt;VLOOKUP(MIN(B813,D813),$B$814:$H$825,COLUMNS($B$814:$H$825)-1,FALSE),-1,1)*IF(VLOOKUP(MAX(B813,D813),$B$814:$H$825,COLUMNS($B$814:$H$825),FALSE)&lt;VLOOKUP(MIN(B813,D813),$B$814:$H$825,COLUMNS($B$814:$H$825),FALSE),-1,1),"")</f>
        <v/>
      </c>
      <c r="AE813" s="150" t="str">
        <f t="shared" ref="AE813:AE826" si="80">L813</f>
        <v/>
      </c>
      <c r="AF813" s="150" t="str">
        <f t="shared" ref="AF813:AF826" si="81">IF(ISNUMBER(AA813),AE813+AB813*COS(ATAN(AA813)),"")</f>
        <v/>
      </c>
      <c r="AG813" s="150" t="str">
        <f t="shared" ref="AG813:AG826" si="82">M813</f>
        <v/>
      </c>
      <c r="AH813" s="151" t="str">
        <f t="shared" ref="AH813:AH826" si="83">IF(ISNUMBER(AA813),AG813+AB813*SIN(ATAN(AA813)),"")</f>
        <v/>
      </c>
      <c r="AI813" s="150" t="str">
        <f t="shared" ref="AI813:AI821" si="84">IF(OR(N813="",AK813=""),"",_xlfn.CONCAT("W_",N813," (exclude axial)"))</f>
        <v/>
      </c>
      <c r="AJ813" s="150" t="str">
        <f t="shared" ref="AJ813:AJ826" si="85">IF(ISNUMBER(P813),SQRT(Z813^2+P813^2),"")</f>
        <v/>
      </c>
      <c r="AK813" s="150" t="str">
        <f t="shared" ref="AK813:AK826" si="86">IF(AM813=0,-1E+99,IF(ISNUMBER(AM813),(AN813/AM813),""))</f>
        <v/>
      </c>
      <c r="AL813" s="150" t="str">
        <f t="shared" ref="AL813:AL826" si="87">IF(ISNUMBER(Z813),SQRT(T813^2+AB813^2),"")</f>
        <v/>
      </c>
      <c r="AM813" s="150" t="str">
        <f t="shared" ref="AM813:AM826" si="88">IF(ISNUMBER(R813),R813+AC813,"")</f>
        <v/>
      </c>
      <c r="AN813" s="150" t="str">
        <f t="shared" ref="AN813:AN826" si="89">IF(ISNUMBER(S813),S813+AD813,"")</f>
        <v/>
      </c>
      <c r="AO813" s="150" t="str">
        <f t="shared" ref="AO813:AO826" si="90">L813</f>
        <v/>
      </c>
      <c r="AP813" s="150" t="str">
        <f t="shared" ref="AP813:AP826" si="91">IF(ISNUMBER(AK813),AO813+(V813-U813)+(AF813-AE813),"")</f>
        <v/>
      </c>
      <c r="AQ813" s="150" t="str">
        <f t="shared" ref="AQ813:AQ826" si="92">M813</f>
        <v/>
      </c>
      <c r="AR813" s="151" t="str">
        <f t="shared" ref="AR813:AR826" si="93">IF(ISNUMBER(AK813),AQ813+(X813-W813)+(AH813-AG813),"")</f>
        <v/>
      </c>
      <c r="AS813" s="170" t="str">
        <f>IF(ISNA(_xlfn.CONCAT("W_",F814,B814)),"",_xlfn.CONCAT("W_",F814,B814))</f>
        <v>W_a1</v>
      </c>
      <c r="AT813" s="167">
        <f>IF(AND(ISNUMBER(AM814),NOT(ISNUMBER(AM813))),AM814,IF(AND(ISNUMBER(AM813),NOT(ISNUMBER(AM814))),AM813,AM813+AM814))</f>
        <v>-30.729123764201717</v>
      </c>
      <c r="AU813" s="167">
        <f>IF(AND(ISNUMBER(AN814),NOT(ISNUMBER(AN813))),AN814,IF(AND(ISNUMBER(AN813),NOT(ISNUMBER(AN814))),AN813,AN813+AN814))</f>
        <v>-465.50482230779932</v>
      </c>
      <c r="AV813" s="172">
        <f>IF(ISNUMBER(SQRT(AT813^2+AU813^2)),SQRT(AT813^2+AU813^2),"")</f>
        <v>466.51797247172743</v>
      </c>
      <c r="AW813" s="167">
        <f>IF(ISNUMBER(AT813),(AU813/AT813),"")</f>
        <v>15.148652655371029</v>
      </c>
      <c r="AX813" s="167">
        <f>IF(ISNUMBER(AV813),IF(ISNUMBER(AL813),AL813,AL814)*(AV813/IF(ISNUMBER(AJ813),AJ813,AJ814)),"")</f>
        <v>0.70598645765578982</v>
      </c>
      <c r="AY813" s="167">
        <f>G814</f>
        <v>0</v>
      </c>
      <c r="AZ813" s="167">
        <f>-(IF(ISNUMBER(AO813),(AP813-AO813),0)+IF(ISNUMBER(AO814),(AP814-AO814),0))+AY813</f>
        <v>-4.6502699817143611E-2</v>
      </c>
      <c r="BA813" s="167">
        <f>H814</f>
        <v>0</v>
      </c>
      <c r="BB813" s="165">
        <f>-(IF(ISNUMBER(AQ813),(AR813-AQ813),0)+IF(ISNUMBER(AQ814),(AR814-AQ814),0))+BA813</f>
        <v>-0.70445324706689161</v>
      </c>
      <c r="BC813" s="92"/>
    </row>
    <row r="814" spans="2:55" x14ac:dyDescent="0.25">
      <c r="B814" s="122">
        <v>1</v>
      </c>
      <c r="C814" s="98" t="str">
        <f t="shared" si="54"/>
        <v>CCW</v>
      </c>
      <c r="D814" s="120">
        <f t="shared" si="55"/>
        <v>2</v>
      </c>
      <c r="E814" s="150" t="str">
        <f t="shared" si="56"/>
        <v>1-2</v>
      </c>
      <c r="F814" s="151" t="str">
        <f t="shared" si="57"/>
        <v>a</v>
      </c>
      <c r="G814" s="98">
        <f t="shared" si="58"/>
        <v>0</v>
      </c>
      <c r="H814" s="120">
        <f t="shared" si="59"/>
        <v>0</v>
      </c>
      <c r="I814" s="120">
        <f t="shared" si="60"/>
        <v>0.3269175362335035</v>
      </c>
      <c r="J814" s="120">
        <f t="shared" si="61"/>
        <v>0.31596526625664761</v>
      </c>
      <c r="K814" s="120">
        <f t="shared" si="62"/>
        <v>0.87350751917863934</v>
      </c>
      <c r="L814" s="120">
        <f t="shared" si="63"/>
        <v>0.8302661721844784</v>
      </c>
      <c r="M814" s="120">
        <f t="shared" si="64"/>
        <v>0.27142857142857146</v>
      </c>
      <c r="N814" s="97" t="str">
        <f t="shared" si="65"/>
        <v>2-1</v>
      </c>
      <c r="O814" s="150" t="str">
        <f t="shared" si="66"/>
        <v>Wr_2-1</v>
      </c>
      <c r="P814" s="150">
        <f t="shared" ref="P814:P826" si="94">IF(ISNA(IF(ISNUMBER(D814),IF(B814&lt;D814,VLOOKUP(B814,$D$786:$L$791,COLUMNS($D$786:$L$791),FALSE),IF(AND(B814=D813,D814=B813),P813,"")),"")),"",IF(ISNUMBER(D814),IF(B814&lt;D814,VLOOKUP(B814,$D$786:$L$791,COLUMNS($D$786:$L$791),FALSE),IF(AND(B814=D813,D814=B813),P813,"")),""))</f>
        <v>173.85615754882386</v>
      </c>
      <c r="Q814" s="150">
        <f t="shared" si="67"/>
        <v>0.3269175362335035</v>
      </c>
      <c r="R814" s="150">
        <f t="shared" si="68"/>
        <v>-165.24973542814288</v>
      </c>
      <c r="S814" s="150">
        <f t="shared" si="69"/>
        <v>-54.023036369406775</v>
      </c>
      <c r="T814" s="150">
        <f t="shared" si="70"/>
        <v>0.26309831571811421</v>
      </c>
      <c r="U814" s="150">
        <f t="shared" si="71"/>
        <v>0.8302661721844784</v>
      </c>
      <c r="V814" s="150">
        <f t="shared" si="72"/>
        <v>1.0803403005730505</v>
      </c>
      <c r="W814" s="150">
        <f t="shared" si="73"/>
        <v>0.27142857142857146</v>
      </c>
      <c r="X814" s="151">
        <f t="shared" si="74"/>
        <v>0.35318218935710421</v>
      </c>
      <c r="Y814" s="122" t="str">
        <f t="shared" si="75"/>
        <v>Wt_2-1</v>
      </c>
      <c r="Z814" s="150">
        <f t="shared" si="76"/>
        <v>432.91229495301928</v>
      </c>
      <c r="AA814" s="150">
        <f t="shared" si="77"/>
        <v>-3.0588753712059726</v>
      </c>
      <c r="AB814" s="150">
        <f t="shared" ref="AB814:AB826" si="95">IF(Z814=0,0,IF(ISNUMBER(Z814),IF(AND(B814=D813,D814=B813),-1,1)*IF(VLOOKUP(IF(D814&lt;B814,D814,B814),$B$813:$H$826,COLUMNS($B$813:$H$826),FALSE)&gt;VLOOKUP(IF(D814&gt;B814,D814,B814),$B$813:$H$826,COLUMNS($B$813:$H$826),FALSE),-1,1)*IF(OR(AND(ISODD(B814),C814="CW"),AND(ISEVEN(B814),C814="CCW")),1,-1)*IF(OR(AND(B814&lt;D814,ISEVEN(B814)),AND(B814&gt;D814,ISODD(B814))),-1,1)*IF(ISNUMBER(Z814),Z814*(($T$772*K814)/(Z814)),""),""))</f>
        <v>-0.65513063938397953</v>
      </c>
      <c r="AC814" s="150">
        <f t="shared" si="78"/>
        <v>134.52061166394117</v>
      </c>
      <c r="AD814" s="150">
        <f t="shared" si="79"/>
        <v>-411.48178593839253</v>
      </c>
      <c r="AE814" s="150">
        <f t="shared" si="80"/>
        <v>0.8302661721844784</v>
      </c>
      <c r="AF814" s="150">
        <f t="shared" si="81"/>
        <v>0.62669474361304989</v>
      </c>
      <c r="AG814" s="150">
        <f t="shared" si="82"/>
        <v>0.27142857142857146</v>
      </c>
      <c r="AH814" s="151">
        <f t="shared" si="83"/>
        <v>0.89412820056693032</v>
      </c>
      <c r="AI814" s="150" t="str">
        <f t="shared" si="84"/>
        <v>W_2-1 (exclude axial)</v>
      </c>
      <c r="AJ814" s="150">
        <f t="shared" si="85"/>
        <v>466.51797247172743</v>
      </c>
      <c r="AK814" s="150">
        <f t="shared" si="86"/>
        <v>15.148652655371029</v>
      </c>
      <c r="AL814" s="150">
        <f t="shared" si="87"/>
        <v>0.70598645765578982</v>
      </c>
      <c r="AM814" s="150">
        <f t="shared" si="88"/>
        <v>-30.729123764201717</v>
      </c>
      <c r="AN814" s="150">
        <f t="shared" si="89"/>
        <v>-465.50482230779932</v>
      </c>
      <c r="AO814" s="150">
        <f t="shared" si="90"/>
        <v>0.8302661721844784</v>
      </c>
      <c r="AP814" s="150">
        <f t="shared" si="91"/>
        <v>0.87676887200162201</v>
      </c>
      <c r="AQ814" s="150">
        <f t="shared" si="92"/>
        <v>0.27142857142857146</v>
      </c>
      <c r="AR814" s="151">
        <f t="shared" si="93"/>
        <v>0.97588181849546307</v>
      </c>
      <c r="AS814" s="170"/>
      <c r="AT814" s="167"/>
      <c r="AU814" s="167"/>
      <c r="AV814" s="172"/>
      <c r="AW814" s="167"/>
      <c r="AX814" s="167"/>
      <c r="AY814" s="167"/>
      <c r="AZ814" s="167"/>
      <c r="BA814" s="167"/>
      <c r="BB814" s="165"/>
      <c r="BC814" s="92"/>
    </row>
    <row r="815" spans="2:55" x14ac:dyDescent="0.25">
      <c r="B815" s="122">
        <v>2</v>
      </c>
      <c r="C815" s="98" t="str">
        <f t="shared" si="54"/>
        <v>CW</v>
      </c>
      <c r="D815" s="120">
        <f t="shared" si="55"/>
        <v>1</v>
      </c>
      <c r="E815" s="150" t="str">
        <f t="shared" si="56"/>
        <v>2-1</v>
      </c>
      <c r="F815" s="151" t="str">
        <f t="shared" si="57"/>
        <v>b</v>
      </c>
      <c r="G815" s="98">
        <f t="shared" si="58"/>
        <v>3.0588753712059726</v>
      </c>
      <c r="H815" s="120">
        <f t="shared" si="59"/>
        <v>1</v>
      </c>
      <c r="I815" s="120">
        <f t="shared" si="60"/>
        <v>0.3269175362335035</v>
      </c>
      <c r="J815" s="120">
        <f t="shared" si="61"/>
        <v>0.31596526625664761</v>
      </c>
      <c r="K815" s="120">
        <f t="shared" si="62"/>
        <v>2.3446780777952951</v>
      </c>
      <c r="L815" s="120">
        <f t="shared" si="63"/>
        <v>0.83026617218447774</v>
      </c>
      <c r="M815" s="120">
        <f t="shared" si="64"/>
        <v>0.27142857142857135</v>
      </c>
      <c r="N815" s="97" t="str">
        <f t="shared" si="65"/>
        <v>1-2</v>
      </c>
      <c r="O815" s="150" t="str">
        <f t="shared" si="66"/>
        <v>Wr_1-2</v>
      </c>
      <c r="P815" s="150">
        <f t="shared" si="94"/>
        <v>173.85615754882386</v>
      </c>
      <c r="Q815" s="150">
        <f t="shared" si="67"/>
        <v>0.3269175362335035</v>
      </c>
      <c r="R815" s="150">
        <f t="shared" si="68"/>
        <v>165.24973542814288</v>
      </c>
      <c r="S815" s="150">
        <f t="shared" si="69"/>
        <v>54.023036369406775</v>
      </c>
      <c r="T815" s="150">
        <f t="shared" si="70"/>
        <v>0.70621126850651705</v>
      </c>
      <c r="U815" s="150">
        <f t="shared" si="71"/>
        <v>0.83026617218447774</v>
      </c>
      <c r="V815" s="150">
        <f t="shared" si="72"/>
        <v>0.15901456440462658</v>
      </c>
      <c r="W815" s="150">
        <f t="shared" si="73"/>
        <v>0.27142857142857135</v>
      </c>
      <c r="X815" s="151">
        <f t="shared" si="74"/>
        <v>5.1984649620404416E-2</v>
      </c>
      <c r="Y815" s="122" t="str">
        <f t="shared" si="75"/>
        <v>Wt_1-2</v>
      </c>
      <c r="Z815" s="150">
        <f t="shared" si="76"/>
        <v>432.91229495301928</v>
      </c>
      <c r="AA815" s="150">
        <f t="shared" si="77"/>
        <v>-3.0588753712059726</v>
      </c>
      <c r="AB815" s="150">
        <f t="shared" si="95"/>
        <v>1.7585085583464712</v>
      </c>
      <c r="AC815" s="150">
        <f t="shared" si="78"/>
        <v>-134.52061166394117</v>
      </c>
      <c r="AD815" s="150">
        <f t="shared" si="79"/>
        <v>411.48178593839253</v>
      </c>
      <c r="AE815" s="150">
        <f t="shared" si="80"/>
        <v>0.83026617218447774</v>
      </c>
      <c r="AF815" s="150">
        <f t="shared" si="81"/>
        <v>1.376694743613049</v>
      </c>
      <c r="AG815" s="150">
        <f t="shared" si="82"/>
        <v>0.27142857142857135</v>
      </c>
      <c r="AH815" s="151">
        <f t="shared" si="83"/>
        <v>-1.4000283278375496</v>
      </c>
      <c r="AI815" s="150" t="str">
        <f t="shared" si="84"/>
        <v>W_1-2 (exclude axial)</v>
      </c>
      <c r="AJ815" s="150">
        <f t="shared" si="85"/>
        <v>466.51797247172743</v>
      </c>
      <c r="AK815" s="150">
        <f t="shared" si="86"/>
        <v>15.148652655371029</v>
      </c>
      <c r="AL815" s="150">
        <f t="shared" si="87"/>
        <v>1.8950162810760673</v>
      </c>
      <c r="AM815" s="150">
        <f t="shared" si="88"/>
        <v>30.729123764201717</v>
      </c>
      <c r="AN815" s="150">
        <f t="shared" si="89"/>
        <v>465.50482230779932</v>
      </c>
      <c r="AO815" s="150">
        <f t="shared" si="90"/>
        <v>0.83026617218447774</v>
      </c>
      <c r="AP815" s="150">
        <f t="shared" si="91"/>
        <v>0.70544313583319784</v>
      </c>
      <c r="AQ815" s="150">
        <f t="shared" si="92"/>
        <v>0.27142857142857135</v>
      </c>
      <c r="AR815" s="151">
        <f t="shared" si="93"/>
        <v>-1.6194722496457166</v>
      </c>
      <c r="AS815" s="170" t="str">
        <f t="shared" ref="AS815" si="96">IF(ISNA(_xlfn.CONCAT("W_",F816,B816)),"",_xlfn.CONCAT("W_",F816,B816))</f>
        <v>W_b2</v>
      </c>
      <c r="AT815" s="167">
        <f t="shared" ref="AT815:AU815" si="97">IF(AND(ISNUMBER(AM816),NOT(ISNUMBER(AM815))),AM816,IF(AND(ISNUMBER(AM815),NOT(ISNUMBER(AM816))),AM815,AM815+AM816))</f>
        <v>30.729123764201717</v>
      </c>
      <c r="AU815" s="167">
        <f t="shared" si="97"/>
        <v>465.50482230779932</v>
      </c>
      <c r="AV815" s="172">
        <f t="shared" ref="AV815" si="98">IF(ISNUMBER(SQRT(AT815^2+AU815^2)),SQRT(AT815^2+AU815^2),"")</f>
        <v>466.51797247172743</v>
      </c>
      <c r="AW815" s="167">
        <f t="shared" ref="AW815" si="99">IF(ISNUMBER(AT815),(AU815/AT815),"")</f>
        <v>15.148652655371029</v>
      </c>
      <c r="AX815" s="167">
        <f>IF(ISNUMBER(AV815),IF(ISNUMBER(AL815),AL815,AL816)*(AV815/IF(ISNUMBER(AJ815),AJ815,AJ816)),"")*(SIGN(AL815)*SIGN(AL816)*SIGN(AB816)*SIGN(AB815))</f>
        <v>0</v>
      </c>
      <c r="AY815" s="167">
        <f>G816</f>
        <v>3.0588753712059726</v>
      </c>
      <c r="AZ815" s="168">
        <f>-(IF(ISNUMBER(AO815),(AP815-AO815),0)+IF(ISNUMBER(AO816),(AP816-AO816),0))+AY815</f>
        <v>3.1836984075572525</v>
      </c>
      <c r="BA815" s="167">
        <f>H816</f>
        <v>1</v>
      </c>
      <c r="BB815" s="165">
        <f t="shared" ref="BB815" si="100">-(IF(ISNUMBER(AQ815),(AR815-AQ815),0)+IF(ISNUMBER(AQ816),(AR816-AQ816),0))+BA815</f>
        <v>2.8909008210742879</v>
      </c>
      <c r="BC815" s="92"/>
    </row>
    <row r="816" spans="2:55" x14ac:dyDescent="0.25">
      <c r="B816" s="122">
        <v>2</v>
      </c>
      <c r="C816" s="98" t="str">
        <f t="shared" si="54"/>
        <v>CW</v>
      </c>
      <c r="D816" s="120">
        <f t="shared" si="55"/>
        <v>3</v>
      </c>
      <c r="E816" s="150" t="str">
        <f t="shared" si="56"/>
        <v>2-3</v>
      </c>
      <c r="F816" s="151" t="str">
        <f t="shared" si="57"/>
        <v>b</v>
      </c>
      <c r="G816" s="98">
        <f t="shared" si="58"/>
        <v>3.0588753712059726</v>
      </c>
      <c r="H816" s="120">
        <f t="shared" si="59"/>
        <v>1</v>
      </c>
      <c r="I816" s="120">
        <f t="shared" si="60"/>
        <v>0</v>
      </c>
      <c r="J816" s="120">
        <f t="shared" si="61"/>
        <v>0</v>
      </c>
      <c r="K816" s="120">
        <f t="shared" si="62"/>
        <v>2.3446780777952951</v>
      </c>
      <c r="L816" s="120">
        <f t="shared" si="63"/>
        <v>5.4035534490012678</v>
      </c>
      <c r="M816" s="120">
        <f t="shared" si="64"/>
        <v>1</v>
      </c>
      <c r="N816" s="97" t="str">
        <f t="shared" si="65"/>
        <v>3-2</v>
      </c>
      <c r="O816" s="150" t="str">
        <f t="shared" si="66"/>
        <v>Wr_3-2</v>
      </c>
      <c r="P816" s="150">
        <f t="shared" si="94"/>
        <v>0</v>
      </c>
      <c r="Q816" s="150">
        <f t="shared" si="67"/>
        <v>0</v>
      </c>
      <c r="R816" s="150">
        <f t="shared" si="68"/>
        <v>0</v>
      </c>
      <c r="S816" s="150">
        <f t="shared" si="69"/>
        <v>0</v>
      </c>
      <c r="T816" s="150">
        <f t="shared" si="70"/>
        <v>0</v>
      </c>
      <c r="U816" s="150">
        <f t="shared" si="71"/>
        <v>5.4035534490012678</v>
      </c>
      <c r="V816" s="150">
        <f t="shared" si="72"/>
        <v>5.4035534490012678</v>
      </c>
      <c r="W816" s="150">
        <f t="shared" si="73"/>
        <v>1</v>
      </c>
      <c r="X816" s="151">
        <f t="shared" si="74"/>
        <v>1</v>
      </c>
      <c r="Y816" s="122" t="str">
        <f t="shared" si="75"/>
        <v>Wt_3-2</v>
      </c>
      <c r="Z816" s="150">
        <f t="shared" si="76"/>
        <v>0</v>
      </c>
      <c r="AA816" s="150">
        <f t="shared" si="77"/>
        <v>-9.9999999999999997E+98</v>
      </c>
      <c r="AB816" s="150">
        <f t="shared" si="95"/>
        <v>0</v>
      </c>
      <c r="AC816" s="150">
        <f t="shared" si="78"/>
        <v>0</v>
      </c>
      <c r="AD816" s="150">
        <f t="shared" si="79"/>
        <v>0</v>
      </c>
      <c r="AE816" s="150">
        <f t="shared" si="80"/>
        <v>5.4035534490012678</v>
      </c>
      <c r="AF816" s="150">
        <f t="shared" si="81"/>
        <v>5.4035534490012678</v>
      </c>
      <c r="AG816" s="150">
        <f t="shared" si="82"/>
        <v>1</v>
      </c>
      <c r="AH816" s="151">
        <f t="shared" si="83"/>
        <v>1</v>
      </c>
      <c r="AI816" s="150" t="str">
        <f t="shared" si="84"/>
        <v>W_3-2 (exclude axial)</v>
      </c>
      <c r="AJ816" s="150">
        <f t="shared" si="85"/>
        <v>0</v>
      </c>
      <c r="AK816" s="150">
        <f t="shared" si="86"/>
        <v>-9.9999999999999997E+98</v>
      </c>
      <c r="AL816" s="150">
        <f t="shared" si="87"/>
        <v>0</v>
      </c>
      <c r="AM816" s="150">
        <f t="shared" si="88"/>
        <v>0</v>
      </c>
      <c r="AN816" s="150">
        <f t="shared" si="89"/>
        <v>0</v>
      </c>
      <c r="AO816" s="150">
        <f t="shared" si="90"/>
        <v>5.4035534490012678</v>
      </c>
      <c r="AP816" s="150">
        <f t="shared" si="91"/>
        <v>5.4035534490012678</v>
      </c>
      <c r="AQ816" s="150">
        <f t="shared" si="92"/>
        <v>1</v>
      </c>
      <c r="AR816" s="151">
        <f t="shared" si="93"/>
        <v>1</v>
      </c>
      <c r="AS816" s="170"/>
      <c r="AT816" s="167"/>
      <c r="AU816" s="167"/>
      <c r="AV816" s="172"/>
      <c r="AW816" s="167"/>
      <c r="AX816" s="167"/>
      <c r="AY816" s="167"/>
      <c r="AZ816" s="169"/>
      <c r="BA816" s="167"/>
      <c r="BB816" s="165"/>
      <c r="BC816" s="92"/>
    </row>
    <row r="817" spans="2:55" x14ac:dyDescent="0.25">
      <c r="B817" s="122">
        <v>3</v>
      </c>
      <c r="C817" s="98" t="str">
        <f t="shared" si="54"/>
        <v>CW</v>
      </c>
      <c r="D817" s="120">
        <f t="shared" si="55"/>
        <v>2</v>
      </c>
      <c r="E817" s="150" t="str">
        <f t="shared" si="56"/>
        <v>3-2</v>
      </c>
      <c r="F817" s="151" t="str">
        <f t="shared" si="57"/>
        <v>b</v>
      </c>
      <c r="G817" s="98">
        <f t="shared" si="58"/>
        <v>3.0588753712059726</v>
      </c>
      <c r="H817" s="120">
        <f t="shared" si="59"/>
        <v>1</v>
      </c>
      <c r="I817" s="120">
        <f t="shared" si="60"/>
        <v>0</v>
      </c>
      <c r="J817" s="120">
        <f t="shared" si="61"/>
        <v>0</v>
      </c>
      <c r="K817" s="120">
        <f t="shared" si="62"/>
        <v>0.58616951944882378</v>
      </c>
      <c r="L817" s="120">
        <f t="shared" si="63"/>
        <v>3.6450448906547965</v>
      </c>
      <c r="M817" s="120">
        <f t="shared" si="64"/>
        <v>1</v>
      </c>
      <c r="N817" s="97" t="str">
        <f t="shared" si="65"/>
        <v>2-3</v>
      </c>
      <c r="O817" s="150" t="str">
        <f t="shared" si="66"/>
        <v>Wr_2-3</v>
      </c>
      <c r="P817" s="150">
        <f t="shared" si="94"/>
        <v>0</v>
      </c>
      <c r="Q817" s="150">
        <f t="shared" si="67"/>
        <v>0</v>
      </c>
      <c r="R817" s="150">
        <f t="shared" si="68"/>
        <v>0</v>
      </c>
      <c r="S817" s="150">
        <f t="shared" si="69"/>
        <v>0</v>
      </c>
      <c r="T817" s="150">
        <f t="shared" si="70"/>
        <v>0</v>
      </c>
      <c r="U817" s="150">
        <f t="shared" si="71"/>
        <v>3.6450448906547965</v>
      </c>
      <c r="V817" s="150">
        <f t="shared" si="72"/>
        <v>3.6450448906547965</v>
      </c>
      <c r="W817" s="150">
        <f t="shared" si="73"/>
        <v>1</v>
      </c>
      <c r="X817" s="151">
        <f t="shared" si="74"/>
        <v>1</v>
      </c>
      <c r="Y817" s="122" t="str">
        <f t="shared" si="75"/>
        <v>Wt_2-3</v>
      </c>
      <c r="Z817" s="150">
        <f t="shared" si="76"/>
        <v>0</v>
      </c>
      <c r="AA817" s="150">
        <f>IF(ISNUMBER(Q817),IF(Q817=0,-1E+99,-1/Q817),"")</f>
        <v>-9.9999999999999997E+98</v>
      </c>
      <c r="AB817" s="150">
        <f t="shared" si="95"/>
        <v>0</v>
      </c>
      <c r="AC817" s="150">
        <f t="shared" si="78"/>
        <v>0</v>
      </c>
      <c r="AD817" s="150">
        <f t="shared" si="79"/>
        <v>0</v>
      </c>
      <c r="AE817" s="150">
        <f t="shared" si="80"/>
        <v>3.6450448906547965</v>
      </c>
      <c r="AF817" s="150">
        <f t="shared" si="81"/>
        <v>3.6450448906547965</v>
      </c>
      <c r="AG817" s="150">
        <f t="shared" si="82"/>
        <v>1</v>
      </c>
      <c r="AH817" s="151">
        <f t="shared" si="83"/>
        <v>1</v>
      </c>
      <c r="AI817" s="150" t="str">
        <f t="shared" si="84"/>
        <v>W_2-3 (exclude axial)</v>
      </c>
      <c r="AJ817" s="150">
        <f t="shared" si="85"/>
        <v>0</v>
      </c>
      <c r="AK817" s="150">
        <f t="shared" si="86"/>
        <v>-9.9999999999999997E+98</v>
      </c>
      <c r="AL817" s="150">
        <f t="shared" si="87"/>
        <v>0</v>
      </c>
      <c r="AM817" s="150">
        <f t="shared" si="88"/>
        <v>0</v>
      </c>
      <c r="AN817" s="150">
        <f t="shared" si="89"/>
        <v>0</v>
      </c>
      <c r="AO817" s="150">
        <f t="shared" si="90"/>
        <v>3.6450448906547965</v>
      </c>
      <c r="AP817" s="150">
        <f t="shared" si="91"/>
        <v>3.6450448906547965</v>
      </c>
      <c r="AQ817" s="150">
        <f t="shared" si="92"/>
        <v>1</v>
      </c>
      <c r="AR817" s="151">
        <f t="shared" si="93"/>
        <v>1</v>
      </c>
      <c r="AS817" s="170" t="str">
        <f t="shared" ref="AS817" si="101">IF(ISNA(_xlfn.CONCAT("W_",F818,B818)),"",_xlfn.CONCAT("W_",F818,B818))</f>
        <v>W_b3</v>
      </c>
      <c r="AT817" s="167">
        <f t="shared" ref="AT817:AU817" si="102">IF(AND(ISNUMBER(AM818),NOT(ISNUMBER(AM817))),AM818,IF(AND(ISNUMBER(AM817),NOT(ISNUMBER(AM818))),AM817,AM817+AM818))</f>
        <v>-1255.5374863907509</v>
      </c>
      <c r="AU817" s="167">
        <f t="shared" si="102"/>
        <v>-1380.5252328348436</v>
      </c>
      <c r="AV817" s="172">
        <f t="shared" ref="AV817" si="103">IF(ISNUMBER(SQRT(AT817^2+AU817^2)),SQRT(AT817^2+AU817^2),"")</f>
        <v>1866.07188988691</v>
      </c>
      <c r="AW817" s="167">
        <f t="shared" ref="AW817" si="104">IF(ISNUMBER(AT817),(AU817/AT817),"")</f>
        <v>1.0995491953039096</v>
      </c>
      <c r="AX817" s="168" t="e">
        <f t="shared" ref="AX817" si="105">IF(ISNUMBER(AV817),IF(ISNUMBER(AL817),AL817,AL818)*(AV817/IF(ISNUMBER(AJ817),AJ817,AJ818)),"")</f>
        <v>#DIV/0!</v>
      </c>
      <c r="AY817" s="167">
        <f>G818</f>
        <v>3.0588753712059726</v>
      </c>
      <c r="AZ817" s="168">
        <f t="shared" ref="AZ817" si="106">-(IF(ISNUMBER(AO817),(AP817-AO817),0)+IF(ISNUMBER(AO818),(AP818-AO818),0))+AY817</f>
        <v>2.7401223811542352</v>
      </c>
      <c r="BA817" s="167">
        <f>H818</f>
        <v>1</v>
      </c>
      <c r="BB817" s="165">
        <f t="shared" ref="BB817" si="107">-(IF(ISNUMBER(AQ817),(AR817-AQ817),0)+IF(ISNUMBER(AQ818),(AR818-AQ818),0))+BA817</f>
        <v>0.64951540628789717</v>
      </c>
      <c r="BC817" s="92"/>
    </row>
    <row r="818" spans="2:55" x14ac:dyDescent="0.25">
      <c r="B818" s="122">
        <v>3</v>
      </c>
      <c r="C818" s="98" t="str">
        <f t="shared" si="54"/>
        <v>CW</v>
      </c>
      <c r="D818" s="120">
        <f t="shared" si="55"/>
        <v>4</v>
      </c>
      <c r="E818" s="150" t="str">
        <f t="shared" si="56"/>
        <v>3-4</v>
      </c>
      <c r="F818" s="151" t="str">
        <f t="shared" si="57"/>
        <v>b</v>
      </c>
      <c r="G818" s="98">
        <f t="shared" si="58"/>
        <v>3.0588753712059726</v>
      </c>
      <c r="H818" s="120">
        <f t="shared" si="59"/>
        <v>1</v>
      </c>
      <c r="I818" s="120">
        <f t="shared" si="60"/>
        <v>-2.0654348257363253</v>
      </c>
      <c r="J818" s="120">
        <f t="shared" si="61"/>
        <v>-1.1199011911596259</v>
      </c>
      <c r="K818" s="120">
        <f t="shared" si="62"/>
        <v>0.58616951944882378</v>
      </c>
      <c r="L818" s="120">
        <f t="shared" si="63"/>
        <v>2.8034394696115141</v>
      </c>
      <c r="M818" s="120">
        <f t="shared" si="64"/>
        <v>1.5275862068965518</v>
      </c>
      <c r="N818" s="97" t="str">
        <f t="shared" si="65"/>
        <v>4-3</v>
      </c>
      <c r="O818" s="150" t="str">
        <f t="shared" si="66"/>
        <v>Wr_4-3</v>
      </c>
      <c r="P818" s="150">
        <f t="shared" si="94"/>
        <v>695.42463019529555</v>
      </c>
      <c r="Q818" s="150">
        <f t="shared" si="67"/>
        <v>-2.0654348257363253</v>
      </c>
      <c r="R818" s="150">
        <f t="shared" si="68"/>
        <v>303.0461521983608</v>
      </c>
      <c r="S818" s="150">
        <f t="shared" si="69"/>
        <v>-625.92207655588516</v>
      </c>
      <c r="T818" s="150">
        <f t="shared" si="70"/>
        <v>0.17655281712662929</v>
      </c>
      <c r="U818" s="150">
        <f t="shared" si="71"/>
        <v>2.8034394696115141</v>
      </c>
      <c r="V818" s="150">
        <f t="shared" si="72"/>
        <v>2.7265028044908375</v>
      </c>
      <c r="W818" s="150">
        <f t="shared" si="73"/>
        <v>1.5275862068965518</v>
      </c>
      <c r="X818" s="151">
        <f t="shared" si="74"/>
        <v>1.6864938744128106</v>
      </c>
      <c r="Y818" s="122" t="str">
        <f t="shared" si="75"/>
        <v>Wt_4-3</v>
      </c>
      <c r="Z818" s="150">
        <f t="shared" si="76"/>
        <v>1731.6491798120774</v>
      </c>
      <c r="AA818" s="150">
        <f t="shared" ref="AA818:AA826" si="108">IF(ISNUMBER(Q818),IF(Q818=0,-1E+99,-1/Q818),"")</f>
        <v>0.48415955204178424</v>
      </c>
      <c r="AB818" s="150">
        <f t="shared" si="95"/>
        <v>0.43962713958661787</v>
      </c>
      <c r="AC818" s="150">
        <f t="shared" si="78"/>
        <v>-1558.5836385891116</v>
      </c>
      <c r="AD818" s="150">
        <f t="shared" si="79"/>
        <v>-754.60315627895841</v>
      </c>
      <c r="AE818" s="150">
        <f t="shared" si="80"/>
        <v>2.8034394696115141</v>
      </c>
      <c r="AF818" s="150">
        <f t="shared" si="81"/>
        <v>3.1991291247839282</v>
      </c>
      <c r="AG818" s="150">
        <f t="shared" si="82"/>
        <v>1.5275862068965518</v>
      </c>
      <c r="AH818" s="151">
        <f t="shared" si="83"/>
        <v>1.7191631330923958</v>
      </c>
      <c r="AI818" s="150" t="str">
        <f t="shared" si="84"/>
        <v>W_4-3 (exclude axial)</v>
      </c>
      <c r="AJ818" s="150">
        <f t="shared" si="85"/>
        <v>1866.07188988691</v>
      </c>
      <c r="AK818" s="150">
        <f t="shared" si="86"/>
        <v>1.0995491953039096</v>
      </c>
      <c r="AL818" s="150">
        <f t="shared" si="87"/>
        <v>0.47375407026901689</v>
      </c>
      <c r="AM818" s="150">
        <f t="shared" si="88"/>
        <v>-1255.5374863907509</v>
      </c>
      <c r="AN818" s="150">
        <f t="shared" si="89"/>
        <v>-1380.5252328348436</v>
      </c>
      <c r="AO818" s="150">
        <f t="shared" si="90"/>
        <v>2.8034394696115141</v>
      </c>
      <c r="AP818" s="150">
        <f t="shared" si="91"/>
        <v>3.1221924596632515</v>
      </c>
      <c r="AQ818" s="150">
        <f t="shared" si="92"/>
        <v>1.5275862068965518</v>
      </c>
      <c r="AR818" s="151">
        <f t="shared" si="93"/>
        <v>1.8780708006086546</v>
      </c>
      <c r="AS818" s="170"/>
      <c r="AT818" s="167"/>
      <c r="AU818" s="167"/>
      <c r="AV818" s="172"/>
      <c r="AW818" s="167"/>
      <c r="AX818" s="169"/>
      <c r="AY818" s="167"/>
      <c r="AZ818" s="169"/>
      <c r="BA818" s="167"/>
      <c r="BB818" s="165"/>
      <c r="BC818" s="92"/>
    </row>
    <row r="819" spans="2:55" x14ac:dyDescent="0.25">
      <c r="B819" s="122">
        <v>4</v>
      </c>
      <c r="C819" s="98" t="str">
        <f t="shared" si="54"/>
        <v>CCW</v>
      </c>
      <c r="D819" s="120">
        <f t="shared" si="55"/>
        <v>3</v>
      </c>
      <c r="E819" s="150" t="str">
        <f t="shared" si="56"/>
        <v>4-3</v>
      </c>
      <c r="F819" s="151" t="str">
        <f t="shared" si="57"/>
        <v>c</v>
      </c>
      <c r="G819" s="98">
        <f t="shared" si="58"/>
        <v>2.1873881775307611</v>
      </c>
      <c r="H819" s="120">
        <f t="shared" si="59"/>
        <v>2.8</v>
      </c>
      <c r="I819" s="120">
        <f t="shared" si="60"/>
        <v>-2.0654348257363253</v>
      </c>
      <c r="J819" s="120">
        <f t="shared" si="61"/>
        <v>-1.1199011911596259</v>
      </c>
      <c r="K819" s="120">
        <f t="shared" si="62"/>
        <v>1.4137029586706926</v>
      </c>
      <c r="L819" s="120">
        <f t="shared" si="63"/>
        <v>2.8034394696115141</v>
      </c>
      <c r="M819" s="120">
        <f t="shared" si="64"/>
        <v>1.5275862068965516</v>
      </c>
      <c r="N819" s="97" t="str">
        <f t="shared" si="65"/>
        <v>3-4</v>
      </c>
      <c r="O819" s="150" t="str">
        <f t="shared" si="66"/>
        <v>Wr_3-4</v>
      </c>
      <c r="P819" s="150">
        <f t="shared" si="94"/>
        <v>695.42463019529555</v>
      </c>
      <c r="Q819" s="150">
        <f t="shared" si="67"/>
        <v>-2.0654348257363253</v>
      </c>
      <c r="R819" s="150">
        <f t="shared" si="68"/>
        <v>-303.0461521983608</v>
      </c>
      <c r="S819" s="150">
        <f t="shared" si="69"/>
        <v>625.92207655588516</v>
      </c>
      <c r="T819" s="150">
        <f t="shared" si="70"/>
        <v>0.42580385307010588</v>
      </c>
      <c r="U819" s="150">
        <f t="shared" si="71"/>
        <v>2.8034394696115141</v>
      </c>
      <c r="V819" s="150">
        <f t="shared" si="72"/>
        <v>2.9889926031378518</v>
      </c>
      <c r="W819" s="150">
        <f t="shared" si="73"/>
        <v>1.5275862068965516</v>
      </c>
      <c r="X819" s="151">
        <f t="shared" si="74"/>
        <v>1.1443383028867509</v>
      </c>
      <c r="Y819" s="122" t="str">
        <f t="shared" si="75"/>
        <v>Wt_3-4</v>
      </c>
      <c r="Z819" s="150">
        <f t="shared" si="76"/>
        <v>1731.6491798120774</v>
      </c>
      <c r="AA819" s="150">
        <f t="shared" si="108"/>
        <v>0.48415955204178424</v>
      </c>
      <c r="AB819" s="150">
        <f t="shared" si="95"/>
        <v>-1.0602772190030194</v>
      </c>
      <c r="AC819" s="150">
        <f t="shared" si="78"/>
        <v>1558.5836385891116</v>
      </c>
      <c r="AD819" s="150">
        <f t="shared" si="79"/>
        <v>754.60315627895841</v>
      </c>
      <c r="AE819" s="150">
        <f t="shared" si="80"/>
        <v>2.8034394696115141</v>
      </c>
      <c r="AF819" s="150">
        <f t="shared" si="81"/>
        <v>1.8491291247839281</v>
      </c>
      <c r="AG819" s="150">
        <f t="shared" si="82"/>
        <v>1.5275862068965516</v>
      </c>
      <c r="AH819" s="151">
        <f t="shared" si="83"/>
        <v>1.0655477378359868</v>
      </c>
      <c r="AI819" s="150" t="str">
        <f t="shared" si="84"/>
        <v>W_3-4 (exclude axial)</v>
      </c>
      <c r="AJ819" s="150">
        <f t="shared" si="85"/>
        <v>1866.07188988691</v>
      </c>
      <c r="AK819" s="150">
        <f t="shared" si="86"/>
        <v>1.0995491953039096</v>
      </c>
      <c r="AL819" s="150">
        <f t="shared" si="87"/>
        <v>1.1425833459429231</v>
      </c>
      <c r="AM819" s="150">
        <f t="shared" si="88"/>
        <v>1255.5374863907509</v>
      </c>
      <c r="AN819" s="150">
        <f t="shared" si="89"/>
        <v>1380.5252328348436</v>
      </c>
      <c r="AO819" s="150">
        <f t="shared" si="90"/>
        <v>2.8034394696115141</v>
      </c>
      <c r="AP819" s="150">
        <f t="shared" si="91"/>
        <v>2.0346822583102657</v>
      </c>
      <c r="AQ819" s="150">
        <f t="shared" si="92"/>
        <v>1.5275862068965516</v>
      </c>
      <c r="AR819" s="151">
        <f t="shared" si="93"/>
        <v>0.68229983382618609</v>
      </c>
      <c r="AS819" s="170" t="str">
        <f t="shared" ref="AS819" si="109">IF(ISNA(_xlfn.CONCAT("W_",F820,B820)),"",_xlfn.CONCAT("W_",F820,B820))</f>
        <v>W_c4</v>
      </c>
      <c r="AT819" s="167">
        <f t="shared" ref="AT819:AU819" si="110">IF(AND(ISNUMBER(AM820),NOT(ISNUMBER(AM819))),AM820,IF(AND(ISNUMBER(AM819),NOT(ISNUMBER(AM820))),AM819,AM819+AM820))</f>
        <v>144.98930095319406</v>
      </c>
      <c r="AU819" s="167">
        <f t="shared" si="110"/>
        <v>-119.11039825940748</v>
      </c>
      <c r="AV819" s="172">
        <f t="shared" ref="AV819" si="111">IF(ISNUMBER(SQRT(AT819^2+AU819^2)),SQRT(AT819^2+AU819^2),"")</f>
        <v>187.64110520994737</v>
      </c>
      <c r="AW819" s="167">
        <f t="shared" ref="AW819" si="112">IF(ISNUMBER(AT819),(AU819/AT819),"")</f>
        <v>-0.82151163897161694</v>
      </c>
      <c r="AX819" s="168">
        <f t="shared" ref="AX819" si="113">IF(ISNUMBER(AV819),IF(ISNUMBER(AL819),AL819,AL820)*(AV819/IF(ISNUMBER(AJ819),AJ819,AJ820)),"")</f>
        <v>0.11489139458619829</v>
      </c>
      <c r="AY819" s="167">
        <f>G820</f>
        <v>2.1873881775307611</v>
      </c>
      <c r="AZ819" s="168">
        <f t="shared" ref="AZ819" si="114">-(IF(ISNUMBER(AO819),(AP819-AO819),0)+IF(ISNUMBER(AO820),(AP820-AO820),0))+AY819</f>
        <v>2.2761641574417304</v>
      </c>
      <c r="BA819" s="167">
        <f>H820</f>
        <v>2.8</v>
      </c>
      <c r="BB819" s="165">
        <f t="shared" ref="BB819" si="115">-(IF(ISNUMBER(AQ819),(AR819-AQ819),0)+IF(ISNUMBER(AQ820),(AR820-AQ820),0))+BA819</f>
        <v>2.7270694992420275</v>
      </c>
      <c r="BC819" s="92"/>
    </row>
    <row r="820" spans="2:55" x14ac:dyDescent="0.25">
      <c r="B820" s="122">
        <v>4</v>
      </c>
      <c r="C820" s="98" t="str">
        <f t="shared" si="54"/>
        <v>CCW</v>
      </c>
      <c r="D820" s="120">
        <f t="shared" si="55"/>
        <v>5</v>
      </c>
      <c r="E820" s="150" t="str">
        <f t="shared" si="56"/>
        <v>4-5</v>
      </c>
      <c r="F820" s="151" t="str">
        <f t="shared" si="57"/>
        <v>c</v>
      </c>
      <c r="G820" s="98">
        <f t="shared" si="58"/>
        <v>2.1873881775307611</v>
      </c>
      <c r="H820" s="120">
        <f t="shared" si="59"/>
        <v>2.8</v>
      </c>
      <c r="I820" s="120">
        <f t="shared" si="60"/>
        <v>-0.26125209901822977</v>
      </c>
      <c r="J820" s="120">
        <f t="shared" si="61"/>
        <v>-0.2555405171104026</v>
      </c>
      <c r="K820" s="120">
        <f t="shared" si="62"/>
        <v>1.4137029586706926</v>
      </c>
      <c r="L820" s="120">
        <f t="shared" si="63"/>
        <v>3.5551836933721468</v>
      </c>
      <c r="M820" s="120">
        <f t="shared" si="64"/>
        <v>2.4426605504587156</v>
      </c>
      <c r="N820" s="97" t="str">
        <f t="shared" si="65"/>
        <v>5-4</v>
      </c>
      <c r="O820" s="150" t="str">
        <f t="shared" si="66"/>
        <v>Wr_5-4</v>
      </c>
      <c r="P820" s="150">
        <f t="shared" si="94"/>
        <v>695.42463019529544</v>
      </c>
      <c r="Q820" s="150">
        <f t="shared" si="67"/>
        <v>-0.26125209901822977</v>
      </c>
      <c r="R820" s="150">
        <f t="shared" si="68"/>
        <v>-672.84197500809694</v>
      </c>
      <c r="S820" s="150">
        <f t="shared" si="69"/>
        <v>175.78137827843662</v>
      </c>
      <c r="T820" s="150">
        <f t="shared" si="70"/>
        <v>0.42580385307010588</v>
      </c>
      <c r="U820" s="150">
        <f t="shared" si="71"/>
        <v>3.5551836933721468</v>
      </c>
      <c r="V820" s="150">
        <f t="shared" si="72"/>
        <v>3.9671603376064621</v>
      </c>
      <c r="W820" s="150">
        <f t="shared" si="73"/>
        <v>2.4426605504587156</v>
      </c>
      <c r="X820" s="151">
        <f t="shared" si="74"/>
        <v>2.3350307874060143</v>
      </c>
      <c r="Y820" s="122" t="str">
        <f t="shared" si="75"/>
        <v>Wt_5-4</v>
      </c>
      <c r="Z820" s="150">
        <f t="shared" si="76"/>
        <v>1731.6491798120771</v>
      </c>
      <c r="AA820" s="150">
        <f t="shared" si="108"/>
        <v>3.8277204422775624</v>
      </c>
      <c r="AB820" s="150">
        <f t="shared" si="95"/>
        <v>1.0602772190030194</v>
      </c>
      <c r="AC820" s="150">
        <f t="shared" si="78"/>
        <v>-437.70621042945987</v>
      </c>
      <c r="AD820" s="150">
        <f t="shared" si="79"/>
        <v>-1675.4170093726877</v>
      </c>
      <c r="AE820" s="150">
        <f t="shared" si="80"/>
        <v>3.5551836933721468</v>
      </c>
      <c r="AF820" s="150">
        <f t="shared" si="81"/>
        <v>3.8231882805281101</v>
      </c>
      <c r="AG820" s="150">
        <f t="shared" si="82"/>
        <v>2.4426605504587156</v>
      </c>
      <c r="AH820" s="151">
        <f t="shared" si="83"/>
        <v>3.4685071873397546</v>
      </c>
      <c r="AI820" s="150" t="str">
        <f t="shared" si="84"/>
        <v>W_5-4 (exclude axial)</v>
      </c>
      <c r="AJ820" s="150">
        <f t="shared" si="85"/>
        <v>1866.0718898869097</v>
      </c>
      <c r="AK820" s="150">
        <f t="shared" si="86"/>
        <v>1.3503562031424989</v>
      </c>
      <c r="AL820" s="150">
        <f t="shared" si="87"/>
        <v>1.1425833459429231</v>
      </c>
      <c r="AM820" s="150">
        <f t="shared" si="88"/>
        <v>-1110.5481854375569</v>
      </c>
      <c r="AN820" s="150">
        <f t="shared" si="89"/>
        <v>-1499.635631094251</v>
      </c>
      <c r="AO820" s="150">
        <f t="shared" si="90"/>
        <v>3.5551836933721468</v>
      </c>
      <c r="AP820" s="150">
        <f t="shared" si="91"/>
        <v>4.2351649247624259</v>
      </c>
      <c r="AQ820" s="150">
        <f t="shared" si="92"/>
        <v>2.4426605504587156</v>
      </c>
      <c r="AR820" s="151">
        <f t="shared" si="93"/>
        <v>3.3608774242870534</v>
      </c>
      <c r="AS820" s="170"/>
      <c r="AT820" s="167"/>
      <c r="AU820" s="167"/>
      <c r="AV820" s="172"/>
      <c r="AW820" s="167"/>
      <c r="AX820" s="169"/>
      <c r="AY820" s="167"/>
      <c r="AZ820" s="169"/>
      <c r="BA820" s="167"/>
      <c r="BB820" s="165"/>
      <c r="BC820" s="92"/>
    </row>
    <row r="821" spans="2:55" x14ac:dyDescent="0.25">
      <c r="B821" s="122">
        <v>5</v>
      </c>
      <c r="C821" s="98" t="str">
        <f t="shared" si="54"/>
        <v>CW</v>
      </c>
      <c r="D821" s="120">
        <f t="shared" si="55"/>
        <v>4</v>
      </c>
      <c r="E821" s="150" t="str">
        <f t="shared" si="56"/>
        <v>5-4</v>
      </c>
      <c r="F821" s="151" t="str">
        <f t="shared" si="57"/>
        <v>d</v>
      </c>
      <c r="G821" s="98">
        <f t="shared" si="58"/>
        <v>5.8237225976944442</v>
      </c>
      <c r="H821" s="120">
        <f t="shared" si="59"/>
        <v>1.85</v>
      </c>
      <c r="I821" s="120">
        <f t="shared" si="60"/>
        <v>-0.26125209901822977</v>
      </c>
      <c r="J821" s="120">
        <f t="shared" si="61"/>
        <v>-0.2555405171104026</v>
      </c>
      <c r="K821" s="120">
        <f t="shared" si="62"/>
        <v>2.3446780777952951</v>
      </c>
      <c r="L821" s="120">
        <f t="shared" si="63"/>
        <v>3.5551836933721459</v>
      </c>
      <c r="M821" s="120">
        <f t="shared" si="64"/>
        <v>2.4426605504587156</v>
      </c>
      <c r="N821" s="97" t="str">
        <f t="shared" si="65"/>
        <v>4-5</v>
      </c>
      <c r="O821" s="150" t="str">
        <f t="shared" si="66"/>
        <v>Wr_4-5</v>
      </c>
      <c r="P821" s="150">
        <f t="shared" si="94"/>
        <v>695.42463019529544</v>
      </c>
      <c r="Q821" s="150">
        <f t="shared" si="67"/>
        <v>-0.26125209901822977</v>
      </c>
      <c r="R821" s="150">
        <f t="shared" si="68"/>
        <v>672.84197500809694</v>
      </c>
      <c r="S821" s="150">
        <f t="shared" si="69"/>
        <v>-175.78137827843662</v>
      </c>
      <c r="T821" s="150">
        <f t="shared" si="70"/>
        <v>0.70621126850651705</v>
      </c>
      <c r="U821" s="150">
        <f t="shared" si="71"/>
        <v>3.5551836933721459</v>
      </c>
      <c r="V821" s="150">
        <f t="shared" si="72"/>
        <v>2.8719053565932815</v>
      </c>
      <c r="W821" s="150">
        <f t="shared" si="73"/>
        <v>2.4426605504587156</v>
      </c>
      <c r="X821" s="151">
        <f t="shared" si="74"/>
        <v>2.6211684501558787</v>
      </c>
      <c r="Y821" s="122" t="str">
        <f t="shared" si="75"/>
        <v>Wt_4-5</v>
      </c>
      <c r="Z821" s="150">
        <f t="shared" si="76"/>
        <v>1731.6491798120771</v>
      </c>
      <c r="AA821" s="150">
        <f t="shared" si="108"/>
        <v>3.8277204422775624</v>
      </c>
      <c r="AB821" s="150">
        <f t="shared" si="95"/>
        <v>-1.7585085583464712</v>
      </c>
      <c r="AC821" s="150">
        <f t="shared" si="78"/>
        <v>437.70621042945987</v>
      </c>
      <c r="AD821" s="150">
        <f t="shared" si="79"/>
        <v>1675.4170093726877</v>
      </c>
      <c r="AE821" s="150">
        <f t="shared" si="80"/>
        <v>3.5551836933721459</v>
      </c>
      <c r="AF821" s="150">
        <f t="shared" si="81"/>
        <v>3.1106882805281093</v>
      </c>
      <c r="AG821" s="150">
        <f t="shared" si="82"/>
        <v>2.4426605504587156</v>
      </c>
      <c r="AH821" s="151">
        <f t="shared" si="83"/>
        <v>0.74125637221699203</v>
      </c>
      <c r="AI821" s="150" t="str">
        <f t="shared" si="84"/>
        <v>W_4-5 (exclude axial)</v>
      </c>
      <c r="AJ821" s="150">
        <f t="shared" si="85"/>
        <v>1866.0718898869097</v>
      </c>
      <c r="AK821" s="150">
        <f t="shared" si="86"/>
        <v>1.3503562031424989</v>
      </c>
      <c r="AL821" s="150">
        <f t="shared" si="87"/>
        <v>1.8950162810760673</v>
      </c>
      <c r="AM821" s="150">
        <f t="shared" si="88"/>
        <v>1110.5481854375569</v>
      </c>
      <c r="AN821" s="150">
        <f t="shared" si="89"/>
        <v>1499.635631094251</v>
      </c>
      <c r="AO821" s="150">
        <f t="shared" si="90"/>
        <v>3.5551836933721459</v>
      </c>
      <c r="AP821" s="150">
        <f t="shared" si="91"/>
        <v>2.4274099437492449</v>
      </c>
      <c r="AQ821" s="150">
        <f t="shared" si="92"/>
        <v>2.4426605504587156</v>
      </c>
      <c r="AR821" s="151">
        <f t="shared" si="93"/>
        <v>0.91976427191415522</v>
      </c>
      <c r="AS821" s="170" t="str">
        <f t="shared" ref="AS821" si="116">IF(ISNA(_xlfn.CONCAT("W_",F822,B822)),"",_xlfn.CONCAT("W_",F822,B822))</f>
        <v>W_d5</v>
      </c>
      <c r="AT821" s="167">
        <f t="shared" ref="AT821:AU821" si="117">IF(AND(ISNUMBER(AM822),NOT(ISNUMBER(AM821))),AM822,IF(AND(ISNUMBER(AM821),NOT(ISNUMBER(AM822))),AM821,AM821+AM822))</f>
        <v>-722.44773323331788</v>
      </c>
      <c r="AU821" s="167">
        <f t="shared" si="117"/>
        <v>1849.4216519155812</v>
      </c>
      <c r="AV821" s="172">
        <f t="shared" ref="AV821" si="118">IF(ISNUMBER(SQRT(AT821^2+AU821^2)),SQRT(AT821^2+AU821^2),"")</f>
        <v>1985.520378598043</v>
      </c>
      <c r="AW821" s="167">
        <f t="shared" ref="AW821" si="119">IF(ISNUMBER(AT821),(AU821/AT821),"")</f>
        <v>-2.5599383413364545</v>
      </c>
      <c r="AX821" s="168">
        <f t="shared" ref="AX821" si="120">IF(ISNUMBER(AV821),IF(ISNUMBER(AL821),AL821,AL822)*(AV821/IF(ISNUMBER(AJ821),AJ821,AJ822)),"")</f>
        <v>2.0163175192996636</v>
      </c>
      <c r="AY821" s="167">
        <f>G822</f>
        <v>5.8237225976944442</v>
      </c>
      <c r="AZ821" s="168">
        <f t="shared" ref="AZ821" si="121">-(IF(ISNUMBER(AO821),(AP821-AO821),0)+IF(ISNUMBER(AO822),(AP822-AO822),0))+AY821</f>
        <v>5.0900690744174781</v>
      </c>
      <c r="BA821" s="167">
        <f>H822</f>
        <v>1.85</v>
      </c>
      <c r="BB821" s="165">
        <f t="shared" ref="BB821" si="122">-(IF(ISNUMBER(AQ821),(AR821-AQ821),0)+IF(ISNUMBER(AQ822),(AR822-AQ822),0))+BA821</f>
        <v>3.7281077834932814</v>
      </c>
      <c r="BC821" s="92"/>
    </row>
    <row r="822" spans="2:55" x14ac:dyDescent="0.25">
      <c r="B822" s="122">
        <v>5</v>
      </c>
      <c r="C822" s="98" t="str">
        <f t="shared" si="54"/>
        <v>CW</v>
      </c>
      <c r="D822" s="120">
        <f t="shared" si="55"/>
        <v>6</v>
      </c>
      <c r="E822" s="150" t="str">
        <f>IF(AND(AND(ISNUMBER(D822),D822&lt;=$G$770),NOT(ISNA(C822))),_xlfn.CONCAT(B822,"-",D822),"")</f>
        <v>5-6</v>
      </c>
      <c r="F822" s="151" t="str">
        <f t="shared" si="57"/>
        <v>d</v>
      </c>
      <c r="G822" s="98">
        <f t="shared" si="58"/>
        <v>5.8237225976944442</v>
      </c>
      <c r="H822" s="120">
        <f t="shared" si="59"/>
        <v>1.85</v>
      </c>
      <c r="I822" s="120">
        <f t="shared" si="60"/>
        <v>1.558620123468224</v>
      </c>
      <c r="J822" s="120">
        <f t="shared" si="61"/>
        <v>1.000353736441469</v>
      </c>
      <c r="K822" s="120">
        <f t="shared" si="62"/>
        <v>2.3446780777952951</v>
      </c>
      <c r="L822" s="120">
        <f t="shared" si="63"/>
        <v>7.0898595759822172</v>
      </c>
      <c r="M822" s="120">
        <f t="shared" si="64"/>
        <v>3.8234265734265733</v>
      </c>
      <c r="N822" s="97" t="str">
        <f t="shared" si="65"/>
        <v>6-5</v>
      </c>
      <c r="O822" s="150" t="str">
        <f>IF(OR(N822="",J822=""),"",_xlfn.CONCAT("Wr_",N822))</f>
        <v>Wr_6-5</v>
      </c>
      <c r="P822" s="150">
        <f t="shared" si="94"/>
        <v>695.42463019529544</v>
      </c>
      <c r="Q822" s="150">
        <f t="shared" si="67"/>
        <v>1.558620123468224</v>
      </c>
      <c r="R822" s="150">
        <f t="shared" si="68"/>
        <v>-375.53250838183374</v>
      </c>
      <c r="S822" s="150">
        <f t="shared" si="69"/>
        <v>-585.31252458042559</v>
      </c>
      <c r="T822" s="150">
        <f t="shared" si="70"/>
        <v>0.70621126850651705</v>
      </c>
      <c r="U822" s="150">
        <f t="shared" si="71"/>
        <v>7.0898595759822172</v>
      </c>
      <c r="V822" s="150">
        <f t="shared" si="72"/>
        <v>7.4712169188121536</v>
      </c>
      <c r="W822" s="150">
        <f t="shared" si="73"/>
        <v>3.8234265734265733</v>
      </c>
      <c r="X822" s="151">
        <f t="shared" si="74"/>
        <v>4.4178178021936825</v>
      </c>
      <c r="Y822" s="122" t="str">
        <f>IF(OR(N822="",J822=""),"",_xlfn.CONCAT("Wt_",N822))</f>
        <v>Wt_6-5</v>
      </c>
      <c r="Z822" s="150">
        <f t="shared" si="76"/>
        <v>1731.6491798120771</v>
      </c>
      <c r="AA822" s="150">
        <f t="shared" si="108"/>
        <v>-0.64159315342009782</v>
      </c>
      <c r="AB822" s="150">
        <f t="shared" si="95"/>
        <v>1.7585085583464712</v>
      </c>
      <c r="AC822" s="150">
        <f t="shared" si="78"/>
        <v>-1457.4634102890409</v>
      </c>
      <c r="AD822" s="150">
        <f t="shared" si="79"/>
        <v>935.09854540175559</v>
      </c>
      <c r="AE822" s="150">
        <f t="shared" si="80"/>
        <v>7.0898595759822172</v>
      </c>
      <c r="AF822" s="150">
        <f t="shared" si="81"/>
        <v>8.5699295060521479</v>
      </c>
      <c r="AG822" s="150">
        <f t="shared" si="82"/>
        <v>3.8234265734265733</v>
      </c>
      <c r="AH822" s="151">
        <f t="shared" si="83"/>
        <v>2.8738238397107434</v>
      </c>
      <c r="AI822" s="150" t="str">
        <f>IF(OR(N822="",AK822=""),"",_xlfn.CONCAT("W_",N822," (exclude axial)"))</f>
        <v>W_6-5 (exclude axial)</v>
      </c>
      <c r="AJ822" s="150">
        <f t="shared" si="85"/>
        <v>1866.0718898869097</v>
      </c>
      <c r="AK822" s="150">
        <f t="shared" si="86"/>
        <v>-0.19082749571802846</v>
      </c>
      <c r="AL822" s="150">
        <f t="shared" si="87"/>
        <v>1.8950162810760673</v>
      </c>
      <c r="AM822" s="150">
        <f t="shared" si="88"/>
        <v>-1832.9959186708747</v>
      </c>
      <c r="AN822" s="150">
        <f t="shared" si="89"/>
        <v>349.78602082133</v>
      </c>
      <c r="AO822" s="150">
        <f t="shared" si="90"/>
        <v>7.0898595759822172</v>
      </c>
      <c r="AP822" s="150">
        <f t="shared" si="91"/>
        <v>8.9512868488820843</v>
      </c>
      <c r="AQ822" s="150">
        <f t="shared" si="92"/>
        <v>3.8234265734265733</v>
      </c>
      <c r="AR822" s="151">
        <f t="shared" si="93"/>
        <v>3.4682150684778525</v>
      </c>
      <c r="AS822" s="170"/>
      <c r="AT822" s="167"/>
      <c r="AU822" s="167"/>
      <c r="AV822" s="172"/>
      <c r="AW822" s="167"/>
      <c r="AX822" s="169"/>
      <c r="AY822" s="167"/>
      <c r="AZ822" s="169"/>
      <c r="BA822" s="167"/>
      <c r="BB822" s="165"/>
      <c r="BC822" s="92"/>
    </row>
    <row r="823" spans="2:55" x14ac:dyDescent="0.25">
      <c r="B823" s="122">
        <v>6</v>
      </c>
      <c r="C823" s="98" t="str">
        <f t="shared" si="54"/>
        <v>CCW</v>
      </c>
      <c r="D823" s="120">
        <f t="shared" si="55"/>
        <v>5</v>
      </c>
      <c r="E823" s="150" t="str">
        <f t="shared" ref="E823:E826" si="123">IF(AND(AND(ISNUMBER(D823),D823&lt;=$G$770),NOT(ISNA(C823))),_xlfn.CONCAT(B823,"-",D823),"")</f>
        <v>6-5</v>
      </c>
      <c r="F823" s="151" t="str">
        <f t="shared" si="57"/>
        <v>e</v>
      </c>
      <c r="G823" s="98">
        <f t="shared" si="58"/>
        <v>8.4863341843878501</v>
      </c>
      <c r="H823" s="120">
        <f t="shared" si="59"/>
        <v>6</v>
      </c>
      <c r="I823" s="120">
        <f t="shared" si="60"/>
        <v>1.558620123468224</v>
      </c>
      <c r="J823" s="120">
        <f t="shared" si="61"/>
        <v>1.000353736441469</v>
      </c>
      <c r="K823" s="120">
        <f t="shared" si="62"/>
        <v>2.5860419975683402</v>
      </c>
      <c r="L823" s="120">
        <f t="shared" si="63"/>
        <v>7.0898595759822181</v>
      </c>
      <c r="M823" s="120">
        <f t="shared" si="64"/>
        <v>3.8234265734265733</v>
      </c>
      <c r="N823" s="97" t="str">
        <f>IF(AND(ISNUMBER(D823),D823&lt;=$G$770,B823&lt;=$G$770),_xlfn.CONCAT(D823,"-",B823),"")</f>
        <v>5-6</v>
      </c>
      <c r="O823" s="150" t="str">
        <f t="shared" ref="O823:O826" si="124">IF(OR(N823="",J823=""),"",_xlfn.CONCAT("Wr_",N823))</f>
        <v>Wr_5-6</v>
      </c>
      <c r="P823" s="150">
        <f t="shared" si="94"/>
        <v>695.42463019529544</v>
      </c>
      <c r="Q823" s="150">
        <f t="shared" si="67"/>
        <v>1.558620123468224</v>
      </c>
      <c r="R823" s="150">
        <f t="shared" si="68"/>
        <v>375.53250838183374</v>
      </c>
      <c r="S823" s="150">
        <f t="shared" si="69"/>
        <v>585.31252458042559</v>
      </c>
      <c r="T823" s="150">
        <f t="shared" si="70"/>
        <v>0.77890948732336429</v>
      </c>
      <c r="U823" s="150">
        <f t="shared" si="71"/>
        <v>7.0898595759822181</v>
      </c>
      <c r="V823" s="150">
        <f t="shared" si="72"/>
        <v>6.6692448596256702</v>
      </c>
      <c r="W823" s="150">
        <f t="shared" si="73"/>
        <v>3.8234265734265733</v>
      </c>
      <c r="X823" s="151">
        <f t="shared" si="74"/>
        <v>3.1678480122863792</v>
      </c>
      <c r="Y823" s="122" t="str">
        <f t="shared" ref="Y823:Y826" si="125">IF(OR(N823="",J823=""),"",_xlfn.CONCAT("Wt_",N823))</f>
        <v>Wt_5-6</v>
      </c>
      <c r="Z823" s="150">
        <f t="shared" si="76"/>
        <v>1731.6491798120771</v>
      </c>
      <c r="AA823" s="150">
        <f t="shared" si="108"/>
        <v>-0.64159315342009782</v>
      </c>
      <c r="AB823" s="150">
        <f t="shared" si="95"/>
        <v>-1.9395314981762548</v>
      </c>
      <c r="AC823" s="150">
        <f t="shared" si="78"/>
        <v>1457.4634102890409</v>
      </c>
      <c r="AD823" s="150">
        <f t="shared" si="79"/>
        <v>-935.09854540175559</v>
      </c>
      <c r="AE823" s="150">
        <f t="shared" si="80"/>
        <v>7.0898595759822181</v>
      </c>
      <c r="AF823" s="150">
        <f t="shared" si="81"/>
        <v>5.457429506052148</v>
      </c>
      <c r="AG823" s="150">
        <f t="shared" si="82"/>
        <v>3.8234265734265733</v>
      </c>
      <c r="AH823" s="151">
        <f t="shared" si="83"/>
        <v>4.8707825297307972</v>
      </c>
      <c r="AI823" s="150" t="str">
        <f t="shared" ref="AI823:AI826" si="126">IF(OR(N823="",AK823=""),"",_xlfn.CONCAT("W_",N823," (exclude axial)"))</f>
        <v>W_5-6 (exclude axial)</v>
      </c>
      <c r="AJ823" s="150">
        <f t="shared" si="85"/>
        <v>1866.0718898869097</v>
      </c>
      <c r="AK823" s="150">
        <f t="shared" si="86"/>
        <v>-0.19082749571802846</v>
      </c>
      <c r="AL823" s="150">
        <f t="shared" si="87"/>
        <v>2.0900914864809566</v>
      </c>
      <c r="AM823" s="150">
        <f t="shared" si="88"/>
        <v>1832.9959186708747</v>
      </c>
      <c r="AN823" s="150">
        <f t="shared" si="89"/>
        <v>-349.78602082133</v>
      </c>
      <c r="AO823" s="150">
        <f t="shared" si="90"/>
        <v>7.0898595759822181</v>
      </c>
      <c r="AP823" s="150">
        <f t="shared" si="91"/>
        <v>5.0368147896956001</v>
      </c>
      <c r="AQ823" s="150">
        <f t="shared" si="92"/>
        <v>3.8234265734265733</v>
      </c>
      <c r="AR823" s="151">
        <f t="shared" si="93"/>
        <v>4.2152039685906031</v>
      </c>
      <c r="AS823" s="170" t="str">
        <f t="shared" ref="AS823" si="127">IF(ISNA(_xlfn.CONCAT("W_",F824,B824)),"",_xlfn.CONCAT("W_",F824,B824))</f>
        <v>W_e6</v>
      </c>
      <c r="AT823" s="167">
        <f t="shared" ref="AT823:AU823" si="128">IF(AND(ISNUMBER(AM824),NOT(ISNUMBER(AM823))),AM824,IF(AND(ISNUMBER(AM823),NOT(ISNUMBER(AM824))),AM823,AM823+AM824))</f>
        <v>453.50829800914244</v>
      </c>
      <c r="AU823" s="167">
        <f t="shared" si="128"/>
        <v>-1606.4634665754652</v>
      </c>
      <c r="AV823" s="172">
        <f t="shared" ref="AV823" si="129">IF(ISNUMBER(SQRT(AT823^2+AU823^2)),SQRT(AT823^2+AU823^2),"")</f>
        <v>1669.2497254170239</v>
      </c>
      <c r="AW823" s="167">
        <f t="shared" ref="AW823" si="130">IF(ISNUMBER(AT823),(AU823/AT823),"")</f>
        <v>-3.5423022547276077</v>
      </c>
      <c r="AX823" s="168">
        <f t="shared" ref="AX823" si="131">IF(ISNUMBER(AV823),IF(ISNUMBER(AL823),AL823,AL824)*(AV823/IF(ISNUMBER(AJ823),AJ823,AJ824)),"")</f>
        <v>1.8696410673204205</v>
      </c>
      <c r="AY823" s="167">
        <f>G824</f>
        <v>8.4863341843878501</v>
      </c>
      <c r="AZ823" s="168">
        <f t="shared" ref="AZ823" si="132">-(IF(ISNUMBER(AO823),(AP823-AO823),0)+IF(ISNUMBER(AO824),(AP824-AO824),0))+AY823</f>
        <v>8.9942855863967104</v>
      </c>
      <c r="BA823" s="167">
        <f>H824</f>
        <v>6</v>
      </c>
      <c r="BB823" s="165">
        <f t="shared" ref="BB823" si="133">-(IF(ISNUMBER(AQ823),(AR823-AQ823),0)+IF(ISNUMBER(AQ824),(AR824-AQ824),0))+BA823</f>
        <v>4.2006826033719697</v>
      </c>
      <c r="BC823" s="92"/>
    </row>
    <row r="824" spans="2:55" x14ac:dyDescent="0.25">
      <c r="B824" s="122">
        <v>6</v>
      </c>
      <c r="C824" s="98" t="str">
        <f t="shared" si="54"/>
        <v>CCW</v>
      </c>
      <c r="D824" s="120">
        <f t="shared" si="55"/>
        <v>7</v>
      </c>
      <c r="E824" s="150" t="str">
        <f t="shared" si="123"/>
        <v>6-7</v>
      </c>
      <c r="F824" s="151" t="str">
        <f t="shared" si="57"/>
        <v>e</v>
      </c>
      <c r="G824" s="98">
        <f t="shared" si="58"/>
        <v>8.4863341843878501</v>
      </c>
      <c r="H824" s="120">
        <f t="shared" si="59"/>
        <v>6</v>
      </c>
      <c r="I824" s="120">
        <f t="shared" si="60"/>
        <v>-0.48314027022972678</v>
      </c>
      <c r="J824" s="120">
        <f t="shared" si="61"/>
        <v>-0.45006908201952922</v>
      </c>
      <c r="K824" s="120">
        <f t="shared" si="62"/>
        <v>2.5860419975683402</v>
      </c>
      <c r="L824" s="120">
        <f t="shared" si="63"/>
        <v>10.814850495944901</v>
      </c>
      <c r="M824" s="120">
        <f t="shared" si="64"/>
        <v>4.875</v>
      </c>
      <c r="N824" s="97" t="str">
        <f t="shared" ref="N824:N826" si="134">IF(AND(ISNUMBER(D824),D824&lt;=$G$770,B824&lt;=$G$770),_xlfn.CONCAT(D824,"-",B824),"")</f>
        <v>7-6</v>
      </c>
      <c r="O824" s="150" t="str">
        <f t="shared" si="124"/>
        <v>Wr_7-6</v>
      </c>
      <c r="P824" s="150">
        <f t="shared" si="94"/>
        <v>695.42463019529555</v>
      </c>
      <c r="Q824" s="150">
        <f t="shared" si="67"/>
        <v>-0.48314027022972678</v>
      </c>
      <c r="R824" s="150">
        <f t="shared" si="68"/>
        <v>-626.17219534366154</v>
      </c>
      <c r="S824" s="150">
        <f t="shared" si="69"/>
        <v>302.52900366867789</v>
      </c>
      <c r="T824" s="150">
        <f t="shared" si="70"/>
        <v>0.77890948732336451</v>
      </c>
      <c r="U824" s="150">
        <f t="shared" si="71"/>
        <v>10.814850495944901</v>
      </c>
      <c r="V824" s="150">
        <f t="shared" si="72"/>
        <v>11.516193880222659</v>
      </c>
      <c r="W824" s="150">
        <f t="shared" si="73"/>
        <v>4.875</v>
      </c>
      <c r="X824" s="151">
        <f t="shared" si="74"/>
        <v>4.5361527677962128</v>
      </c>
      <c r="Y824" s="122" t="str">
        <f t="shared" si="125"/>
        <v>Wt_7-6</v>
      </c>
      <c r="Z824" s="150">
        <f t="shared" si="76"/>
        <v>1731.6491798120774</v>
      </c>
      <c r="AA824" s="150">
        <f t="shared" si="108"/>
        <v>2.0697922769396002</v>
      </c>
      <c r="AB824" s="150">
        <f t="shared" si="95"/>
        <v>1.9395314981762553</v>
      </c>
      <c r="AC824" s="150">
        <f t="shared" si="78"/>
        <v>-753.31542531807065</v>
      </c>
      <c r="AD824" s="150">
        <f t="shared" si="79"/>
        <v>-1559.206449422813</v>
      </c>
      <c r="AE824" s="150">
        <f t="shared" si="80"/>
        <v>10.814850495944901</v>
      </c>
      <c r="AF824" s="150">
        <f t="shared" si="81"/>
        <v>11.658600495944901</v>
      </c>
      <c r="AG824" s="150">
        <f t="shared" si="82"/>
        <v>4.875</v>
      </c>
      <c r="AH824" s="151">
        <f t="shared" si="83"/>
        <v>6.6213872336677877</v>
      </c>
      <c r="AI824" s="150" t="str">
        <f t="shared" si="126"/>
        <v>W_7-6 (exclude axial)</v>
      </c>
      <c r="AJ824" s="150">
        <f t="shared" si="85"/>
        <v>1866.07188988691</v>
      </c>
      <c r="AK824" s="150">
        <f t="shared" si="86"/>
        <v>0.9109740652484537</v>
      </c>
      <c r="AL824" s="150">
        <f t="shared" si="87"/>
        <v>2.0900914864809566</v>
      </c>
      <c r="AM824" s="150">
        <f t="shared" si="88"/>
        <v>-1379.4876206617323</v>
      </c>
      <c r="AN824" s="150">
        <f t="shared" si="89"/>
        <v>-1256.6774457541351</v>
      </c>
      <c r="AO824" s="150">
        <f t="shared" si="90"/>
        <v>10.814850495944901</v>
      </c>
      <c r="AP824" s="150">
        <f t="shared" si="91"/>
        <v>12.359943880222659</v>
      </c>
      <c r="AQ824" s="150">
        <f t="shared" si="92"/>
        <v>4.875</v>
      </c>
      <c r="AR824" s="151">
        <f t="shared" si="93"/>
        <v>6.2825400014640005</v>
      </c>
      <c r="AS824" s="170"/>
      <c r="AT824" s="167"/>
      <c r="AU824" s="167"/>
      <c r="AV824" s="172"/>
      <c r="AW824" s="167"/>
      <c r="AX824" s="169"/>
      <c r="AY824" s="167"/>
      <c r="AZ824" s="169"/>
      <c r="BA824" s="167"/>
      <c r="BB824" s="165"/>
      <c r="BC824" s="92"/>
    </row>
    <row r="825" spans="2:55" x14ac:dyDescent="0.25">
      <c r="B825" s="122">
        <v>7</v>
      </c>
      <c r="C825" s="98" t="str">
        <f>VLOOKUP(B825,$D$786:$H$792,COLUMNS($D$786:$H$792),FALSE)</f>
        <v>CW</v>
      </c>
      <c r="D825" s="120">
        <f t="shared" si="55"/>
        <v>6</v>
      </c>
      <c r="E825" s="150" t="str">
        <f t="shared" si="123"/>
        <v>7-6</v>
      </c>
      <c r="F825" s="151" t="str">
        <f t="shared" si="57"/>
        <v>f</v>
      </c>
      <c r="G825" s="98">
        <f t="shared" si="58"/>
        <v>14.695711015206651</v>
      </c>
      <c r="H825" s="120">
        <f t="shared" si="59"/>
        <v>3</v>
      </c>
      <c r="I825" s="120">
        <f t="shared" si="60"/>
        <v>-0.48314027022972678</v>
      </c>
      <c r="J825" s="120">
        <f t="shared" si="61"/>
        <v>-0.45006908201952922</v>
      </c>
      <c r="K825" s="120">
        <f t="shared" si="62"/>
        <v>4.3100699959472335</v>
      </c>
      <c r="L825" s="120">
        <f t="shared" si="63"/>
        <v>10.814850495944901</v>
      </c>
      <c r="M825" s="120">
        <f t="shared" si="64"/>
        <v>4.875</v>
      </c>
      <c r="N825" s="97" t="str">
        <f t="shared" si="134"/>
        <v>6-7</v>
      </c>
      <c r="O825" s="150" t="str">
        <f t="shared" si="124"/>
        <v>Wr_6-7</v>
      </c>
      <c r="P825" s="150">
        <f t="shared" si="94"/>
        <v>695.42463019529555</v>
      </c>
      <c r="Q825" s="150">
        <f t="shared" si="67"/>
        <v>-0.48314027022972678</v>
      </c>
      <c r="R825" s="150">
        <f t="shared" si="68"/>
        <v>626.17219534366154</v>
      </c>
      <c r="S825" s="150">
        <f t="shared" si="69"/>
        <v>-302.52900366867789</v>
      </c>
      <c r="T825" s="150">
        <f t="shared" si="70"/>
        <v>1.298182478872274</v>
      </c>
      <c r="U825" s="150">
        <f t="shared" si="71"/>
        <v>10.814850495944901</v>
      </c>
      <c r="V825" s="150">
        <f t="shared" si="72"/>
        <v>9.6459448554819716</v>
      </c>
      <c r="W825" s="150">
        <f t="shared" si="73"/>
        <v>4.875</v>
      </c>
      <c r="X825" s="151">
        <f t="shared" si="74"/>
        <v>5.4397453870063117</v>
      </c>
      <c r="Y825" s="122" t="str">
        <f t="shared" si="125"/>
        <v>Wt_6-7</v>
      </c>
      <c r="Z825" s="150">
        <f t="shared" si="76"/>
        <v>1731.6491798120774</v>
      </c>
      <c r="AA825" s="150">
        <f t="shared" si="108"/>
        <v>2.0697922769396002</v>
      </c>
      <c r="AB825" s="150">
        <f t="shared" si="95"/>
        <v>-3.2325524969604249</v>
      </c>
      <c r="AC825" s="150">
        <f t="shared" si="78"/>
        <v>753.31542531807065</v>
      </c>
      <c r="AD825" s="150">
        <f t="shared" si="79"/>
        <v>1559.206449422813</v>
      </c>
      <c r="AE825" s="150">
        <f t="shared" si="80"/>
        <v>10.814850495944901</v>
      </c>
      <c r="AF825" s="150">
        <f t="shared" si="81"/>
        <v>9.408600495944901</v>
      </c>
      <c r="AG825" s="150">
        <f t="shared" si="82"/>
        <v>4.875</v>
      </c>
      <c r="AH825" s="151">
        <f t="shared" si="83"/>
        <v>1.9643546105536873</v>
      </c>
      <c r="AI825" s="150" t="str">
        <f t="shared" si="126"/>
        <v>W_6-7 (exclude axial)</v>
      </c>
      <c r="AJ825" s="150">
        <f t="shared" si="85"/>
        <v>1866.07188988691</v>
      </c>
      <c r="AK825" s="150">
        <f t="shared" si="86"/>
        <v>0.9109740652484537</v>
      </c>
      <c r="AL825" s="150">
        <f t="shared" si="87"/>
        <v>3.4834858108015943</v>
      </c>
      <c r="AM825" s="150">
        <f t="shared" si="88"/>
        <v>1379.4876206617323</v>
      </c>
      <c r="AN825" s="150">
        <f t="shared" si="89"/>
        <v>1256.6774457541351</v>
      </c>
      <c r="AO825" s="150">
        <f t="shared" si="90"/>
        <v>10.814850495944901</v>
      </c>
      <c r="AP825" s="150">
        <f t="shared" si="91"/>
        <v>8.2396948554819716</v>
      </c>
      <c r="AQ825" s="150">
        <f t="shared" si="92"/>
        <v>4.875</v>
      </c>
      <c r="AR825" s="151">
        <f t="shared" si="93"/>
        <v>2.529099997559999</v>
      </c>
      <c r="AS825" s="170" t="str">
        <f t="shared" ref="AS825" si="135">IF(ISNA(_xlfn.CONCAT("W_",F826,B826)),"",_xlfn.CONCAT("W_",F826,B826))</f>
        <v>W_f7</v>
      </c>
      <c r="AT825" s="167">
        <f t="shared" ref="AT825:AU825" si="136">IF(AND(ISNUMBER(AM826),NOT(ISNUMBER(AM825))),AM826,IF(AND(ISNUMBER(AM825),NOT(ISNUMBER(AM826))),AM825,AM825+AM826))</f>
        <v>1379.4876206617323</v>
      </c>
      <c r="AU825" s="167">
        <f t="shared" si="136"/>
        <v>1256.6774457541351</v>
      </c>
      <c r="AV825" s="172">
        <f t="shared" ref="AV825" si="137">IF(ISNUMBER(SQRT(AT825^2+AU825^2)),SQRT(AT825^2+AU825^2),"")</f>
        <v>1866.0718898869102</v>
      </c>
      <c r="AW825" s="167">
        <f t="shared" ref="AW825" si="138">IF(ISNUMBER(AT825),(AU825/AT825),"")</f>
        <v>0.9109740652484537</v>
      </c>
      <c r="AX825" s="168">
        <f t="shared" ref="AX825" si="139">IF(ISNUMBER(AV825),IF(ISNUMBER(AL825),AL825,AL826)*(AV825/IF(ISNUMBER(AJ825),AJ825,AJ826)),"")</f>
        <v>3.4834858108015951</v>
      </c>
      <c r="AY825" s="167">
        <f>G826</f>
        <v>14.695711015206651</v>
      </c>
      <c r="AZ825" s="168">
        <f t="shared" ref="AZ825" si="140">-(IF(ISNUMBER(AO825),(AP825-AO825),0)+IF(ISNUMBER(AO826),(AP826-AO826),0))+AY825</f>
        <v>17.270866655669579</v>
      </c>
      <c r="BA825" s="167">
        <f>H826</f>
        <v>3</v>
      </c>
      <c r="BB825" s="165">
        <f t="shared" ref="BB825" si="141">-(IF(ISNUMBER(AQ825),(AR825-AQ825),0)+IF(ISNUMBER(AQ826),(AR826-AQ826),0))+BA825</f>
        <v>5.3459000024400005</v>
      </c>
      <c r="BC825" s="92"/>
    </row>
    <row r="826" spans="2:55" ht="15.75" thickBot="1" x14ac:dyDescent="0.3">
      <c r="B826" s="127">
        <v>7</v>
      </c>
      <c r="C826" s="101" t="str">
        <f>VLOOKUP(B826,$D$786:$H$792,COLUMNS($D$786:$H$792),FALSE)</f>
        <v>CW</v>
      </c>
      <c r="D826" s="128" t="str">
        <f t="shared" si="55"/>
        <v/>
      </c>
      <c r="E826" s="150" t="str">
        <f t="shared" si="123"/>
        <v/>
      </c>
      <c r="F826" s="153" t="str">
        <f t="shared" si="57"/>
        <v>f</v>
      </c>
      <c r="G826" s="101">
        <f t="shared" si="58"/>
        <v>14.695711015206651</v>
      </c>
      <c r="H826" s="128">
        <f t="shared" si="59"/>
        <v>3</v>
      </c>
      <c r="I826" s="128" t="str">
        <f t="shared" si="60"/>
        <v/>
      </c>
      <c r="J826" s="128" t="str">
        <f t="shared" si="61"/>
        <v/>
      </c>
      <c r="K826" s="128">
        <f t="shared" si="62"/>
        <v>4.3100699959472335</v>
      </c>
      <c r="L826" s="128" t="str">
        <f t="shared" si="63"/>
        <v/>
      </c>
      <c r="M826" s="128" t="str">
        <f t="shared" si="64"/>
        <v/>
      </c>
      <c r="N826" s="97" t="str">
        <f t="shared" si="134"/>
        <v/>
      </c>
      <c r="O826" s="150" t="str">
        <f t="shared" si="124"/>
        <v/>
      </c>
      <c r="P826" s="150" t="str">
        <f t="shared" si="94"/>
        <v/>
      </c>
      <c r="Q826" s="152" t="str">
        <f t="shared" si="67"/>
        <v/>
      </c>
      <c r="R826" s="152" t="str">
        <f t="shared" si="68"/>
        <v/>
      </c>
      <c r="S826" s="152" t="str">
        <f t="shared" si="69"/>
        <v/>
      </c>
      <c r="T826" s="150" t="str">
        <f t="shared" si="70"/>
        <v/>
      </c>
      <c r="U826" s="152" t="str">
        <f t="shared" si="71"/>
        <v/>
      </c>
      <c r="V826" s="152" t="str">
        <f t="shared" si="72"/>
        <v/>
      </c>
      <c r="W826" s="152" t="str">
        <f t="shared" si="73"/>
        <v/>
      </c>
      <c r="X826" s="153" t="str">
        <f t="shared" si="74"/>
        <v/>
      </c>
      <c r="Y826" s="122" t="str">
        <f t="shared" si="125"/>
        <v/>
      </c>
      <c r="Z826" s="150" t="str">
        <f t="shared" si="76"/>
        <v/>
      </c>
      <c r="AA826" s="152" t="str">
        <f t="shared" si="108"/>
        <v/>
      </c>
      <c r="AB826" s="150" t="str">
        <f t="shared" si="95"/>
        <v/>
      </c>
      <c r="AC826" s="152" t="str">
        <f t="shared" si="78"/>
        <v/>
      </c>
      <c r="AD826" s="152" t="str">
        <f t="shared" si="79"/>
        <v/>
      </c>
      <c r="AE826" s="152" t="str">
        <f t="shared" si="80"/>
        <v/>
      </c>
      <c r="AF826" s="152" t="str">
        <f t="shared" si="81"/>
        <v/>
      </c>
      <c r="AG826" s="152" t="str">
        <f t="shared" si="82"/>
        <v/>
      </c>
      <c r="AH826" s="153" t="str">
        <f t="shared" si="83"/>
        <v/>
      </c>
      <c r="AI826" s="150" t="str">
        <f t="shared" si="126"/>
        <v/>
      </c>
      <c r="AJ826" s="152" t="str">
        <f t="shared" si="85"/>
        <v/>
      </c>
      <c r="AK826" s="150" t="str">
        <f t="shared" si="86"/>
        <v/>
      </c>
      <c r="AL826" s="152" t="str">
        <f t="shared" si="87"/>
        <v/>
      </c>
      <c r="AM826" s="152" t="str">
        <f t="shared" si="88"/>
        <v/>
      </c>
      <c r="AN826" s="152" t="str">
        <f t="shared" si="89"/>
        <v/>
      </c>
      <c r="AO826" s="152" t="str">
        <f t="shared" si="90"/>
        <v/>
      </c>
      <c r="AP826" s="152" t="str">
        <f t="shared" si="91"/>
        <v/>
      </c>
      <c r="AQ826" s="152" t="str">
        <f t="shared" si="92"/>
        <v/>
      </c>
      <c r="AR826" s="153" t="str">
        <f t="shared" si="93"/>
        <v/>
      </c>
      <c r="AS826" s="170"/>
      <c r="AT826" s="171"/>
      <c r="AU826" s="171"/>
      <c r="AV826" s="172"/>
      <c r="AW826" s="171"/>
      <c r="AX826" s="173"/>
      <c r="AY826" s="171"/>
      <c r="AZ826" s="169"/>
      <c r="BA826" s="171"/>
      <c r="BB826" s="165"/>
      <c r="BC826" s="92"/>
    </row>
    <row r="1739" spans="54:59" x14ac:dyDescent="0.25">
      <c r="BB1739" t="s">
        <v>266</v>
      </c>
      <c r="BD1739" t="s">
        <v>300</v>
      </c>
      <c r="BE1739" t="s">
        <v>281</v>
      </c>
      <c r="BF1739" t="s">
        <v>282</v>
      </c>
      <c r="BG1739" t="s">
        <v>283</v>
      </c>
    </row>
    <row r="1740" spans="54:59" x14ac:dyDescent="0.25">
      <c r="BB1740">
        <v>1</v>
      </c>
      <c r="BC1740" t="str">
        <f t="shared" ref="BC1740:BC1746" si="142">_xlfn.CONCAT("Gear ",BB1740)</f>
        <v>Gear 1</v>
      </c>
      <c r="BD1740" t="str">
        <f t="shared" ref="BD1740:BD1746" si="143">VLOOKUP(BB1740,$D$776:$E$782,2,FALSE)</f>
        <v>a</v>
      </c>
      <c r="BE1740">
        <f t="shared" ref="BE1740:BE1746" si="144">VLOOKUP(BB1740,$D$776:$J$782,COLUMNS($D$776:$J$782),FALSE)/2</f>
        <v>0.87350751917863934</v>
      </c>
      <c r="BF1740">
        <f t="shared" ref="BF1740:BF1746" si="145">VLOOKUP(BD1740,$L$776:$S$782,COLUMNS($L$776:$S$782)-1,FALSE)</f>
        <v>0</v>
      </c>
      <c r="BG1740">
        <f t="shared" ref="BG1740:BG1746" si="146">VLOOKUP(BD1740,$L$776:$S$782,COLUMNS($L$776:$S$782),FALSE)</f>
        <v>0</v>
      </c>
    </row>
    <row r="1741" spans="54:59" x14ac:dyDescent="0.25">
      <c r="BB1741">
        <v>2</v>
      </c>
      <c r="BC1741" t="str">
        <f t="shared" si="142"/>
        <v>Gear 2</v>
      </c>
      <c r="BD1741" t="str">
        <f t="shared" si="143"/>
        <v>b</v>
      </c>
      <c r="BE1741">
        <f t="shared" si="144"/>
        <v>2.3446780777952951</v>
      </c>
      <c r="BF1741">
        <f t="shared" si="145"/>
        <v>3.0588753712059726</v>
      </c>
      <c r="BG1741">
        <f t="shared" si="146"/>
        <v>1</v>
      </c>
    </row>
    <row r="1742" spans="54:59" x14ac:dyDescent="0.25">
      <c r="BB1742">
        <v>3</v>
      </c>
      <c r="BC1742" t="str">
        <f t="shared" si="142"/>
        <v>Gear 3</v>
      </c>
      <c r="BD1742" t="str">
        <f t="shared" si="143"/>
        <v>b</v>
      </c>
      <c r="BE1742">
        <f t="shared" si="144"/>
        <v>0.58616951944882378</v>
      </c>
      <c r="BF1742">
        <f t="shared" si="145"/>
        <v>3.0588753712059726</v>
      </c>
      <c r="BG1742">
        <f t="shared" si="146"/>
        <v>1</v>
      </c>
    </row>
    <row r="1743" spans="54:59" x14ac:dyDescent="0.25">
      <c r="BB1743">
        <v>4</v>
      </c>
      <c r="BC1743" t="str">
        <f t="shared" si="142"/>
        <v>Gear 4</v>
      </c>
      <c r="BD1743" t="str">
        <f t="shared" si="143"/>
        <v>c</v>
      </c>
      <c r="BE1743">
        <f t="shared" si="144"/>
        <v>1.4137029586706926</v>
      </c>
      <c r="BF1743">
        <f t="shared" si="145"/>
        <v>2.1873881775307611</v>
      </c>
      <c r="BG1743">
        <f t="shared" si="146"/>
        <v>2.8</v>
      </c>
    </row>
    <row r="1744" spans="54:59" x14ac:dyDescent="0.25">
      <c r="BB1744">
        <v>5</v>
      </c>
      <c r="BC1744" t="str">
        <f t="shared" si="142"/>
        <v>Gear 5</v>
      </c>
      <c r="BD1744" t="str">
        <f t="shared" si="143"/>
        <v>d</v>
      </c>
      <c r="BE1744">
        <f t="shared" si="144"/>
        <v>2.3446780777952951</v>
      </c>
      <c r="BF1744">
        <f t="shared" si="145"/>
        <v>5.8237225976944442</v>
      </c>
      <c r="BG1744">
        <f t="shared" si="146"/>
        <v>1.85</v>
      </c>
    </row>
    <row r="1745" spans="54:112" x14ac:dyDescent="0.25">
      <c r="BB1745">
        <v>6</v>
      </c>
      <c r="BC1745" t="str">
        <f t="shared" si="142"/>
        <v>Gear 6</v>
      </c>
      <c r="BD1745" t="str">
        <f t="shared" si="143"/>
        <v>e</v>
      </c>
      <c r="BE1745">
        <f t="shared" si="144"/>
        <v>2.5860419975683402</v>
      </c>
      <c r="BF1745">
        <f t="shared" si="145"/>
        <v>8.4863341843878501</v>
      </c>
      <c r="BG1745">
        <f t="shared" si="146"/>
        <v>6</v>
      </c>
    </row>
    <row r="1746" spans="54:112" x14ac:dyDescent="0.25">
      <c r="BB1746">
        <v>7</v>
      </c>
      <c r="BC1746" t="str">
        <f t="shared" si="142"/>
        <v>Gear 7</v>
      </c>
      <c r="BD1746" t="str">
        <f t="shared" si="143"/>
        <v>f</v>
      </c>
      <c r="BE1746">
        <f t="shared" si="144"/>
        <v>4.3100699959472335</v>
      </c>
      <c r="BF1746">
        <f t="shared" si="145"/>
        <v>14.695711015206651</v>
      </c>
      <c r="BG1746">
        <f t="shared" si="146"/>
        <v>3</v>
      </c>
    </row>
    <row r="1747" spans="54:112" x14ac:dyDescent="0.25">
      <c r="BJ1747" t="s">
        <v>327</v>
      </c>
      <c r="BK1747" t="s">
        <v>326</v>
      </c>
      <c r="BL1747" t="s">
        <v>328</v>
      </c>
    </row>
    <row r="1748" spans="54:112" x14ac:dyDescent="0.25">
      <c r="BB1748" t="s">
        <v>314</v>
      </c>
      <c r="BC1748" t="s">
        <v>315</v>
      </c>
      <c r="BD1748" t="s">
        <v>316</v>
      </c>
      <c r="BE1748" t="s">
        <v>317</v>
      </c>
      <c r="BF1748" t="s">
        <v>322</v>
      </c>
      <c r="BG1748" t="s">
        <v>323</v>
      </c>
      <c r="BI1748" s="11" t="s">
        <v>324</v>
      </c>
      <c r="BJ1748" t="str">
        <f>_xlfn.CONCAT("(",ROUNDDOWN(BB1749-1,1),",",ROUNDUP(BC1749+1,1),")")</f>
        <v>(-1.8,20.1)</v>
      </c>
      <c r="BK1748" t="str">
        <f>IF(BF1749&gt;BG1749,"Yes","No")</f>
        <v>Yes</v>
      </c>
      <c r="BL1748" s="11" t="str">
        <f>IF(BK1748="No",_xlfn.CONCAT("(",ROUNDDOWN(BB1749-1-(BG1749-BF1749)/2,1),",",ROUNDUP(BC1749+1+(BG1749-BF1749)/2,1),")"),_xlfn.CONCAT("(",ROUNDDOWN(BB1749-1,1),",",ROUNDUP(BC1749+1,1),")"))</f>
        <v>(-1.8,20.1)</v>
      </c>
    </row>
    <row r="1749" spans="54:112" x14ac:dyDescent="0.25">
      <c r="BB1749" cm="1">
        <f t="array" ref="BB1749">MIN(IF(ISNUMBER(BC1752:BP1752),BC1752:BP1752,""))</f>
        <v>-0.87350751917863934</v>
      </c>
      <c r="BC1749" cm="1">
        <f t="array" ref="BC1749">MAX(IF(ISNUMBER(BC1753:BP1753),BC1753:BP1753,""))</f>
        <v>19.005781011153886</v>
      </c>
      <c r="BD1749" cm="1">
        <f t="array" ref="BD1749">MIN(IF(ISNUMBER(BC1754:BP1754),BC1754:BP1754,""))</f>
        <v>-1.3446780777952951</v>
      </c>
      <c r="BE1749" cm="1">
        <f t="array" ref="BE1749">MAX(IF(ISNUMBER(BC1755:BP1755),BC1755:BP1755,""))</f>
        <v>8.5860419975683406</v>
      </c>
      <c r="BF1749">
        <f>BC1749-BB1749</f>
        <v>19.879288530332524</v>
      </c>
      <c r="BG1749">
        <f>BE1749-BD1749</f>
        <v>9.9307200753636362</v>
      </c>
      <c r="BI1749" s="11" t="s">
        <v>325</v>
      </c>
      <c r="BJ1749" t="str">
        <f>_xlfn.CONCAT("(",ROUNDDOWN(BD1749-1,1),",",ROUNDUP(BE1749+1,1),")")</f>
        <v>(-2.3,9.6)</v>
      </c>
      <c r="BK1749" t="str">
        <f>IF(BF1749&lt;BG1749,"Yes","No")</f>
        <v>No</v>
      </c>
      <c r="BL1749" s="11" t="str">
        <f>IF(BK1749="No",_xlfn.CONCAT("(",ROUNDDOWN(BD1749-1-(BG1749)/2,1),",",ROUNDUP(BE1749+1+(BG1749)/2,1),")"),_xlfn.CONCAT("(",ROUNDDOWN(BD1749-1,1),",",ROUNDUP(BE1749+1,1),")"))</f>
        <v>(-7.3,14.6)</v>
      </c>
    </row>
    <row r="1751" spans="54:112" x14ac:dyDescent="0.25">
      <c r="BC1751" t="s">
        <v>279</v>
      </c>
      <c r="BD1751" t="s">
        <v>280</v>
      </c>
      <c r="BE1751" t="s">
        <v>279</v>
      </c>
      <c r="BF1751" t="s">
        <v>280</v>
      </c>
      <c r="BG1751" t="s">
        <v>279</v>
      </c>
      <c r="BH1751" t="s">
        <v>280</v>
      </c>
      <c r="BI1751" t="s">
        <v>279</v>
      </c>
      <c r="BJ1751" t="s">
        <v>280</v>
      </c>
      <c r="BK1751" t="s">
        <v>279</v>
      </c>
      <c r="BL1751" t="s">
        <v>280</v>
      </c>
      <c r="BM1751" t="s">
        <v>279</v>
      </c>
      <c r="BN1751" t="s">
        <v>280</v>
      </c>
      <c r="BO1751" t="s">
        <v>279</v>
      </c>
      <c r="BP1751" t="s">
        <v>280</v>
      </c>
    </row>
    <row r="1752" spans="54:112" x14ac:dyDescent="0.25">
      <c r="BB1752" t="s">
        <v>318</v>
      </c>
      <c r="BC1752">
        <f>MIN(BC1755:BC1792)</f>
        <v>-0.87350751917863934</v>
      </c>
      <c r="BE1752">
        <f>MIN(BE1755:BE1791)</f>
        <v>0.7141972934106775</v>
      </c>
      <c r="BG1752">
        <f>MIN(BG1755:BG1791)</f>
        <v>2.4727058517571487</v>
      </c>
      <c r="BI1752">
        <f>MIN(BI1755:BI1791)</f>
        <v>0.77368521886006847</v>
      </c>
      <c r="BK1752">
        <f>MIN(BK1755:BK1791)</f>
        <v>3.4790445198991491</v>
      </c>
      <c r="BM1752">
        <f>MIN(BM1755:BM1791)</f>
        <v>5.9002921868195095</v>
      </c>
      <c r="BO1752">
        <f>MIN(BO1755:BO1791)</f>
        <v>10.385641019259417</v>
      </c>
    </row>
    <row r="1753" spans="54:112" x14ac:dyDescent="0.25">
      <c r="BB1753" t="s">
        <v>319</v>
      </c>
      <c r="BC1753">
        <f>MAX(BC1755:BC1792)</f>
        <v>0.87350751917863934</v>
      </c>
      <c r="BE1753">
        <f>MAX(BE1755:BE1791)</f>
        <v>5.4035534490012678</v>
      </c>
      <c r="BG1753">
        <f>MAX(BG1755:BG1791)</f>
        <v>3.6450448906547965</v>
      </c>
      <c r="BI1753">
        <f>MAX(BI1755:BI1791)</f>
        <v>3.6010911362014539</v>
      </c>
      <c r="BK1753">
        <f>MAX(BK1755:BK1791)</f>
        <v>8.1684006754897389</v>
      </c>
      <c r="BM1753">
        <f>MAX(BM1755:BM1791)</f>
        <v>11.072376181956191</v>
      </c>
      <c r="BO1753">
        <f>MAX(BO1755:BO1791)</f>
        <v>19.005781011153886</v>
      </c>
    </row>
    <row r="1754" spans="54:112" x14ac:dyDescent="0.25">
      <c r="BB1754" t="s">
        <v>320</v>
      </c>
      <c r="BD1754">
        <f>MIN(BD1758:BD1794)</f>
        <v>-0.87350751917863934</v>
      </c>
      <c r="BF1754">
        <f>MIN(BF1758:BF1794)</f>
        <v>-1.3446780777952951</v>
      </c>
      <c r="BH1754">
        <f>MIN(BH1758:BH1794)</f>
        <v>0.41383048055117622</v>
      </c>
      <c r="BJ1754">
        <f>MIN(BJ1758:BJ1794)</f>
        <v>1.3862970413293072</v>
      </c>
      <c r="BL1754">
        <f>MIN(BL1758:BL1794)</f>
        <v>-0.49467807779529505</v>
      </c>
      <c r="BN1754">
        <f>MIN(BN1758:BN1794)</f>
        <v>3.4139580024316598</v>
      </c>
      <c r="BP1754">
        <f>MIN(BP1758:BP1794)</f>
        <v>-1.3100699959472335</v>
      </c>
    </row>
    <row r="1755" spans="54:112" x14ac:dyDescent="0.25">
      <c r="BB1755" t="s">
        <v>321</v>
      </c>
      <c r="BD1755">
        <f>MAX(BD1758:BD1794)</f>
        <v>0.87350751917863934</v>
      </c>
      <c r="BF1755">
        <f>MAX(BF1758:BF1794)</f>
        <v>3.3446780777952951</v>
      </c>
      <c r="BH1755">
        <f>MAX(BH1758:BH1794)</f>
        <v>1.5861695194488239</v>
      </c>
      <c r="BJ1755">
        <f>MAX(BJ1758:BJ1794)</f>
        <v>4.2137029586706927</v>
      </c>
      <c r="BL1755">
        <f>MAX(BL1758:BL1794)</f>
        <v>4.1946780777952952</v>
      </c>
      <c r="BN1755">
        <f>MAX(BN1758:BN1794)</f>
        <v>8.5860419975683406</v>
      </c>
      <c r="BP1755">
        <f>MAX(BP1758:BP1794)</f>
        <v>7.3100699959472335</v>
      </c>
    </row>
    <row r="1757" spans="54:112" x14ac:dyDescent="0.25">
      <c r="BB1757" t="s">
        <v>284</v>
      </c>
      <c r="BC1757" t="s">
        <v>285</v>
      </c>
      <c r="BD1757" t="s">
        <v>286</v>
      </c>
      <c r="BE1757" t="s">
        <v>287</v>
      </c>
      <c r="BF1757" t="s">
        <v>288</v>
      </c>
      <c r="BG1757" t="s">
        <v>290</v>
      </c>
      <c r="BH1757" t="s">
        <v>292</v>
      </c>
      <c r="BI1757" t="s">
        <v>293</v>
      </c>
      <c r="BJ1757" t="s">
        <v>291</v>
      </c>
      <c r="BK1757" t="s">
        <v>294</v>
      </c>
      <c r="BL1757" t="s">
        <v>295</v>
      </c>
      <c r="BM1757" t="s">
        <v>296</v>
      </c>
      <c r="BN1757" t="s">
        <v>297</v>
      </c>
      <c r="BO1757" t="s">
        <v>298</v>
      </c>
      <c r="BP1757" t="s">
        <v>299</v>
      </c>
      <c r="BR1757" t="s">
        <v>361</v>
      </c>
      <c r="BS1757" t="str">
        <f>H786</f>
        <v>CCW</v>
      </c>
      <c r="BT1757" t="str">
        <f>BS1757</f>
        <v>CCW</v>
      </c>
      <c r="BU1757" t="str">
        <f>H787</f>
        <v>CW</v>
      </c>
      <c r="BV1757" t="str">
        <f>BU1757</f>
        <v>CW</v>
      </c>
      <c r="BW1757" t="str">
        <f>H788</f>
        <v>CW</v>
      </c>
      <c r="BX1757" t="str">
        <f>BW1757</f>
        <v>CW</v>
      </c>
      <c r="BY1757" t="str">
        <f>H789</f>
        <v>CCW</v>
      </c>
      <c r="BZ1757" t="str">
        <f>BY1757</f>
        <v>CCW</v>
      </c>
      <c r="CA1757" t="str">
        <f>H790</f>
        <v>CW</v>
      </c>
      <c r="CB1757" t="str">
        <f>CA1757</f>
        <v>CW</v>
      </c>
      <c r="CC1757" t="str">
        <f>H791</f>
        <v>CCW</v>
      </c>
      <c r="CD1757" t="str">
        <f>CC1757</f>
        <v>CCW</v>
      </c>
      <c r="CE1757" t="str">
        <f>H792</f>
        <v>CW</v>
      </c>
      <c r="CF1757" t="str">
        <f>CE1757</f>
        <v>CW</v>
      </c>
    </row>
    <row r="1758" spans="54:112" x14ac:dyDescent="0.25">
      <c r="BB1758">
        <v>0</v>
      </c>
      <c r="BC1758">
        <f t="shared" ref="BC1758:BC1794" si="147">$BE$1740*COS(RADIANS($BB1758))+$BF$1740</f>
        <v>0.87350751917863934</v>
      </c>
      <c r="BD1758">
        <f t="shared" ref="BD1758:BD1794" si="148">$BE$1740*SIN(RADIANS($BB1758))+$BG$1740</f>
        <v>0</v>
      </c>
      <c r="BE1758">
        <f t="shared" ref="BE1758:BE1794" si="149">$BE$1741*COS(RADIANS($BB1758))+$BF$1741</f>
        <v>5.4035534490012678</v>
      </c>
      <c r="BF1758">
        <f t="shared" ref="BF1758:BF1794" si="150">$BE$1741*SIN(RADIANS($BB1758))+$BG$1741</f>
        <v>1</v>
      </c>
      <c r="BG1758">
        <f t="shared" ref="BG1758:BG1794" si="151">$BE$1742*COS(RADIANS($BB1758))+$BF$1742</f>
        <v>3.6450448906547965</v>
      </c>
      <c r="BH1758">
        <f t="shared" ref="BH1758:BH1794" si="152">$BE$1742*SIN(RADIANS($BB1758))+$BG$1742</f>
        <v>1</v>
      </c>
      <c r="BI1758">
        <f t="shared" ref="BI1758:BI1794" si="153">$BE$1743*COS(RADIANS($BB1758))+$BF$1743</f>
        <v>3.6010911362014539</v>
      </c>
      <c r="BJ1758">
        <f t="shared" ref="BJ1758:BJ1794" si="154">$BE$1743*SIN(RADIANS($BB1758))+$BG$1743</f>
        <v>2.8</v>
      </c>
      <c r="BK1758">
        <f t="shared" ref="BK1758:BK1794" si="155">$BE$1744*COS(RADIANS($BB1758))+$BF$1744</f>
        <v>8.1684006754897389</v>
      </c>
      <c r="BL1758">
        <f t="shared" ref="BL1758:BL1794" si="156">$BE$1744*SIN(RADIANS($BB1758))+$BG$1744</f>
        <v>1.85</v>
      </c>
      <c r="BM1758">
        <f t="shared" ref="BM1758:BM1794" si="157">$BE$1745*COS(RADIANS($BB1758))+$BF$1745</f>
        <v>11.072376181956191</v>
      </c>
      <c r="BN1758">
        <f t="shared" ref="BN1758:BN1794" si="158">$BE$1745*SIN(RADIANS($BB1758))+$BG$1745</f>
        <v>6</v>
      </c>
      <c r="BO1758">
        <f t="shared" ref="BO1758:BO1794" si="159">$BE$1746*COS(RADIANS($BB1758))+$BF$1746</f>
        <v>19.005781011153886</v>
      </c>
      <c r="BP1758">
        <f t="shared" ref="BP1758:BP1794" si="160">$BE$1746*SIN(RADIANS($BB1758))+$BG$1746</f>
        <v>3</v>
      </c>
      <c r="BR1758" t="s">
        <v>284</v>
      </c>
      <c r="BS1758" t="s">
        <v>345</v>
      </c>
      <c r="BT1758" t="s">
        <v>346</v>
      </c>
      <c r="BU1758" t="s">
        <v>347</v>
      </c>
      <c r="BV1758" t="s">
        <v>348</v>
      </c>
      <c r="BW1758" t="s">
        <v>349</v>
      </c>
      <c r="BX1758" t="s">
        <v>350</v>
      </c>
      <c r="BY1758" t="s">
        <v>351</v>
      </c>
      <c r="BZ1758" t="s">
        <v>352</v>
      </c>
      <c r="CA1758" t="s">
        <v>353</v>
      </c>
      <c r="CB1758" t="s">
        <v>354</v>
      </c>
      <c r="CC1758" t="s">
        <v>355</v>
      </c>
      <c r="CD1758" t="s">
        <v>356</v>
      </c>
      <c r="CE1758" t="s">
        <v>357</v>
      </c>
      <c r="CF1758" t="s">
        <v>358</v>
      </c>
      <c r="CG1758" s="166" t="s">
        <v>359</v>
      </c>
      <c r="CH1758" s="166"/>
      <c r="CI1758" s="166"/>
      <c r="CJ1758" s="166"/>
      <c r="CK1758" s="166"/>
      <c r="CL1758" s="166"/>
      <c r="CM1758" s="166"/>
      <c r="CN1758" s="166"/>
      <c r="CO1758" s="166"/>
      <c r="CP1758" s="166"/>
      <c r="CQ1758" s="166"/>
      <c r="CR1758" s="166"/>
      <c r="CS1758" s="166"/>
      <c r="CT1758" s="166"/>
      <c r="CU1758" s="166" t="s">
        <v>360</v>
      </c>
      <c r="CV1758" s="166"/>
      <c r="CW1758" s="166"/>
      <c r="CX1758" s="166"/>
      <c r="CY1758" s="166"/>
      <c r="CZ1758" s="166"/>
      <c r="DA1758" s="166"/>
      <c r="DB1758" s="166"/>
      <c r="DC1758" s="166"/>
      <c r="DD1758" s="166"/>
      <c r="DE1758" s="166"/>
      <c r="DF1758" s="166"/>
      <c r="DG1758" s="166"/>
      <c r="DH1758" s="166"/>
    </row>
    <row r="1759" spans="54:112" x14ac:dyDescent="0.25">
      <c r="BB1759">
        <v>10</v>
      </c>
      <c r="BC1759">
        <f t="shared" si="147"/>
        <v>0.86023697720158399</v>
      </c>
      <c r="BD1759">
        <f t="shared" si="148"/>
        <v>0.15168298888373191</v>
      </c>
      <c r="BE1759">
        <f t="shared" si="149"/>
        <v>5.3679325205365398</v>
      </c>
      <c r="BF1759">
        <f t="shared" si="150"/>
        <v>1.407149075424754</v>
      </c>
      <c r="BG1759">
        <f t="shared" si="151"/>
        <v>3.6361396585386148</v>
      </c>
      <c r="BH1759">
        <f t="shared" si="152"/>
        <v>1.1017872688561885</v>
      </c>
      <c r="BI1759">
        <f t="shared" si="153"/>
        <v>3.5796138116859564</v>
      </c>
      <c r="BJ1759">
        <f t="shared" si="154"/>
        <v>3.0454869425355131</v>
      </c>
      <c r="BK1759">
        <f t="shared" si="155"/>
        <v>8.1327797470250118</v>
      </c>
      <c r="BL1759">
        <f t="shared" si="156"/>
        <v>2.2571490754247541</v>
      </c>
      <c r="BM1759">
        <f t="shared" si="157"/>
        <v>11.033088393208329</v>
      </c>
      <c r="BN1759">
        <f t="shared" si="158"/>
        <v>6.4490614802478907</v>
      </c>
      <c r="BO1759">
        <f t="shared" si="159"/>
        <v>18.940301363240785</v>
      </c>
      <c r="BP1759">
        <f t="shared" si="160"/>
        <v>3.7484358004131511</v>
      </c>
      <c r="BR1759">
        <v>-50</v>
      </c>
      <c r="BS1759">
        <f t="shared" ref="BS1759:BS1765" si="161">IF($BS$1757="CW",CG1759,CU1759)</f>
        <v>0.4211098577220424</v>
      </c>
      <c r="BT1759">
        <f t="shared" ref="BT1759:BT1765" si="162">IF($BT$1757="CW",CH1759,CV1759)</f>
        <v>-0.50185918581708056</v>
      </c>
      <c r="BU1759">
        <f t="shared" ref="BU1759:BU1765" si="163">IF($BU$1757="CW",CI1759,CW1759)</f>
        <v>4.4823076437632352</v>
      </c>
      <c r="BV1759">
        <f t="shared" ref="BV1759:BV1765" si="164">IF($BV$1757="CW",CJ1759,CX1759)</f>
        <v>-0.64018046902289139</v>
      </c>
      <c r="BW1759">
        <f t="shared" ref="BW1759:BW1765" si="165">IF($BW$1757="CW",CK1759,CY1759)</f>
        <v>3.4147334393452882</v>
      </c>
      <c r="BX1759">
        <f t="shared" ref="BX1759:BX1765" si="166">IF($BX$1757="CW",CL1759,CZ1759)</f>
        <v>0.58995488274427721</v>
      </c>
      <c r="BY1759">
        <f t="shared" ref="BY1759:BY1765" si="167">IF($BY$1757="CW",CM1759,DA1759)</f>
        <v>2.8689212367388035</v>
      </c>
      <c r="BZ1759">
        <f t="shared" ref="BZ1759:BZ1765" si="168">IF($BZ$1757="CW",CN1759,DB1759)</f>
        <v>1.9877805282170931</v>
      </c>
      <c r="CA1759">
        <f t="shared" ref="CA1759:CA1765" si="169">IF($CA$1757="CW",CO1759,DC1759)</f>
        <v>7.2471548702517063</v>
      </c>
      <c r="CB1759">
        <f t="shared" ref="CB1759:CB1765" si="170">IF($CB$1757="CW",CP1759,DD1759)</f>
        <v>0.20981953097710876</v>
      </c>
      <c r="CC1759">
        <f t="shared" ref="CC1759:CC1765" si="171">IF($CC$1757="CW",CQ1759,DE1759)</f>
        <v>9.7330410000123173</v>
      </c>
      <c r="CD1759">
        <f t="shared" ref="CD1759:CD1765" si="172">IF($CD$1757="CW",CR1759,DF1759)</f>
        <v>4.5142326735678537</v>
      </c>
      <c r="CE1759">
        <f t="shared" ref="CE1759:CE1765" si="173">IF($CE$1757="CW",CS1759,DG1759)</f>
        <v>17.312314457407503</v>
      </c>
      <c r="CF1759">
        <f t="shared" ref="CF1759:CF1765" si="174">IF($CF$1757="CW",CT1759,DH1759)</f>
        <v>-1.5037626880314625E-2</v>
      </c>
      <c r="CG1759">
        <f>CG1760+0.125*$BE$1740</f>
        <v>0.53029829761937231</v>
      </c>
      <c r="CH1759">
        <f>CH1760-0.125*$BE$1740</f>
        <v>-0.61104762571441051</v>
      </c>
      <c r="CI1759">
        <f>CI1760+0.125*$BE$1741</f>
        <v>4.4823076437632352</v>
      </c>
      <c r="CJ1759">
        <f>CJ1760-0.125*$BE$1741</f>
        <v>-0.64018046902289139</v>
      </c>
      <c r="CK1759">
        <f>CK1760+0.125*$BE$1742</f>
        <v>3.4147334393452882</v>
      </c>
      <c r="CL1759">
        <f>CL1760-0.125*$BE$1742</f>
        <v>0.58995488274427721</v>
      </c>
      <c r="CM1759">
        <f>CM1760+0.125*$BE$1743</f>
        <v>3.0456341065726402</v>
      </c>
      <c r="CN1759">
        <f>CN1760-0.125*$BE$1743</f>
        <v>1.8110676583832566</v>
      </c>
      <c r="CO1759">
        <f>CO1760+0.125*$BE$1744</f>
        <v>7.2471548702517063</v>
      </c>
      <c r="CP1759">
        <f>CP1760-0.125*$BE$1744</f>
        <v>0.20981953097710876</v>
      </c>
      <c r="CQ1759">
        <f>CQ1760+0.125*$BE$1745</f>
        <v>10.05629624970836</v>
      </c>
      <c r="CR1759">
        <f>CR1760-0.125*$BE$1745</f>
        <v>4.1909774238718116</v>
      </c>
      <c r="CS1759">
        <f>CS1760+0.125*$BE$1746</f>
        <v>17.312314457407503</v>
      </c>
      <c r="CT1759">
        <f>CT1760-0.125*$BE$1746</f>
        <v>-1.5037626880314625E-2</v>
      </c>
      <c r="CU1759">
        <f t="shared" ref="CU1759:CU1764" si="175">0.75*$BE$1740*COS(RADIANS($BR1759))+$BF$1740</f>
        <v>0.4211098577220424</v>
      </c>
      <c r="CV1759">
        <f t="shared" ref="CV1759:CV1764" si="176">0.75*$BE$1740*SIN(RADIANS($BR1759))+$BF$1740</f>
        <v>-0.50185918581708056</v>
      </c>
      <c r="CW1759">
        <f t="shared" ref="CW1759:CW1764" si="177">0.75*$BE$1741*COS(RADIANS($BR1759))+$BF$1741</f>
        <v>4.1892228840388235</v>
      </c>
      <c r="CX1759">
        <f t="shared" ref="CX1759:CX1764" si="178">0.75*$BE$1741*SIN(RADIANS($BR1759))+$BG$1741</f>
        <v>-0.34709570929847944</v>
      </c>
      <c r="CY1759">
        <f t="shared" ref="CY1759:CY1764" si="179">0.75*$BE$1742*COS(RADIANS($BR1759))+$BF$1742</f>
        <v>3.3414622494141852</v>
      </c>
      <c r="CZ1759">
        <f t="shared" ref="CZ1759:CZ1764" si="180">0.75*$BE$1742*SIN(RADIANS($BR1759))+$BG$1742</f>
        <v>0.66322607267538014</v>
      </c>
      <c r="DA1759">
        <f t="shared" ref="DA1759:DA1764" si="181">0.75*$BE$1743*COS(RADIANS($BR1759))+$BF$1743</f>
        <v>2.8689212367388035</v>
      </c>
      <c r="DB1759">
        <f t="shared" ref="DB1759:DB1764" si="182">0.75*$BE$1743*SIN(RADIANS($BR1759))+$BG$1743</f>
        <v>1.9877805282170931</v>
      </c>
      <c r="DC1759">
        <f t="shared" ref="DC1759:DC1764" si="183">0.75*$BE$1744*COS(RADIANS($BR1759))+$BF$1744</f>
        <v>6.9540701105272946</v>
      </c>
      <c r="DD1759">
        <f t="shared" ref="DD1759:DD1764" si="184">0.75*$BE$1744*SIN(RADIANS($BR1759))+$BG$1744</f>
        <v>0.50290429070152065</v>
      </c>
      <c r="DE1759">
        <f t="shared" ref="DE1759:DE1764" si="185">0.75*$BE$1745*COS(RADIANS($BR1759))+$BF$1745</f>
        <v>9.7330410000123173</v>
      </c>
      <c r="DF1759">
        <f t="shared" ref="DF1759:DF1764" si="186">0.75*$BE$1745*SIN(RADIANS($BR1759))+$BG$1745</f>
        <v>4.5142326735678537</v>
      </c>
      <c r="DG1759">
        <f t="shared" ref="DG1759:DG1764" si="187">0.75*$BE$1746*COS(RADIANS($BR1759))+$BF$1746</f>
        <v>16.773555707914099</v>
      </c>
      <c r="DH1759">
        <f t="shared" ref="DH1759:DH1764" si="188">0.75*$BE$1746*SIN(RADIANS($BR1759))+$BG$1746</f>
        <v>0.52372112261308956</v>
      </c>
    </row>
    <row r="1760" spans="54:112" x14ac:dyDescent="0.25">
      <c r="BB1760">
        <v>20</v>
      </c>
      <c r="BC1760">
        <f t="shared" si="147"/>
        <v>0.82082856997317277</v>
      </c>
      <c r="BD1760">
        <f t="shared" si="148"/>
        <v>0.29875716690552756</v>
      </c>
      <c r="BE1760">
        <f t="shared" si="149"/>
        <v>5.2621520590286996</v>
      </c>
      <c r="BF1760">
        <f t="shared" si="150"/>
        <v>1.8019271322201003</v>
      </c>
      <c r="BG1760">
        <f t="shared" si="151"/>
        <v>3.6096945431616545</v>
      </c>
      <c r="BH1760">
        <f t="shared" si="152"/>
        <v>1.2004817830550252</v>
      </c>
      <c r="BI1760">
        <f t="shared" si="153"/>
        <v>3.5158344157768173</v>
      </c>
      <c r="BJ1760">
        <f t="shared" si="154"/>
        <v>3.283514888544472</v>
      </c>
      <c r="BK1760">
        <f t="shared" si="155"/>
        <v>8.0269992855171708</v>
      </c>
      <c r="BL1760">
        <f t="shared" si="156"/>
        <v>2.6519271322201003</v>
      </c>
      <c r="BM1760">
        <f t="shared" si="157"/>
        <v>10.91641876654527</v>
      </c>
      <c r="BN1760">
        <f t="shared" si="158"/>
        <v>6.8844784546545226</v>
      </c>
      <c r="BO1760">
        <f t="shared" si="159"/>
        <v>18.745851985469017</v>
      </c>
      <c r="BP1760">
        <f t="shared" si="160"/>
        <v>4.4741307577575373</v>
      </c>
      <c r="BR1760">
        <v>-40</v>
      </c>
      <c r="BS1760">
        <f t="shared" si="161"/>
        <v>0.50185918581708056</v>
      </c>
      <c r="BT1760">
        <f t="shared" si="162"/>
        <v>-0.42110985772204235</v>
      </c>
      <c r="BU1760">
        <f t="shared" si="163"/>
        <v>4.1892228840388235</v>
      </c>
      <c r="BV1760">
        <f t="shared" si="164"/>
        <v>-0.34709570929847944</v>
      </c>
      <c r="BW1760">
        <f t="shared" si="165"/>
        <v>3.3414622494141852</v>
      </c>
      <c r="BX1760">
        <f t="shared" si="166"/>
        <v>0.66322607267538014</v>
      </c>
      <c r="BY1760">
        <f t="shared" si="167"/>
        <v>2.9996076493136679</v>
      </c>
      <c r="BZ1760">
        <f t="shared" si="168"/>
        <v>2.1184669407919579</v>
      </c>
      <c r="CA1760">
        <f t="shared" si="169"/>
        <v>6.9540701105272946</v>
      </c>
      <c r="CB1760">
        <f t="shared" si="170"/>
        <v>0.50290429070152065</v>
      </c>
      <c r="CC1760">
        <f t="shared" si="171"/>
        <v>9.9721015108199964</v>
      </c>
      <c r="CD1760">
        <f t="shared" si="172"/>
        <v>4.7532931843755328</v>
      </c>
      <c r="CE1760">
        <f t="shared" si="173"/>
        <v>16.773555707914099</v>
      </c>
      <c r="CF1760">
        <f t="shared" si="174"/>
        <v>0.52372112261308956</v>
      </c>
      <c r="CG1760">
        <f t="shared" ref="CG1760:CG1765" si="189">0.75*$BE$1740*COS(RADIANS($BR1759))+$BF$1740</f>
        <v>0.4211098577220424</v>
      </c>
      <c r="CH1760">
        <f t="shared" ref="CH1760:CH1765" si="190">0.75*$BE$1740*SIN(RADIANS($BR1759))+$BF$1740</f>
        <v>-0.50185918581708056</v>
      </c>
      <c r="CI1760">
        <f t="shared" ref="CI1760:CI1765" si="191">0.75*$BE$1741*COS(RADIANS($BR1759))+$BF$1741</f>
        <v>4.1892228840388235</v>
      </c>
      <c r="CJ1760">
        <f t="shared" ref="CJ1760:CJ1765" si="192">0.75*$BE$1741*SIN(RADIANS($BR1759))+$BG$1741</f>
        <v>-0.34709570929847944</v>
      </c>
      <c r="CK1760">
        <f t="shared" ref="CK1760:CK1765" si="193">0.75*$BE$1742*COS(RADIANS($BR1759))+$BF$1742</f>
        <v>3.3414622494141852</v>
      </c>
      <c r="CL1760">
        <f t="shared" ref="CL1760:CL1765" si="194">0.75*$BE$1742*SIN(RADIANS($BR1759))+$BG$1742</f>
        <v>0.66322607267538014</v>
      </c>
      <c r="CM1760">
        <f t="shared" ref="CM1760:CM1765" si="195">0.75*$BE$1743*COS(RADIANS($BR1759))+$BF$1743</f>
        <v>2.8689212367388035</v>
      </c>
      <c r="CN1760">
        <f t="shared" ref="CN1760:CN1765" si="196">0.75*$BE$1743*SIN(RADIANS($BR1759))+$BG$1743</f>
        <v>1.9877805282170931</v>
      </c>
      <c r="CO1760">
        <f t="shared" ref="CO1760:CO1765" si="197">0.75*$BE$1744*COS(RADIANS($BR1759))+$BF$1744</f>
        <v>6.9540701105272946</v>
      </c>
      <c r="CP1760">
        <f t="shared" ref="CP1760:CP1765" si="198">0.75*$BE$1744*SIN(RADIANS($BR1759))+$BG$1744</f>
        <v>0.50290429070152065</v>
      </c>
      <c r="CQ1760">
        <f t="shared" ref="CQ1760:CQ1765" si="199">0.75*$BE$1745*COS(RADIANS($BR1759))+$BF$1745</f>
        <v>9.7330410000123173</v>
      </c>
      <c r="CR1760">
        <f t="shared" ref="CR1760:CR1765" si="200">0.75*$BE$1745*SIN(RADIANS($BR1759))+$BG$1745</f>
        <v>4.5142326735678537</v>
      </c>
      <c r="CS1760">
        <f t="shared" ref="CS1760:CS1765" si="201">0.75*$BE$1746*COS(RADIANS($BR1759))+$BF$1746</f>
        <v>16.773555707914099</v>
      </c>
      <c r="CT1760">
        <f t="shared" ref="CT1760:CT1765" si="202">0.75*$BE$1746*SIN(RADIANS($BR1759))+$BG$1746</f>
        <v>0.52372112261308956</v>
      </c>
      <c r="CU1760">
        <f t="shared" si="175"/>
        <v>0.50185918581708056</v>
      </c>
      <c r="CV1760">
        <f t="shared" si="176"/>
        <v>-0.42110985772204235</v>
      </c>
      <c r="CW1760">
        <f t="shared" si="177"/>
        <v>4.4059710805044521</v>
      </c>
      <c r="CX1760">
        <f t="shared" si="178"/>
        <v>-0.1303475128328504</v>
      </c>
      <c r="CY1760">
        <f t="shared" si="179"/>
        <v>3.3956492985305924</v>
      </c>
      <c r="CZ1760">
        <f t="shared" si="180"/>
        <v>0.7174131217917874</v>
      </c>
      <c r="DA1760">
        <f t="shared" si="181"/>
        <v>2.9996076493136679</v>
      </c>
      <c r="DB1760">
        <f t="shared" si="182"/>
        <v>2.1184669407919579</v>
      </c>
      <c r="DC1760">
        <f t="shared" si="183"/>
        <v>7.1708183069929241</v>
      </c>
      <c r="DD1760">
        <f t="shared" si="184"/>
        <v>0.71965248716714969</v>
      </c>
      <c r="DE1760">
        <f t="shared" si="185"/>
        <v>9.9721015108199964</v>
      </c>
      <c r="DF1760">
        <f t="shared" si="186"/>
        <v>4.7532931843755328</v>
      </c>
      <c r="DG1760">
        <f t="shared" si="187"/>
        <v>17.171989892593562</v>
      </c>
      <c r="DH1760">
        <f t="shared" si="188"/>
        <v>0.92215530729255457</v>
      </c>
    </row>
    <row r="1761" spans="54:112" x14ac:dyDescent="0.25">
      <c r="BB1761">
        <v>30</v>
      </c>
      <c r="BC1761">
        <f t="shared" si="147"/>
        <v>0.75647970200542447</v>
      </c>
      <c r="BD1761">
        <f t="shared" si="148"/>
        <v>0.43675375958931961</v>
      </c>
      <c r="BE1761">
        <f t="shared" si="149"/>
        <v>5.0894261502731641</v>
      </c>
      <c r="BF1761">
        <f t="shared" si="150"/>
        <v>2.1723390388976473</v>
      </c>
      <c r="BG1761">
        <f t="shared" si="151"/>
        <v>3.5665130659727708</v>
      </c>
      <c r="BH1761">
        <f t="shared" si="152"/>
        <v>1.2930847597244117</v>
      </c>
      <c r="BI1761">
        <f t="shared" si="153"/>
        <v>3.4116908531448034</v>
      </c>
      <c r="BJ1761">
        <f t="shared" si="154"/>
        <v>3.5068514793353458</v>
      </c>
      <c r="BK1761">
        <f t="shared" si="155"/>
        <v>7.8542733767616362</v>
      </c>
      <c r="BL1761">
        <f t="shared" si="156"/>
        <v>3.0223390388976474</v>
      </c>
      <c r="BM1761">
        <f t="shared" si="157"/>
        <v>10.725912249535488</v>
      </c>
      <c r="BN1761">
        <f t="shared" si="158"/>
        <v>7.2930209987841703</v>
      </c>
      <c r="BO1761">
        <f t="shared" si="159"/>
        <v>18.428341123786048</v>
      </c>
      <c r="BP1761">
        <f t="shared" si="160"/>
        <v>5.1550349979736163</v>
      </c>
      <c r="BR1761">
        <v>-30</v>
      </c>
      <c r="BS1761">
        <f t="shared" si="161"/>
        <v>0.56735977650406832</v>
      </c>
      <c r="BT1761">
        <f t="shared" si="162"/>
        <v>-0.32756531969198971</v>
      </c>
      <c r="BU1761">
        <f t="shared" si="163"/>
        <v>4.4059710805044521</v>
      </c>
      <c r="BV1761">
        <f t="shared" si="164"/>
        <v>-0.1303475128328504</v>
      </c>
      <c r="BW1761">
        <f t="shared" si="165"/>
        <v>3.3956492985305924</v>
      </c>
      <c r="BX1761">
        <f t="shared" si="166"/>
        <v>0.7174131217917874</v>
      </c>
      <c r="BY1761">
        <f t="shared" si="167"/>
        <v>3.1056151842412927</v>
      </c>
      <c r="BZ1761">
        <f t="shared" si="168"/>
        <v>2.2698613904984901</v>
      </c>
      <c r="CA1761">
        <f t="shared" si="169"/>
        <v>7.1708183069929241</v>
      </c>
      <c r="CB1761">
        <f t="shared" si="170"/>
        <v>0.71965248716714969</v>
      </c>
      <c r="CC1761">
        <f t="shared" si="171"/>
        <v>10.166017733248578</v>
      </c>
      <c r="CD1761">
        <f t="shared" si="172"/>
        <v>5.0302342509118727</v>
      </c>
      <c r="CE1761">
        <f t="shared" si="173"/>
        <v>17.171989892593562</v>
      </c>
      <c r="CF1761">
        <f t="shared" si="174"/>
        <v>0.92215530729255457</v>
      </c>
      <c r="CG1761">
        <f t="shared" si="189"/>
        <v>0.50185918581708056</v>
      </c>
      <c r="CH1761">
        <f t="shared" si="190"/>
        <v>-0.42110985772204235</v>
      </c>
      <c r="CI1761">
        <f t="shared" si="191"/>
        <v>4.4059710805044521</v>
      </c>
      <c r="CJ1761">
        <f t="shared" si="192"/>
        <v>-0.1303475128328504</v>
      </c>
      <c r="CK1761">
        <f t="shared" si="193"/>
        <v>3.3956492985305924</v>
      </c>
      <c r="CL1761">
        <f t="shared" si="194"/>
        <v>0.7174131217917874</v>
      </c>
      <c r="CM1761">
        <f t="shared" si="195"/>
        <v>2.9996076493136679</v>
      </c>
      <c r="CN1761">
        <f t="shared" si="196"/>
        <v>2.1184669407919579</v>
      </c>
      <c r="CO1761">
        <f t="shared" si="197"/>
        <v>7.1708183069929241</v>
      </c>
      <c r="CP1761">
        <f t="shared" si="198"/>
        <v>0.71965248716714969</v>
      </c>
      <c r="CQ1761">
        <f t="shared" si="199"/>
        <v>9.9721015108199964</v>
      </c>
      <c r="CR1761">
        <f t="shared" si="200"/>
        <v>4.7532931843755328</v>
      </c>
      <c r="CS1761">
        <f t="shared" si="201"/>
        <v>17.171989892593562</v>
      </c>
      <c r="CT1761">
        <f t="shared" si="202"/>
        <v>0.92215530729255457</v>
      </c>
      <c r="CU1761">
        <f t="shared" si="175"/>
        <v>0.56735977650406832</v>
      </c>
      <c r="CV1761">
        <f t="shared" si="176"/>
        <v>-0.32756531969198971</v>
      </c>
      <c r="CW1761">
        <f t="shared" si="177"/>
        <v>4.5817884555063664</v>
      </c>
      <c r="CX1761">
        <f t="shared" si="178"/>
        <v>0.12074572082676449</v>
      </c>
      <c r="CY1761">
        <f t="shared" si="179"/>
        <v>3.439603642281071</v>
      </c>
      <c r="CZ1761">
        <f t="shared" si="180"/>
        <v>0.7801864302066911</v>
      </c>
      <c r="DA1761">
        <f t="shared" si="181"/>
        <v>3.1056151842412927</v>
      </c>
      <c r="DB1761">
        <f t="shared" si="182"/>
        <v>2.2698613904984901</v>
      </c>
      <c r="DC1761">
        <f t="shared" si="183"/>
        <v>7.3466356819948384</v>
      </c>
      <c r="DD1761">
        <f t="shared" si="184"/>
        <v>0.97074572082676458</v>
      </c>
      <c r="DE1761">
        <f t="shared" si="185"/>
        <v>10.166017733248578</v>
      </c>
      <c r="DF1761">
        <f t="shared" si="186"/>
        <v>5.0302342509118727</v>
      </c>
      <c r="DG1761">
        <f t="shared" si="187"/>
        <v>17.495183596641198</v>
      </c>
      <c r="DH1761">
        <f t="shared" si="188"/>
        <v>1.3837237515197878</v>
      </c>
    </row>
    <row r="1762" spans="54:112" x14ac:dyDescent="0.25">
      <c r="BB1762">
        <v>40</v>
      </c>
      <c r="BC1762">
        <f t="shared" si="147"/>
        <v>0.66914558108944078</v>
      </c>
      <c r="BD1762">
        <f t="shared" si="148"/>
        <v>0.56147981029605643</v>
      </c>
      <c r="BE1762">
        <f t="shared" si="149"/>
        <v>4.8550029836039457</v>
      </c>
      <c r="BF1762">
        <f t="shared" si="150"/>
        <v>2.5071300171104673</v>
      </c>
      <c r="BG1762">
        <f t="shared" si="151"/>
        <v>3.5079072743054658</v>
      </c>
      <c r="BH1762">
        <f t="shared" si="152"/>
        <v>1.3767825042776169</v>
      </c>
      <c r="BI1762">
        <f t="shared" si="153"/>
        <v>3.2703474732413031</v>
      </c>
      <c r="BJ1762">
        <f t="shared" si="154"/>
        <v>3.7087107456107224</v>
      </c>
      <c r="BK1762">
        <f t="shared" si="155"/>
        <v>7.6198502100924168</v>
      </c>
      <c r="BL1762">
        <f t="shared" si="156"/>
        <v>3.3571300171104674</v>
      </c>
      <c r="BM1762">
        <f t="shared" si="157"/>
        <v>10.467357286297378</v>
      </c>
      <c r="BN1762">
        <f t="shared" si="158"/>
        <v>7.6622757541659565</v>
      </c>
      <c r="BO1762">
        <f t="shared" si="159"/>
        <v>17.997416185055865</v>
      </c>
      <c r="BP1762">
        <f t="shared" si="160"/>
        <v>5.7704595902765945</v>
      </c>
      <c r="BR1762">
        <v>-20</v>
      </c>
      <c r="BS1762">
        <f t="shared" si="161"/>
        <v>0.61562142747987958</v>
      </c>
      <c r="BT1762">
        <f t="shared" si="162"/>
        <v>-0.22406787517914567</v>
      </c>
      <c r="BU1762">
        <f t="shared" si="163"/>
        <v>4.5817884555063664</v>
      </c>
      <c r="BV1762">
        <f t="shared" si="164"/>
        <v>0.12074572082676449</v>
      </c>
      <c r="BW1762">
        <f t="shared" si="165"/>
        <v>3.439603642281071</v>
      </c>
      <c r="BX1762">
        <f t="shared" si="166"/>
        <v>0.7801864302066911</v>
      </c>
      <c r="BY1762">
        <f t="shared" si="167"/>
        <v>3.183722856215303</v>
      </c>
      <c r="BZ1762">
        <f t="shared" si="168"/>
        <v>2.4373638335916459</v>
      </c>
      <c r="CA1762">
        <f t="shared" si="169"/>
        <v>7.3466356819948384</v>
      </c>
      <c r="CB1762">
        <f t="shared" si="170"/>
        <v>0.97074572082676458</v>
      </c>
      <c r="CC1762">
        <f t="shared" si="171"/>
        <v>10.308897621005915</v>
      </c>
      <c r="CD1762">
        <f t="shared" si="172"/>
        <v>5.3366411590091083</v>
      </c>
      <c r="CE1762">
        <f t="shared" si="173"/>
        <v>17.495183596641198</v>
      </c>
      <c r="CF1762">
        <f t="shared" si="174"/>
        <v>1.3837237515197878</v>
      </c>
      <c r="CG1762">
        <f t="shared" si="189"/>
        <v>0.56735977650406832</v>
      </c>
      <c r="CH1762">
        <f t="shared" si="190"/>
        <v>-0.32756531969198971</v>
      </c>
      <c r="CI1762">
        <f t="shared" si="191"/>
        <v>4.5817884555063664</v>
      </c>
      <c r="CJ1762">
        <f t="shared" si="192"/>
        <v>0.12074572082676449</v>
      </c>
      <c r="CK1762">
        <f t="shared" si="193"/>
        <v>3.439603642281071</v>
      </c>
      <c r="CL1762">
        <f t="shared" si="194"/>
        <v>0.7801864302066911</v>
      </c>
      <c r="CM1762">
        <f t="shared" si="195"/>
        <v>3.1056151842412927</v>
      </c>
      <c r="CN1762">
        <f t="shared" si="196"/>
        <v>2.2698613904984901</v>
      </c>
      <c r="CO1762">
        <f t="shared" si="197"/>
        <v>7.3466356819948384</v>
      </c>
      <c r="CP1762">
        <f t="shared" si="198"/>
        <v>0.97074572082676458</v>
      </c>
      <c r="CQ1762">
        <f t="shared" si="199"/>
        <v>10.166017733248578</v>
      </c>
      <c r="CR1762">
        <f t="shared" si="200"/>
        <v>5.0302342509118727</v>
      </c>
      <c r="CS1762">
        <f t="shared" si="201"/>
        <v>17.495183596641198</v>
      </c>
      <c r="CT1762">
        <f t="shared" si="202"/>
        <v>1.3837237515197878</v>
      </c>
      <c r="CU1762">
        <f t="shared" si="175"/>
        <v>0.61562142747987958</v>
      </c>
      <c r="CV1762">
        <f t="shared" si="176"/>
        <v>-0.22406787517914567</v>
      </c>
      <c r="CW1762">
        <f t="shared" si="177"/>
        <v>4.7113328870730182</v>
      </c>
      <c r="CX1762">
        <f t="shared" si="178"/>
        <v>0.39855465083492481</v>
      </c>
      <c r="CY1762">
        <f t="shared" si="179"/>
        <v>3.4719897501727339</v>
      </c>
      <c r="CZ1762">
        <f t="shared" si="180"/>
        <v>0.84963866270873123</v>
      </c>
      <c r="DA1762">
        <f t="shared" si="181"/>
        <v>3.183722856215303</v>
      </c>
      <c r="DB1762">
        <f t="shared" si="182"/>
        <v>2.4373638335916459</v>
      </c>
      <c r="DC1762">
        <f t="shared" si="183"/>
        <v>7.4761801135614894</v>
      </c>
      <c r="DD1762">
        <f t="shared" si="184"/>
        <v>1.248554650834925</v>
      </c>
      <c r="DE1762">
        <f t="shared" si="185"/>
        <v>10.308897621005915</v>
      </c>
      <c r="DF1762">
        <f t="shared" si="186"/>
        <v>5.3366411590091083</v>
      </c>
      <c r="DG1762">
        <f t="shared" si="187"/>
        <v>17.733316742903426</v>
      </c>
      <c r="DH1762">
        <f t="shared" si="188"/>
        <v>1.8944019316818472</v>
      </c>
    </row>
    <row r="1763" spans="54:112" x14ac:dyDescent="0.25">
      <c r="BB1763">
        <v>50</v>
      </c>
      <c r="BC1763">
        <f t="shared" si="147"/>
        <v>0.56147981029605654</v>
      </c>
      <c r="BD1763">
        <f t="shared" si="148"/>
        <v>0.66914558108944078</v>
      </c>
      <c r="BE1763">
        <f t="shared" si="149"/>
        <v>4.56600538831644</v>
      </c>
      <c r="BF1763">
        <f t="shared" si="150"/>
        <v>2.7961276123979726</v>
      </c>
      <c r="BG1763">
        <f t="shared" si="151"/>
        <v>3.4356578754835896</v>
      </c>
      <c r="BH1763">
        <f t="shared" si="152"/>
        <v>1.4490319030994931</v>
      </c>
      <c r="BI1763">
        <f t="shared" si="153"/>
        <v>3.0960989231414842</v>
      </c>
      <c r="BJ1763">
        <f t="shared" si="154"/>
        <v>3.8829592957105419</v>
      </c>
      <c r="BK1763">
        <f t="shared" si="155"/>
        <v>7.330852614804912</v>
      </c>
      <c r="BL1763">
        <f t="shared" si="156"/>
        <v>3.6461276123979727</v>
      </c>
      <c r="BM1763">
        <f t="shared" si="157"/>
        <v>10.148609938553808</v>
      </c>
      <c r="BN1763">
        <f t="shared" si="158"/>
        <v>7.9810231019095284</v>
      </c>
      <c r="BO1763">
        <f t="shared" si="159"/>
        <v>17.466170605483246</v>
      </c>
      <c r="BP1763">
        <f t="shared" si="160"/>
        <v>6.3017051698492139</v>
      </c>
      <c r="BR1763">
        <v>-10</v>
      </c>
      <c r="BS1763">
        <f t="shared" si="161"/>
        <v>0.64517773290118807</v>
      </c>
      <c r="BT1763">
        <f t="shared" si="162"/>
        <v>-0.11376224166279894</v>
      </c>
      <c r="BU1763">
        <f t="shared" si="163"/>
        <v>4.7113328870730182</v>
      </c>
      <c r="BV1763">
        <f t="shared" si="164"/>
        <v>0.39855465083492481</v>
      </c>
      <c r="BW1763">
        <f t="shared" si="165"/>
        <v>3.4719897501727339</v>
      </c>
      <c r="BX1763">
        <f t="shared" si="166"/>
        <v>0.84963866270873123</v>
      </c>
      <c r="BY1763">
        <f t="shared" si="167"/>
        <v>3.2315574031471574</v>
      </c>
      <c r="BZ1763">
        <f t="shared" si="168"/>
        <v>2.6158847930983646</v>
      </c>
      <c r="CA1763">
        <f t="shared" si="169"/>
        <v>7.4761801135614894</v>
      </c>
      <c r="CB1763">
        <f t="shared" si="170"/>
        <v>1.248554650834925</v>
      </c>
      <c r="CC1763">
        <f t="shared" si="171"/>
        <v>10.396399841003209</v>
      </c>
      <c r="CD1763">
        <f t="shared" si="172"/>
        <v>5.6632038898140822</v>
      </c>
      <c r="CE1763">
        <f t="shared" si="173"/>
        <v>17.733316742903426</v>
      </c>
      <c r="CF1763">
        <f t="shared" si="174"/>
        <v>1.8944019316818472</v>
      </c>
      <c r="CG1763">
        <f t="shared" si="189"/>
        <v>0.61562142747987958</v>
      </c>
      <c r="CH1763">
        <f t="shared" si="190"/>
        <v>-0.22406787517914567</v>
      </c>
      <c r="CI1763">
        <f t="shared" si="191"/>
        <v>4.7113328870730182</v>
      </c>
      <c r="CJ1763">
        <f t="shared" si="192"/>
        <v>0.39855465083492481</v>
      </c>
      <c r="CK1763">
        <f t="shared" si="193"/>
        <v>3.4719897501727339</v>
      </c>
      <c r="CL1763">
        <f t="shared" si="194"/>
        <v>0.84963866270873123</v>
      </c>
      <c r="CM1763">
        <f t="shared" si="195"/>
        <v>3.183722856215303</v>
      </c>
      <c r="CN1763">
        <f t="shared" si="196"/>
        <v>2.4373638335916459</v>
      </c>
      <c r="CO1763">
        <f t="shared" si="197"/>
        <v>7.4761801135614894</v>
      </c>
      <c r="CP1763">
        <f t="shared" si="198"/>
        <v>1.248554650834925</v>
      </c>
      <c r="CQ1763">
        <f t="shared" si="199"/>
        <v>10.308897621005915</v>
      </c>
      <c r="CR1763">
        <f t="shared" si="200"/>
        <v>5.3366411590091083</v>
      </c>
      <c r="CS1763">
        <f t="shared" si="201"/>
        <v>17.733316742903426</v>
      </c>
      <c r="CT1763">
        <f t="shared" si="202"/>
        <v>1.8944019316818472</v>
      </c>
      <c r="CU1763">
        <f t="shared" si="175"/>
        <v>0.64517773290118807</v>
      </c>
      <c r="CV1763">
        <f t="shared" si="176"/>
        <v>-0.11376224166279894</v>
      </c>
      <c r="CW1763">
        <f t="shared" si="177"/>
        <v>4.7906682332038981</v>
      </c>
      <c r="CX1763">
        <f t="shared" si="178"/>
        <v>0.69463819343143451</v>
      </c>
      <c r="CY1763">
        <f t="shared" si="179"/>
        <v>3.4918235867054541</v>
      </c>
      <c r="CZ1763">
        <f t="shared" si="180"/>
        <v>0.92365954835785857</v>
      </c>
      <c r="DA1763">
        <f t="shared" si="181"/>
        <v>3.2315574031471574</v>
      </c>
      <c r="DB1763">
        <f t="shared" si="182"/>
        <v>2.6158847930983646</v>
      </c>
      <c r="DC1763">
        <f t="shared" si="183"/>
        <v>7.5555154596923702</v>
      </c>
      <c r="DD1763">
        <f t="shared" si="184"/>
        <v>1.5446381934314346</v>
      </c>
      <c r="DE1763">
        <f t="shared" si="185"/>
        <v>10.396399841003209</v>
      </c>
      <c r="DF1763">
        <f t="shared" si="186"/>
        <v>5.6632038898140822</v>
      </c>
      <c r="DG1763">
        <f t="shared" si="187"/>
        <v>17.879153776232251</v>
      </c>
      <c r="DH1763">
        <f t="shared" si="188"/>
        <v>2.4386731496901368</v>
      </c>
    </row>
    <row r="1764" spans="54:112" x14ac:dyDescent="0.25">
      <c r="BB1764">
        <v>60</v>
      </c>
      <c r="BC1764">
        <f t="shared" si="147"/>
        <v>0.43675375958931978</v>
      </c>
      <c r="BD1764">
        <f t="shared" si="148"/>
        <v>0.75647970200542436</v>
      </c>
      <c r="BE1764">
        <f t="shared" si="149"/>
        <v>4.23121441010362</v>
      </c>
      <c r="BF1764">
        <f t="shared" si="150"/>
        <v>3.0305507790671919</v>
      </c>
      <c r="BG1764">
        <f t="shared" si="151"/>
        <v>3.3519601309303848</v>
      </c>
      <c r="BH1764">
        <f t="shared" si="152"/>
        <v>1.507637694766798</v>
      </c>
      <c r="BI1764">
        <f t="shared" si="153"/>
        <v>2.8942396568661075</v>
      </c>
      <c r="BJ1764">
        <f t="shared" si="154"/>
        <v>4.0243026756140416</v>
      </c>
      <c r="BK1764">
        <f t="shared" si="155"/>
        <v>6.996061636592092</v>
      </c>
      <c r="BL1764">
        <f t="shared" si="156"/>
        <v>3.880550779067192</v>
      </c>
      <c r="BM1764">
        <f t="shared" si="157"/>
        <v>9.7793551831720205</v>
      </c>
      <c r="BN1764">
        <f t="shared" si="158"/>
        <v>8.2395780651476382</v>
      </c>
      <c r="BO1764">
        <f t="shared" si="159"/>
        <v>16.85074601318027</v>
      </c>
      <c r="BP1764">
        <f t="shared" si="160"/>
        <v>6.7326301085793965</v>
      </c>
      <c r="BR1764">
        <v>0</v>
      </c>
      <c r="BS1764">
        <f t="shared" si="161"/>
        <v>0.65513063938397953</v>
      </c>
      <c r="BT1764">
        <f t="shared" si="162"/>
        <v>0</v>
      </c>
      <c r="BU1764">
        <f t="shared" si="163"/>
        <v>4.7906682332038981</v>
      </c>
      <c r="BV1764">
        <f t="shared" si="164"/>
        <v>0.69463819343143451</v>
      </c>
      <c r="BW1764">
        <f t="shared" si="165"/>
        <v>3.4918235867054541</v>
      </c>
      <c r="BX1764">
        <f t="shared" si="166"/>
        <v>0.92365954835785857</v>
      </c>
      <c r="BY1764">
        <f t="shared" si="167"/>
        <v>3.2476653965337805</v>
      </c>
      <c r="BZ1764">
        <f t="shared" si="168"/>
        <v>2.8</v>
      </c>
      <c r="CA1764">
        <f t="shared" si="169"/>
        <v>7.5555154596923702</v>
      </c>
      <c r="CB1764">
        <f t="shared" si="170"/>
        <v>1.5446381934314346</v>
      </c>
      <c r="CC1764">
        <f t="shared" si="171"/>
        <v>10.425865682564105</v>
      </c>
      <c r="CD1764">
        <f t="shared" si="172"/>
        <v>6</v>
      </c>
      <c r="CE1764">
        <f t="shared" si="173"/>
        <v>17.879153776232251</v>
      </c>
      <c r="CF1764">
        <f t="shared" si="174"/>
        <v>2.4386731496901368</v>
      </c>
      <c r="CG1764">
        <f t="shared" si="189"/>
        <v>0.64517773290118807</v>
      </c>
      <c r="CH1764">
        <f t="shared" si="190"/>
        <v>-0.11376224166279894</v>
      </c>
      <c r="CI1764">
        <f t="shared" si="191"/>
        <v>4.7906682332038981</v>
      </c>
      <c r="CJ1764">
        <f t="shared" si="192"/>
        <v>0.69463819343143451</v>
      </c>
      <c r="CK1764">
        <f t="shared" si="193"/>
        <v>3.4918235867054541</v>
      </c>
      <c r="CL1764">
        <f t="shared" si="194"/>
        <v>0.92365954835785857</v>
      </c>
      <c r="CM1764">
        <f t="shared" si="195"/>
        <v>3.2315574031471574</v>
      </c>
      <c r="CN1764">
        <f t="shared" si="196"/>
        <v>2.6158847930983646</v>
      </c>
      <c r="CO1764">
        <f t="shared" si="197"/>
        <v>7.5555154596923702</v>
      </c>
      <c r="CP1764">
        <f t="shared" si="198"/>
        <v>1.5446381934314346</v>
      </c>
      <c r="CQ1764">
        <f t="shared" si="199"/>
        <v>10.396399841003209</v>
      </c>
      <c r="CR1764">
        <f t="shared" si="200"/>
        <v>5.6632038898140822</v>
      </c>
      <c r="CS1764">
        <f t="shared" si="201"/>
        <v>17.879153776232251</v>
      </c>
      <c r="CT1764">
        <f t="shared" si="202"/>
        <v>2.4386731496901368</v>
      </c>
      <c r="CU1764">
        <f t="shared" si="175"/>
        <v>0.65513063938397953</v>
      </c>
      <c r="CV1764">
        <f t="shared" si="176"/>
        <v>0</v>
      </c>
      <c r="CW1764">
        <f t="shared" si="177"/>
        <v>4.8173839295524434</v>
      </c>
      <c r="CX1764">
        <f t="shared" si="178"/>
        <v>1</v>
      </c>
      <c r="CY1764">
        <f t="shared" si="179"/>
        <v>3.4985025107925907</v>
      </c>
      <c r="CZ1764">
        <f t="shared" si="180"/>
        <v>1</v>
      </c>
      <c r="DA1764">
        <f t="shared" si="181"/>
        <v>3.2476653965337805</v>
      </c>
      <c r="DB1764">
        <f t="shared" si="182"/>
        <v>2.8</v>
      </c>
      <c r="DC1764">
        <f t="shared" si="183"/>
        <v>7.5822311560409155</v>
      </c>
      <c r="DD1764">
        <f t="shared" si="184"/>
        <v>1.85</v>
      </c>
      <c r="DE1764">
        <f t="shared" si="185"/>
        <v>10.425865682564105</v>
      </c>
      <c r="DF1764">
        <f t="shared" si="186"/>
        <v>6</v>
      </c>
      <c r="DG1764">
        <f t="shared" si="187"/>
        <v>17.928263512167078</v>
      </c>
      <c r="DH1764">
        <f t="shared" si="188"/>
        <v>3</v>
      </c>
    </row>
    <row r="1765" spans="54:112" x14ac:dyDescent="0.25">
      <c r="BB1765">
        <v>70</v>
      </c>
      <c r="BC1765">
        <f t="shared" si="147"/>
        <v>0.29875716690552762</v>
      </c>
      <c r="BD1765">
        <f t="shared" si="148"/>
        <v>0.82082856997317266</v>
      </c>
      <c r="BE1765">
        <f t="shared" si="149"/>
        <v>3.8608025034260729</v>
      </c>
      <c r="BF1765">
        <f t="shared" si="150"/>
        <v>3.2032766878227266</v>
      </c>
      <c r="BG1765">
        <f t="shared" si="151"/>
        <v>3.2593571542609978</v>
      </c>
      <c r="BH1765">
        <f t="shared" si="152"/>
        <v>1.5508191719556816</v>
      </c>
      <c r="BI1765">
        <f t="shared" si="153"/>
        <v>2.6709030660752333</v>
      </c>
      <c r="BJ1765">
        <f t="shared" si="154"/>
        <v>4.1284462382460561</v>
      </c>
      <c r="BK1765">
        <f t="shared" si="155"/>
        <v>6.6256497299145449</v>
      </c>
      <c r="BL1765">
        <f t="shared" si="156"/>
        <v>4.0532766878227271</v>
      </c>
      <c r="BM1765">
        <f t="shared" si="157"/>
        <v>9.3708126390423736</v>
      </c>
      <c r="BN1765">
        <f t="shared" si="158"/>
        <v>8.43008458215742</v>
      </c>
      <c r="BO1765">
        <f t="shared" si="159"/>
        <v>16.16984177296419</v>
      </c>
      <c r="BP1765">
        <f t="shared" si="160"/>
        <v>7.0501409702623654</v>
      </c>
      <c r="BS1765">
        <f t="shared" si="161"/>
        <v>0.76431907928130949</v>
      </c>
      <c r="BT1765">
        <f t="shared" si="162"/>
        <v>-0.10918843989732992</v>
      </c>
      <c r="BU1765">
        <f t="shared" si="163"/>
        <v>4.8173839295524434</v>
      </c>
      <c r="BV1765">
        <f t="shared" si="164"/>
        <v>1</v>
      </c>
      <c r="BW1765">
        <f t="shared" si="165"/>
        <v>3.4985025107925907</v>
      </c>
      <c r="BX1765">
        <f t="shared" si="166"/>
        <v>1</v>
      </c>
      <c r="BY1765">
        <f t="shared" si="167"/>
        <v>3.4243782663676172</v>
      </c>
      <c r="BZ1765">
        <f t="shared" si="168"/>
        <v>2.6232871301661631</v>
      </c>
      <c r="CA1765">
        <f t="shared" si="169"/>
        <v>7.5822311560409155</v>
      </c>
      <c r="CB1765">
        <f t="shared" si="170"/>
        <v>1.85</v>
      </c>
      <c r="CC1765">
        <f t="shared" si="171"/>
        <v>10.749120932260148</v>
      </c>
      <c r="CD1765">
        <f t="shared" si="172"/>
        <v>5.6767447503039579</v>
      </c>
      <c r="CE1765">
        <f t="shared" si="173"/>
        <v>17.928263512167078</v>
      </c>
      <c r="CF1765">
        <f t="shared" si="174"/>
        <v>3</v>
      </c>
      <c r="CG1765">
        <f t="shared" si="189"/>
        <v>0.65513063938397953</v>
      </c>
      <c r="CH1765">
        <f t="shared" si="190"/>
        <v>0</v>
      </c>
      <c r="CI1765">
        <f t="shared" si="191"/>
        <v>4.8173839295524434</v>
      </c>
      <c r="CJ1765">
        <f t="shared" si="192"/>
        <v>1</v>
      </c>
      <c r="CK1765">
        <f t="shared" si="193"/>
        <v>3.4985025107925907</v>
      </c>
      <c r="CL1765">
        <f t="shared" si="194"/>
        <v>1</v>
      </c>
      <c r="CM1765">
        <f t="shared" si="195"/>
        <v>3.2476653965337805</v>
      </c>
      <c r="CN1765">
        <f t="shared" si="196"/>
        <v>2.8</v>
      </c>
      <c r="CO1765">
        <f t="shared" si="197"/>
        <v>7.5822311560409155</v>
      </c>
      <c r="CP1765">
        <f t="shared" si="198"/>
        <v>1.85</v>
      </c>
      <c r="CQ1765">
        <f t="shared" si="199"/>
        <v>10.425865682564105</v>
      </c>
      <c r="CR1765">
        <f t="shared" si="200"/>
        <v>6</v>
      </c>
      <c r="CS1765">
        <f t="shared" si="201"/>
        <v>17.928263512167078</v>
      </c>
      <c r="CT1765">
        <f t="shared" si="202"/>
        <v>3</v>
      </c>
      <c r="CU1765">
        <f>CU1764+0.125*$BE$1740</f>
        <v>0.76431907928130949</v>
      </c>
      <c r="CV1765">
        <f>CV1764-0.125*$BE$1740</f>
        <v>-0.10918843989732992</v>
      </c>
      <c r="CW1765">
        <f>CW1764+0.125*$BE$1741</f>
        <v>5.1104686892768552</v>
      </c>
      <c r="CX1765">
        <f>CX1764-0.125*$BE$1741</f>
        <v>0.70691524027558805</v>
      </c>
      <c r="CY1765">
        <f>CY1764+0.125*$BE$1742</f>
        <v>3.5717737007236936</v>
      </c>
      <c r="CZ1765">
        <f>CZ1764-0.125*$BE$1742</f>
        <v>0.92672881006889707</v>
      </c>
      <c r="DA1765">
        <f>DA1764+0.125*$BE$1743</f>
        <v>3.4243782663676172</v>
      </c>
      <c r="DB1765">
        <f>DB1764-0.125*$BE$1743</f>
        <v>2.6232871301661631</v>
      </c>
      <c r="DC1765">
        <f>DC1764+0.125*$BE$1744</f>
        <v>7.8753159157653272</v>
      </c>
      <c r="DD1765">
        <f>DD1764-0.125*$BE$1744</f>
        <v>1.5569152402755881</v>
      </c>
      <c r="DE1765">
        <f>DE1764+0.125*$BE$1745</f>
        <v>10.749120932260148</v>
      </c>
      <c r="DF1765">
        <f>DF1764-0.125*$BE$1745</f>
        <v>5.6767447503039579</v>
      </c>
      <c r="DG1765">
        <f>DG1764+0.125*$BE$1746</f>
        <v>18.467022261660482</v>
      </c>
      <c r="DH1765">
        <f>DH1764-0.125*$BE$1746</f>
        <v>2.4612412505065957</v>
      </c>
    </row>
    <row r="1766" spans="54:112" x14ac:dyDescent="0.25">
      <c r="BB1766">
        <v>80</v>
      </c>
      <c r="BC1766">
        <f t="shared" si="147"/>
        <v>0.151682988883732</v>
      </c>
      <c r="BD1766">
        <f t="shared" si="148"/>
        <v>0.86023697720158399</v>
      </c>
      <c r="BE1766">
        <f t="shared" si="149"/>
        <v>3.4660244466307271</v>
      </c>
      <c r="BF1766">
        <f t="shared" si="150"/>
        <v>3.3090571493305676</v>
      </c>
      <c r="BG1766">
        <f t="shared" si="151"/>
        <v>3.1606626400621614</v>
      </c>
      <c r="BH1766">
        <f t="shared" si="152"/>
        <v>1.5772642873326419</v>
      </c>
      <c r="BI1766">
        <f t="shared" si="153"/>
        <v>2.4328751200662748</v>
      </c>
      <c r="BJ1766">
        <f t="shared" si="154"/>
        <v>4.1922256341551947</v>
      </c>
      <c r="BK1766">
        <f t="shared" si="155"/>
        <v>6.2308716731191982</v>
      </c>
      <c r="BL1766">
        <f t="shared" si="156"/>
        <v>4.1590571493305681</v>
      </c>
      <c r="BM1766">
        <f t="shared" si="157"/>
        <v>8.9353956646357418</v>
      </c>
      <c r="BN1766">
        <f t="shared" si="158"/>
        <v>8.5467542088204791</v>
      </c>
      <c r="BO1766">
        <f t="shared" si="159"/>
        <v>15.444146815619803</v>
      </c>
      <c r="BP1766">
        <f t="shared" si="160"/>
        <v>7.2445903480341318</v>
      </c>
    </row>
    <row r="1767" spans="54:112" x14ac:dyDescent="0.25">
      <c r="BB1767">
        <v>90</v>
      </c>
      <c r="BC1767">
        <f t="shared" si="147"/>
        <v>5.3508819373638589E-17</v>
      </c>
      <c r="BD1767">
        <f t="shared" si="148"/>
        <v>0.87350751917863934</v>
      </c>
      <c r="BE1767">
        <f t="shared" si="149"/>
        <v>3.0588753712059726</v>
      </c>
      <c r="BF1767">
        <f t="shared" si="150"/>
        <v>3.3446780777952951</v>
      </c>
      <c r="BG1767">
        <f t="shared" si="151"/>
        <v>3.0588753712059726</v>
      </c>
      <c r="BH1767">
        <f t="shared" si="152"/>
        <v>1.5861695194488239</v>
      </c>
      <c r="BI1767">
        <f t="shared" si="153"/>
        <v>2.1873881775307611</v>
      </c>
      <c r="BJ1767">
        <f t="shared" si="154"/>
        <v>4.2137029586706927</v>
      </c>
      <c r="BK1767">
        <f t="shared" si="155"/>
        <v>5.8237225976944442</v>
      </c>
      <c r="BL1767">
        <f t="shared" si="156"/>
        <v>4.1946780777952952</v>
      </c>
      <c r="BM1767">
        <f t="shared" si="157"/>
        <v>8.4863341843878501</v>
      </c>
      <c r="BN1767">
        <f t="shared" si="158"/>
        <v>8.5860419975683406</v>
      </c>
      <c r="BO1767">
        <f t="shared" si="159"/>
        <v>14.695711015206651</v>
      </c>
      <c r="BP1767">
        <f t="shared" si="160"/>
        <v>7.3100699959472335</v>
      </c>
    </row>
    <row r="1768" spans="54:112" x14ac:dyDescent="0.25">
      <c r="BB1768">
        <v>100</v>
      </c>
      <c r="BC1768">
        <f t="shared" si="147"/>
        <v>-0.15168298888373188</v>
      </c>
      <c r="BD1768">
        <f t="shared" si="148"/>
        <v>0.86023697720158399</v>
      </c>
      <c r="BE1768">
        <f t="shared" si="149"/>
        <v>2.6517262957812187</v>
      </c>
      <c r="BF1768">
        <f t="shared" si="150"/>
        <v>3.3090571493305676</v>
      </c>
      <c r="BG1768">
        <f t="shared" si="151"/>
        <v>2.9570881023497839</v>
      </c>
      <c r="BH1768">
        <f t="shared" si="152"/>
        <v>1.5772642873326419</v>
      </c>
      <c r="BI1768">
        <f t="shared" si="153"/>
        <v>1.9419012349952476</v>
      </c>
      <c r="BJ1768">
        <f t="shared" si="154"/>
        <v>4.1922256341551947</v>
      </c>
      <c r="BK1768">
        <f t="shared" si="155"/>
        <v>5.4165735222696902</v>
      </c>
      <c r="BL1768">
        <f t="shared" si="156"/>
        <v>4.1590571493305681</v>
      </c>
      <c r="BM1768">
        <f t="shared" si="157"/>
        <v>8.0372727041399603</v>
      </c>
      <c r="BN1768">
        <f t="shared" si="158"/>
        <v>8.5467542088204791</v>
      </c>
      <c r="BO1768">
        <f t="shared" si="159"/>
        <v>13.9472752147935</v>
      </c>
      <c r="BP1768">
        <f t="shared" si="160"/>
        <v>7.2445903480341318</v>
      </c>
    </row>
    <row r="1769" spans="54:112" x14ac:dyDescent="0.25">
      <c r="BB1769">
        <v>110</v>
      </c>
      <c r="BC1769">
        <f t="shared" si="147"/>
        <v>-0.29875716690552756</v>
      </c>
      <c r="BD1769">
        <f t="shared" si="148"/>
        <v>0.82082856997317277</v>
      </c>
      <c r="BE1769">
        <f t="shared" si="149"/>
        <v>2.2569482389858724</v>
      </c>
      <c r="BF1769">
        <f t="shared" si="150"/>
        <v>3.203276687822727</v>
      </c>
      <c r="BG1769">
        <f t="shared" si="151"/>
        <v>2.8583935881509475</v>
      </c>
      <c r="BH1769">
        <f t="shared" si="152"/>
        <v>1.5508191719556819</v>
      </c>
      <c r="BI1769">
        <f t="shared" si="153"/>
        <v>1.7038732889862889</v>
      </c>
      <c r="BJ1769">
        <f t="shared" si="154"/>
        <v>4.1284462382460561</v>
      </c>
      <c r="BK1769">
        <f t="shared" si="155"/>
        <v>5.0217954654743444</v>
      </c>
      <c r="BL1769">
        <f t="shared" si="156"/>
        <v>4.0532766878227271</v>
      </c>
      <c r="BM1769">
        <f t="shared" si="157"/>
        <v>7.6018557297333276</v>
      </c>
      <c r="BN1769">
        <f t="shared" si="158"/>
        <v>8.43008458215742</v>
      </c>
      <c r="BO1769">
        <f t="shared" si="159"/>
        <v>13.221580257449114</v>
      </c>
      <c r="BP1769">
        <f t="shared" si="160"/>
        <v>7.0501409702623654</v>
      </c>
    </row>
    <row r="1770" spans="54:112" x14ac:dyDescent="0.25">
      <c r="BB1770">
        <v>120</v>
      </c>
      <c r="BC1770">
        <f t="shared" si="147"/>
        <v>-0.4367537595893195</v>
      </c>
      <c r="BD1770">
        <f t="shared" si="148"/>
        <v>0.75647970200542447</v>
      </c>
      <c r="BE1770">
        <f t="shared" si="149"/>
        <v>1.8865363323083255</v>
      </c>
      <c r="BF1770">
        <f t="shared" si="150"/>
        <v>3.0305507790671919</v>
      </c>
      <c r="BG1770">
        <f t="shared" si="151"/>
        <v>2.7657906114815609</v>
      </c>
      <c r="BH1770">
        <f t="shared" si="152"/>
        <v>1.507637694766798</v>
      </c>
      <c r="BI1770">
        <f t="shared" si="153"/>
        <v>1.4805366981954151</v>
      </c>
      <c r="BJ1770">
        <f t="shared" si="154"/>
        <v>4.0243026756140416</v>
      </c>
      <c r="BK1770">
        <f t="shared" si="155"/>
        <v>4.6513835587967973</v>
      </c>
      <c r="BL1770">
        <f t="shared" si="156"/>
        <v>3.880550779067192</v>
      </c>
      <c r="BM1770">
        <f t="shared" si="157"/>
        <v>7.1933131856036807</v>
      </c>
      <c r="BN1770">
        <f t="shared" si="158"/>
        <v>8.2395780651476382</v>
      </c>
      <c r="BO1770">
        <f t="shared" si="159"/>
        <v>12.540676017233036</v>
      </c>
      <c r="BP1770">
        <f t="shared" si="160"/>
        <v>6.7326301085793965</v>
      </c>
    </row>
    <row r="1771" spans="54:112" x14ac:dyDescent="0.25">
      <c r="BB1771">
        <v>130</v>
      </c>
      <c r="BC1771">
        <f t="shared" si="147"/>
        <v>-0.56147981029605654</v>
      </c>
      <c r="BD1771">
        <f t="shared" si="148"/>
        <v>0.66914558108944078</v>
      </c>
      <c r="BE1771">
        <f t="shared" si="149"/>
        <v>1.5517453540955051</v>
      </c>
      <c r="BF1771">
        <f t="shared" si="150"/>
        <v>2.7961276123979726</v>
      </c>
      <c r="BG1771">
        <f t="shared" si="151"/>
        <v>2.6820928669283557</v>
      </c>
      <c r="BH1771">
        <f t="shared" si="152"/>
        <v>1.4490319030994931</v>
      </c>
      <c r="BI1771">
        <f t="shared" si="153"/>
        <v>1.278677431920038</v>
      </c>
      <c r="BJ1771">
        <f t="shared" si="154"/>
        <v>3.8829592957105419</v>
      </c>
      <c r="BK1771">
        <f t="shared" si="155"/>
        <v>4.3165925805839764</v>
      </c>
      <c r="BL1771">
        <f t="shared" si="156"/>
        <v>3.6461276123979727</v>
      </c>
      <c r="BM1771">
        <f t="shared" si="157"/>
        <v>6.8240584302218936</v>
      </c>
      <c r="BN1771">
        <f t="shared" si="158"/>
        <v>7.9810231019095284</v>
      </c>
      <c r="BO1771">
        <f t="shared" si="159"/>
        <v>11.925251424930057</v>
      </c>
      <c r="BP1771">
        <f t="shared" si="160"/>
        <v>6.3017051698492139</v>
      </c>
    </row>
    <row r="1772" spans="54:112" x14ac:dyDescent="0.25">
      <c r="BB1772">
        <v>140</v>
      </c>
      <c r="BC1772">
        <f t="shared" si="147"/>
        <v>-0.66914558108944067</v>
      </c>
      <c r="BD1772">
        <f t="shared" si="148"/>
        <v>0.56147981029605665</v>
      </c>
      <c r="BE1772">
        <f t="shared" si="149"/>
        <v>1.2627477588080003</v>
      </c>
      <c r="BF1772">
        <f t="shared" si="150"/>
        <v>2.5071300171104678</v>
      </c>
      <c r="BG1772">
        <f t="shared" si="151"/>
        <v>2.6098434681064795</v>
      </c>
      <c r="BH1772">
        <f t="shared" si="152"/>
        <v>1.3767825042776169</v>
      </c>
      <c r="BI1772">
        <f t="shared" si="153"/>
        <v>1.104428881820219</v>
      </c>
      <c r="BJ1772">
        <f t="shared" si="154"/>
        <v>3.7087107456107229</v>
      </c>
      <c r="BK1772">
        <f t="shared" si="155"/>
        <v>4.0275949852964716</v>
      </c>
      <c r="BL1772">
        <f t="shared" si="156"/>
        <v>3.3571300171104679</v>
      </c>
      <c r="BM1772">
        <f t="shared" si="157"/>
        <v>6.5053110824783218</v>
      </c>
      <c r="BN1772">
        <f t="shared" si="158"/>
        <v>7.6622757541659574</v>
      </c>
      <c r="BO1772">
        <f t="shared" si="159"/>
        <v>11.394005845357437</v>
      </c>
      <c r="BP1772">
        <f t="shared" si="160"/>
        <v>5.7704595902765945</v>
      </c>
    </row>
    <row r="1773" spans="54:112" x14ac:dyDescent="0.25">
      <c r="BB1773">
        <v>150</v>
      </c>
      <c r="BC1773">
        <f t="shared" si="147"/>
        <v>-0.75647970200542447</v>
      </c>
      <c r="BD1773">
        <f t="shared" si="148"/>
        <v>0.43675375958931961</v>
      </c>
      <c r="BE1773">
        <f t="shared" si="149"/>
        <v>1.0283245921387807</v>
      </c>
      <c r="BF1773">
        <f t="shared" si="150"/>
        <v>2.1723390388976473</v>
      </c>
      <c r="BG1773">
        <f t="shared" si="151"/>
        <v>2.5512376764391744</v>
      </c>
      <c r="BH1773">
        <f t="shared" si="152"/>
        <v>1.2930847597244117</v>
      </c>
      <c r="BI1773">
        <f t="shared" si="153"/>
        <v>0.96308550191671882</v>
      </c>
      <c r="BJ1773">
        <f t="shared" si="154"/>
        <v>3.5068514793353458</v>
      </c>
      <c r="BK1773">
        <f t="shared" si="155"/>
        <v>3.7931718186272523</v>
      </c>
      <c r="BL1773">
        <f t="shared" si="156"/>
        <v>3.0223390388976474</v>
      </c>
      <c r="BM1773">
        <f t="shared" si="157"/>
        <v>6.2467561192402119</v>
      </c>
      <c r="BN1773">
        <f t="shared" si="158"/>
        <v>7.2930209987841703</v>
      </c>
      <c r="BO1773">
        <f t="shared" si="159"/>
        <v>10.963080906627255</v>
      </c>
      <c r="BP1773">
        <f t="shared" si="160"/>
        <v>5.1550349979736163</v>
      </c>
    </row>
    <row r="1774" spans="54:112" x14ac:dyDescent="0.25">
      <c r="BB1774">
        <v>160</v>
      </c>
      <c r="BC1774">
        <f t="shared" si="147"/>
        <v>-0.82082856997317266</v>
      </c>
      <c r="BD1774">
        <f t="shared" si="148"/>
        <v>0.29875716690552767</v>
      </c>
      <c r="BE1774">
        <f t="shared" si="149"/>
        <v>0.85559868338324607</v>
      </c>
      <c r="BF1774">
        <f t="shared" si="150"/>
        <v>1.8019271322201007</v>
      </c>
      <c r="BG1774">
        <f t="shared" si="151"/>
        <v>2.5080561992502908</v>
      </c>
      <c r="BH1774">
        <f t="shared" si="152"/>
        <v>1.2004817830550252</v>
      </c>
      <c r="BI1774">
        <f t="shared" si="153"/>
        <v>0.8589419392847053</v>
      </c>
      <c r="BJ1774">
        <f t="shared" si="154"/>
        <v>3.283514888544472</v>
      </c>
      <c r="BK1774">
        <f t="shared" si="155"/>
        <v>3.6204459098717177</v>
      </c>
      <c r="BL1774">
        <f t="shared" si="156"/>
        <v>2.6519271322201008</v>
      </c>
      <c r="BM1774">
        <f t="shared" si="157"/>
        <v>6.0562496022304311</v>
      </c>
      <c r="BN1774">
        <f t="shared" si="158"/>
        <v>6.8844784546545226</v>
      </c>
      <c r="BO1774">
        <f t="shared" si="159"/>
        <v>10.645570044944286</v>
      </c>
      <c r="BP1774">
        <f t="shared" si="160"/>
        <v>4.4741307577575382</v>
      </c>
    </row>
    <row r="1775" spans="54:112" x14ac:dyDescent="0.25">
      <c r="BB1775">
        <v>170</v>
      </c>
      <c r="BC1775">
        <f t="shared" si="147"/>
        <v>-0.86023697720158399</v>
      </c>
      <c r="BD1775">
        <f t="shared" si="148"/>
        <v>0.15168298888373186</v>
      </c>
      <c r="BE1775">
        <f t="shared" si="149"/>
        <v>0.74981822187540503</v>
      </c>
      <c r="BF1775">
        <f t="shared" si="150"/>
        <v>1.407149075424754</v>
      </c>
      <c r="BG1775">
        <f t="shared" si="151"/>
        <v>2.4816110838733305</v>
      </c>
      <c r="BH1775">
        <f t="shared" si="152"/>
        <v>1.1017872688561885</v>
      </c>
      <c r="BI1775">
        <f t="shared" si="153"/>
        <v>0.7951625433755658</v>
      </c>
      <c r="BJ1775">
        <f t="shared" si="154"/>
        <v>3.0454869425355131</v>
      </c>
      <c r="BK1775">
        <f t="shared" si="155"/>
        <v>3.5146654483638766</v>
      </c>
      <c r="BL1775">
        <f t="shared" si="156"/>
        <v>2.2571490754247541</v>
      </c>
      <c r="BM1775">
        <f t="shared" si="157"/>
        <v>5.9395799755673711</v>
      </c>
      <c r="BN1775">
        <f t="shared" si="158"/>
        <v>6.4490614802478907</v>
      </c>
      <c r="BO1775">
        <f t="shared" si="159"/>
        <v>10.451120667172519</v>
      </c>
      <c r="BP1775">
        <f t="shared" si="160"/>
        <v>3.7484358004131506</v>
      </c>
    </row>
    <row r="1776" spans="54:112" x14ac:dyDescent="0.25">
      <c r="BB1776">
        <v>180</v>
      </c>
      <c r="BC1776">
        <f t="shared" si="147"/>
        <v>-0.87350751917863934</v>
      </c>
      <c r="BD1776">
        <f t="shared" si="148"/>
        <v>1.0701763874727718E-16</v>
      </c>
      <c r="BE1776">
        <f t="shared" si="149"/>
        <v>0.7141972934106775</v>
      </c>
      <c r="BF1776">
        <f t="shared" si="150"/>
        <v>1.0000000000000002</v>
      </c>
      <c r="BG1776">
        <f t="shared" si="151"/>
        <v>2.4727058517571487</v>
      </c>
      <c r="BH1776">
        <f t="shared" si="152"/>
        <v>1</v>
      </c>
      <c r="BI1776">
        <f t="shared" si="153"/>
        <v>0.77368521886006847</v>
      </c>
      <c r="BJ1776">
        <f t="shared" si="154"/>
        <v>2.8</v>
      </c>
      <c r="BK1776">
        <f t="shared" si="155"/>
        <v>3.4790445198991491</v>
      </c>
      <c r="BL1776">
        <f t="shared" si="156"/>
        <v>1.8500000000000003</v>
      </c>
      <c r="BM1776">
        <f t="shared" si="157"/>
        <v>5.9002921868195095</v>
      </c>
      <c r="BN1776">
        <f t="shared" si="158"/>
        <v>6</v>
      </c>
      <c r="BO1776">
        <f t="shared" si="159"/>
        <v>10.385641019259417</v>
      </c>
      <c r="BP1776">
        <f t="shared" si="160"/>
        <v>3.0000000000000004</v>
      </c>
    </row>
    <row r="1777" spans="54:68" x14ac:dyDescent="0.25">
      <c r="BB1777">
        <v>190</v>
      </c>
      <c r="BC1777">
        <f t="shared" si="147"/>
        <v>-0.86023697720158399</v>
      </c>
      <c r="BD1777">
        <f t="shared" si="148"/>
        <v>-0.15168298888373205</v>
      </c>
      <c r="BE1777">
        <f t="shared" si="149"/>
        <v>0.74981822187540503</v>
      </c>
      <c r="BF1777">
        <f t="shared" si="150"/>
        <v>0.59285092457524557</v>
      </c>
      <c r="BG1777">
        <f t="shared" si="151"/>
        <v>2.4816110838733305</v>
      </c>
      <c r="BH1777">
        <f t="shared" si="152"/>
        <v>0.89821273114381139</v>
      </c>
      <c r="BI1777">
        <f t="shared" si="153"/>
        <v>0.7951625433755658</v>
      </c>
      <c r="BJ1777">
        <f t="shared" si="154"/>
        <v>2.5545130574644861</v>
      </c>
      <c r="BK1777">
        <f t="shared" si="155"/>
        <v>3.5146654483638766</v>
      </c>
      <c r="BL1777">
        <f t="shared" si="156"/>
        <v>1.4428509245752457</v>
      </c>
      <c r="BM1777">
        <f t="shared" si="157"/>
        <v>5.9395799755673711</v>
      </c>
      <c r="BN1777">
        <f t="shared" si="158"/>
        <v>5.5509385197521093</v>
      </c>
      <c r="BO1777">
        <f t="shared" si="159"/>
        <v>10.451120667172519</v>
      </c>
      <c r="BP1777">
        <f t="shared" si="160"/>
        <v>2.2515641995868485</v>
      </c>
    </row>
    <row r="1778" spans="54:68" x14ac:dyDescent="0.25">
      <c r="BB1778">
        <v>200</v>
      </c>
      <c r="BC1778">
        <f t="shared" si="147"/>
        <v>-0.82082856997317277</v>
      </c>
      <c r="BD1778">
        <f t="shared" si="148"/>
        <v>-0.2987571669055275</v>
      </c>
      <c r="BE1778">
        <f t="shared" si="149"/>
        <v>0.85559868338324563</v>
      </c>
      <c r="BF1778">
        <f t="shared" si="150"/>
        <v>0.19807286777989985</v>
      </c>
      <c r="BG1778">
        <f t="shared" si="151"/>
        <v>2.5080561992502908</v>
      </c>
      <c r="BH1778">
        <f t="shared" si="152"/>
        <v>0.79951821694497494</v>
      </c>
      <c r="BI1778">
        <f t="shared" si="153"/>
        <v>0.85894193928470508</v>
      </c>
      <c r="BJ1778">
        <f t="shared" si="154"/>
        <v>2.3164851114555276</v>
      </c>
      <c r="BK1778">
        <f t="shared" si="155"/>
        <v>3.6204459098717172</v>
      </c>
      <c r="BL1778">
        <f t="shared" si="156"/>
        <v>1.0480728677798998</v>
      </c>
      <c r="BM1778">
        <f t="shared" si="157"/>
        <v>6.0562496022304302</v>
      </c>
      <c r="BN1778">
        <f t="shared" si="158"/>
        <v>5.1155215453454774</v>
      </c>
      <c r="BO1778">
        <f t="shared" si="159"/>
        <v>10.645570044944286</v>
      </c>
      <c r="BP1778">
        <f t="shared" si="160"/>
        <v>1.5258692422424631</v>
      </c>
    </row>
    <row r="1779" spans="54:68" x14ac:dyDescent="0.25">
      <c r="BB1779">
        <v>210</v>
      </c>
      <c r="BC1779">
        <f t="shared" si="147"/>
        <v>-0.75647970200542436</v>
      </c>
      <c r="BD1779">
        <f t="shared" si="148"/>
        <v>-0.43675375958931978</v>
      </c>
      <c r="BE1779">
        <f t="shared" si="149"/>
        <v>1.0283245921387807</v>
      </c>
      <c r="BF1779">
        <f t="shared" si="150"/>
        <v>-0.17233903889764779</v>
      </c>
      <c r="BG1779">
        <f t="shared" si="151"/>
        <v>2.5512376764391744</v>
      </c>
      <c r="BH1779">
        <f t="shared" si="152"/>
        <v>0.70691524027558805</v>
      </c>
      <c r="BI1779">
        <f t="shared" si="153"/>
        <v>0.96308550191671904</v>
      </c>
      <c r="BJ1779">
        <f t="shared" si="154"/>
        <v>2.0931485206646534</v>
      </c>
      <c r="BK1779">
        <f t="shared" si="155"/>
        <v>3.7931718186272523</v>
      </c>
      <c r="BL1779">
        <f t="shared" si="156"/>
        <v>0.6776609611023523</v>
      </c>
      <c r="BM1779">
        <f t="shared" si="157"/>
        <v>6.2467561192402119</v>
      </c>
      <c r="BN1779">
        <f t="shared" si="158"/>
        <v>4.7069790012158297</v>
      </c>
      <c r="BO1779">
        <f t="shared" si="159"/>
        <v>10.963080906627255</v>
      </c>
      <c r="BP1779">
        <f t="shared" si="160"/>
        <v>0.84496500202638281</v>
      </c>
    </row>
    <row r="1780" spans="54:68" x14ac:dyDescent="0.25">
      <c r="BB1780">
        <v>220</v>
      </c>
      <c r="BC1780">
        <f t="shared" si="147"/>
        <v>-0.66914558108944078</v>
      </c>
      <c r="BD1780">
        <f t="shared" si="148"/>
        <v>-0.56147981029605643</v>
      </c>
      <c r="BE1780">
        <f t="shared" si="149"/>
        <v>1.2627477588080001</v>
      </c>
      <c r="BF1780">
        <f t="shared" si="150"/>
        <v>-0.50713001711046735</v>
      </c>
      <c r="BG1780">
        <f t="shared" si="151"/>
        <v>2.6098434681064795</v>
      </c>
      <c r="BH1780">
        <f t="shared" si="152"/>
        <v>0.62321749572238316</v>
      </c>
      <c r="BI1780">
        <f t="shared" si="153"/>
        <v>1.1044288818202188</v>
      </c>
      <c r="BJ1780">
        <f t="shared" si="154"/>
        <v>1.891289254389277</v>
      </c>
      <c r="BK1780">
        <f t="shared" si="155"/>
        <v>4.0275949852964716</v>
      </c>
      <c r="BL1780">
        <f t="shared" si="156"/>
        <v>0.34286998288953274</v>
      </c>
      <c r="BM1780">
        <f t="shared" si="157"/>
        <v>6.5053110824783218</v>
      </c>
      <c r="BN1780">
        <f t="shared" si="158"/>
        <v>4.3377242458340435</v>
      </c>
      <c r="BO1780">
        <f t="shared" si="159"/>
        <v>11.394005845357437</v>
      </c>
      <c r="BP1780">
        <f t="shared" si="160"/>
        <v>0.22954040972340595</v>
      </c>
    </row>
    <row r="1781" spans="54:68" x14ac:dyDescent="0.25">
      <c r="BB1781">
        <v>230</v>
      </c>
      <c r="BC1781">
        <f t="shared" si="147"/>
        <v>-0.56147981029605665</v>
      </c>
      <c r="BD1781">
        <f t="shared" si="148"/>
        <v>-0.66914558108944067</v>
      </c>
      <c r="BE1781">
        <f t="shared" si="149"/>
        <v>1.5517453540955048</v>
      </c>
      <c r="BF1781">
        <f t="shared" si="150"/>
        <v>-0.79612761239797236</v>
      </c>
      <c r="BG1781">
        <f t="shared" si="151"/>
        <v>2.6820928669283557</v>
      </c>
      <c r="BH1781">
        <f t="shared" si="152"/>
        <v>0.55096809690050685</v>
      </c>
      <c r="BI1781">
        <f t="shared" si="153"/>
        <v>1.278677431920038</v>
      </c>
      <c r="BJ1781">
        <f t="shared" si="154"/>
        <v>1.7170407042894578</v>
      </c>
      <c r="BK1781">
        <f t="shared" si="155"/>
        <v>4.3165925805839764</v>
      </c>
      <c r="BL1781">
        <f t="shared" si="156"/>
        <v>5.3872387602027727E-2</v>
      </c>
      <c r="BM1781">
        <f t="shared" si="157"/>
        <v>6.8240584302218927</v>
      </c>
      <c r="BN1781">
        <f t="shared" si="158"/>
        <v>4.0189768980904716</v>
      </c>
      <c r="BO1781">
        <f t="shared" si="159"/>
        <v>11.925251424930057</v>
      </c>
      <c r="BP1781">
        <f t="shared" si="160"/>
        <v>-0.30170516984921392</v>
      </c>
    </row>
    <row r="1782" spans="54:68" x14ac:dyDescent="0.25">
      <c r="BB1782">
        <v>240</v>
      </c>
      <c r="BC1782">
        <f t="shared" si="147"/>
        <v>-0.43675375958932006</v>
      </c>
      <c r="BD1782">
        <f t="shared" si="148"/>
        <v>-0.75647970200542414</v>
      </c>
      <c r="BE1782">
        <f t="shared" si="149"/>
        <v>1.886536332308324</v>
      </c>
      <c r="BF1782">
        <f t="shared" si="150"/>
        <v>-1.0305507790671915</v>
      </c>
      <c r="BG1782">
        <f t="shared" si="151"/>
        <v>2.7657906114815605</v>
      </c>
      <c r="BH1782">
        <f t="shared" si="152"/>
        <v>0.49236230523320212</v>
      </c>
      <c r="BI1782">
        <f t="shared" si="153"/>
        <v>1.4805366981954142</v>
      </c>
      <c r="BJ1782">
        <f t="shared" si="154"/>
        <v>1.575697324385958</v>
      </c>
      <c r="BK1782">
        <f t="shared" si="155"/>
        <v>4.6513835587967955</v>
      </c>
      <c r="BL1782">
        <f t="shared" si="156"/>
        <v>-0.18055077906719141</v>
      </c>
      <c r="BM1782">
        <f t="shared" si="157"/>
        <v>7.1933131856036789</v>
      </c>
      <c r="BN1782">
        <f t="shared" si="158"/>
        <v>3.7604219348523626</v>
      </c>
      <c r="BO1782">
        <f t="shared" si="159"/>
        <v>12.540676017233032</v>
      </c>
      <c r="BP1782">
        <f t="shared" si="160"/>
        <v>-0.73263010857939559</v>
      </c>
    </row>
    <row r="1783" spans="54:68" x14ac:dyDescent="0.25">
      <c r="BB1783">
        <v>250</v>
      </c>
      <c r="BC1783">
        <f t="shared" si="147"/>
        <v>-0.29875716690552739</v>
      </c>
      <c r="BD1783">
        <f t="shared" si="148"/>
        <v>-0.82082856997317277</v>
      </c>
      <c r="BE1783">
        <f t="shared" si="149"/>
        <v>2.2569482389858728</v>
      </c>
      <c r="BF1783">
        <f t="shared" si="150"/>
        <v>-1.203276687822727</v>
      </c>
      <c r="BG1783">
        <f t="shared" si="151"/>
        <v>2.8583935881509479</v>
      </c>
      <c r="BH1783">
        <f t="shared" si="152"/>
        <v>0.44918082804431825</v>
      </c>
      <c r="BI1783">
        <f t="shared" si="153"/>
        <v>1.7038732889862891</v>
      </c>
      <c r="BJ1783">
        <f t="shared" si="154"/>
        <v>1.4715537617539438</v>
      </c>
      <c r="BK1783">
        <f t="shared" si="155"/>
        <v>5.0217954654743444</v>
      </c>
      <c r="BL1783">
        <f t="shared" si="156"/>
        <v>-0.35327668782272692</v>
      </c>
      <c r="BM1783">
        <f t="shared" si="157"/>
        <v>7.6018557297333285</v>
      </c>
      <c r="BN1783">
        <f t="shared" si="158"/>
        <v>3.5699154178425805</v>
      </c>
      <c r="BO1783">
        <f t="shared" si="159"/>
        <v>13.221580257449116</v>
      </c>
      <c r="BP1783">
        <f t="shared" si="160"/>
        <v>-1.0501409702623654</v>
      </c>
    </row>
    <row r="1784" spans="54:68" x14ac:dyDescent="0.25">
      <c r="BB1784">
        <v>260</v>
      </c>
      <c r="BC1784">
        <f t="shared" si="147"/>
        <v>-0.15168298888373191</v>
      </c>
      <c r="BD1784">
        <f t="shared" si="148"/>
        <v>-0.86023697720158399</v>
      </c>
      <c r="BE1784">
        <f t="shared" si="149"/>
        <v>2.6517262957812187</v>
      </c>
      <c r="BF1784">
        <f t="shared" si="150"/>
        <v>-1.3090571493305676</v>
      </c>
      <c r="BG1784">
        <f t="shared" si="151"/>
        <v>2.9570881023497839</v>
      </c>
      <c r="BH1784">
        <f t="shared" si="152"/>
        <v>0.4227357126673581</v>
      </c>
      <c r="BI1784">
        <f t="shared" si="153"/>
        <v>1.9419012349952476</v>
      </c>
      <c r="BJ1784">
        <f t="shared" si="154"/>
        <v>1.4077743658448045</v>
      </c>
      <c r="BK1784">
        <f t="shared" si="155"/>
        <v>5.4165735222696902</v>
      </c>
      <c r="BL1784">
        <f t="shared" si="156"/>
        <v>-0.45905714933056752</v>
      </c>
      <c r="BM1784">
        <f t="shared" si="157"/>
        <v>8.0372727041399603</v>
      </c>
      <c r="BN1784">
        <f t="shared" si="158"/>
        <v>3.4532457911795209</v>
      </c>
      <c r="BO1784">
        <f t="shared" si="159"/>
        <v>13.9472752147935</v>
      </c>
      <c r="BP1784">
        <f t="shared" si="160"/>
        <v>-1.2445903480341318</v>
      </c>
    </row>
    <row r="1785" spans="54:68" x14ac:dyDescent="0.25">
      <c r="BB1785">
        <v>270</v>
      </c>
      <c r="BC1785">
        <f t="shared" si="147"/>
        <v>-1.6052645812091576E-16</v>
      </c>
      <c r="BD1785">
        <f t="shared" si="148"/>
        <v>-0.87350751917863934</v>
      </c>
      <c r="BE1785">
        <f t="shared" si="149"/>
        <v>3.0588753712059722</v>
      </c>
      <c r="BF1785">
        <f t="shared" si="150"/>
        <v>-1.3446780777952951</v>
      </c>
      <c r="BG1785">
        <f t="shared" si="151"/>
        <v>3.0588753712059726</v>
      </c>
      <c r="BH1785">
        <f t="shared" si="152"/>
        <v>0.41383048055117622</v>
      </c>
      <c r="BI1785">
        <f t="shared" si="153"/>
        <v>2.1873881775307606</v>
      </c>
      <c r="BJ1785">
        <f t="shared" si="154"/>
        <v>1.3862970413293072</v>
      </c>
      <c r="BK1785">
        <f t="shared" si="155"/>
        <v>5.8237225976944442</v>
      </c>
      <c r="BL1785">
        <f t="shared" si="156"/>
        <v>-0.49467807779529505</v>
      </c>
      <c r="BM1785">
        <f t="shared" si="157"/>
        <v>8.4863341843878501</v>
      </c>
      <c r="BN1785">
        <f t="shared" si="158"/>
        <v>3.4139580024316598</v>
      </c>
      <c r="BO1785">
        <f t="shared" si="159"/>
        <v>14.695711015206651</v>
      </c>
      <c r="BP1785">
        <f t="shared" si="160"/>
        <v>-1.3100699959472335</v>
      </c>
    </row>
    <row r="1786" spans="54:68" x14ac:dyDescent="0.25">
      <c r="BB1786">
        <v>280</v>
      </c>
      <c r="BC1786">
        <f t="shared" si="147"/>
        <v>0.15168298888373161</v>
      </c>
      <c r="BD1786">
        <f t="shared" si="148"/>
        <v>-0.8602369772015841</v>
      </c>
      <c r="BE1786">
        <f t="shared" si="149"/>
        <v>3.4660244466307257</v>
      </c>
      <c r="BF1786">
        <f t="shared" si="150"/>
        <v>-1.309057149330568</v>
      </c>
      <c r="BG1786">
        <f t="shared" si="151"/>
        <v>3.1606626400621609</v>
      </c>
      <c r="BH1786">
        <f t="shared" si="152"/>
        <v>0.42273571266735799</v>
      </c>
      <c r="BI1786">
        <f t="shared" si="153"/>
        <v>2.4328751200662739</v>
      </c>
      <c r="BJ1786">
        <f t="shared" si="154"/>
        <v>1.4077743658448045</v>
      </c>
      <c r="BK1786">
        <f t="shared" si="155"/>
        <v>6.2308716731191973</v>
      </c>
      <c r="BL1786">
        <f t="shared" si="156"/>
        <v>-0.45905714933056796</v>
      </c>
      <c r="BM1786">
        <f t="shared" si="157"/>
        <v>8.93539566463574</v>
      </c>
      <c r="BN1786">
        <f t="shared" si="158"/>
        <v>3.4532457911795209</v>
      </c>
      <c r="BO1786">
        <f t="shared" si="159"/>
        <v>15.444146815619801</v>
      </c>
      <c r="BP1786">
        <f t="shared" si="160"/>
        <v>-1.2445903480341318</v>
      </c>
    </row>
    <row r="1787" spans="54:68" x14ac:dyDescent="0.25">
      <c r="BB1787">
        <v>290</v>
      </c>
      <c r="BC1787">
        <f t="shared" si="147"/>
        <v>0.29875716690552778</v>
      </c>
      <c r="BD1787">
        <f t="shared" si="148"/>
        <v>-0.82082856997317266</v>
      </c>
      <c r="BE1787">
        <f t="shared" si="149"/>
        <v>3.8608025034260738</v>
      </c>
      <c r="BF1787">
        <f t="shared" si="150"/>
        <v>-1.2032766878227266</v>
      </c>
      <c r="BG1787">
        <f t="shared" si="151"/>
        <v>3.2593571542609978</v>
      </c>
      <c r="BH1787">
        <f t="shared" si="152"/>
        <v>0.44918082804431836</v>
      </c>
      <c r="BI1787">
        <f t="shared" si="153"/>
        <v>2.6709030660752338</v>
      </c>
      <c r="BJ1787">
        <f t="shared" si="154"/>
        <v>1.471553761753944</v>
      </c>
      <c r="BK1787">
        <f t="shared" si="155"/>
        <v>6.6256497299145449</v>
      </c>
      <c r="BL1787">
        <f t="shared" si="156"/>
        <v>-0.35327668782272648</v>
      </c>
      <c r="BM1787">
        <f t="shared" si="157"/>
        <v>9.3708126390423736</v>
      </c>
      <c r="BN1787">
        <f t="shared" si="158"/>
        <v>3.5699154178425809</v>
      </c>
      <c r="BO1787">
        <f t="shared" si="159"/>
        <v>16.16984177296419</v>
      </c>
      <c r="BP1787">
        <f t="shared" si="160"/>
        <v>-1.0501409702623654</v>
      </c>
    </row>
    <row r="1788" spans="54:68" x14ac:dyDescent="0.25">
      <c r="BB1788">
        <v>300</v>
      </c>
      <c r="BC1788">
        <f t="shared" si="147"/>
        <v>0.43675375958931978</v>
      </c>
      <c r="BD1788">
        <f t="shared" si="148"/>
        <v>-0.75647970200542436</v>
      </c>
      <c r="BE1788">
        <f t="shared" si="149"/>
        <v>4.23121441010362</v>
      </c>
      <c r="BF1788">
        <f t="shared" si="150"/>
        <v>-1.0305507790671919</v>
      </c>
      <c r="BG1788">
        <f t="shared" si="151"/>
        <v>3.3519601309303848</v>
      </c>
      <c r="BH1788">
        <f t="shared" si="152"/>
        <v>0.49236230523320201</v>
      </c>
      <c r="BI1788">
        <f t="shared" si="153"/>
        <v>2.8942396568661075</v>
      </c>
      <c r="BJ1788">
        <f t="shared" si="154"/>
        <v>1.5756973243859578</v>
      </c>
      <c r="BK1788">
        <f t="shared" si="155"/>
        <v>6.996061636592092</v>
      </c>
      <c r="BL1788">
        <f t="shared" si="156"/>
        <v>-0.18055077906719186</v>
      </c>
      <c r="BM1788">
        <f t="shared" si="157"/>
        <v>9.7793551831720205</v>
      </c>
      <c r="BN1788">
        <f t="shared" si="158"/>
        <v>3.7604219348523622</v>
      </c>
      <c r="BO1788">
        <f t="shared" si="159"/>
        <v>16.85074601318027</v>
      </c>
      <c r="BP1788">
        <f t="shared" si="160"/>
        <v>-0.73263010857939648</v>
      </c>
    </row>
    <row r="1789" spans="54:68" x14ac:dyDescent="0.25">
      <c r="BB1789">
        <v>310</v>
      </c>
      <c r="BC1789">
        <f t="shared" si="147"/>
        <v>0.56147981029605643</v>
      </c>
      <c r="BD1789">
        <f t="shared" si="148"/>
        <v>-0.66914558108944089</v>
      </c>
      <c r="BE1789">
        <f t="shared" si="149"/>
        <v>4.56600538831644</v>
      </c>
      <c r="BF1789">
        <f t="shared" si="150"/>
        <v>-0.79612761239797303</v>
      </c>
      <c r="BG1789">
        <f t="shared" si="151"/>
        <v>3.4356578754835896</v>
      </c>
      <c r="BH1789">
        <f t="shared" si="152"/>
        <v>0.55096809690050674</v>
      </c>
      <c r="BI1789">
        <f t="shared" si="153"/>
        <v>3.0960989231414837</v>
      </c>
      <c r="BJ1789">
        <f t="shared" si="154"/>
        <v>1.7170407042894573</v>
      </c>
      <c r="BK1789">
        <f t="shared" si="155"/>
        <v>7.3308526148049111</v>
      </c>
      <c r="BL1789">
        <f t="shared" si="156"/>
        <v>5.3872387602027061E-2</v>
      </c>
      <c r="BM1789">
        <f t="shared" si="157"/>
        <v>10.148609938553808</v>
      </c>
      <c r="BN1789">
        <f t="shared" si="158"/>
        <v>4.0189768980904708</v>
      </c>
      <c r="BO1789">
        <f t="shared" si="159"/>
        <v>17.466170605483246</v>
      </c>
      <c r="BP1789">
        <f t="shared" si="160"/>
        <v>-0.3017051698492148</v>
      </c>
    </row>
    <row r="1790" spans="54:68" x14ac:dyDescent="0.25">
      <c r="BB1790">
        <v>320</v>
      </c>
      <c r="BC1790">
        <f t="shared" si="147"/>
        <v>0.66914558108944056</v>
      </c>
      <c r="BD1790">
        <f t="shared" si="148"/>
        <v>-0.56147981029605676</v>
      </c>
      <c r="BE1790">
        <f t="shared" si="149"/>
        <v>4.8550029836039448</v>
      </c>
      <c r="BF1790">
        <f t="shared" si="150"/>
        <v>-0.50713001711046801</v>
      </c>
      <c r="BG1790">
        <f t="shared" si="151"/>
        <v>3.5079072743054658</v>
      </c>
      <c r="BH1790">
        <f t="shared" si="152"/>
        <v>0.62321749572238305</v>
      </c>
      <c r="BI1790">
        <f t="shared" si="153"/>
        <v>3.2703474732413031</v>
      </c>
      <c r="BJ1790">
        <f t="shared" si="154"/>
        <v>1.8912892543892763</v>
      </c>
      <c r="BK1790">
        <f t="shared" si="155"/>
        <v>7.6198502100924159</v>
      </c>
      <c r="BL1790">
        <f t="shared" si="156"/>
        <v>0.34286998288953208</v>
      </c>
      <c r="BM1790">
        <f t="shared" si="157"/>
        <v>10.467357286297378</v>
      </c>
      <c r="BN1790">
        <f t="shared" si="158"/>
        <v>4.3377242458340426</v>
      </c>
      <c r="BO1790">
        <f t="shared" si="159"/>
        <v>17.997416185055865</v>
      </c>
      <c r="BP1790">
        <f t="shared" si="160"/>
        <v>0.22954040972340461</v>
      </c>
    </row>
    <row r="1791" spans="54:68" x14ac:dyDescent="0.25">
      <c r="BB1791">
        <v>330</v>
      </c>
      <c r="BC1791">
        <f t="shared" si="147"/>
        <v>0.75647970200542414</v>
      </c>
      <c r="BD1791">
        <f t="shared" si="148"/>
        <v>-0.43675375958932006</v>
      </c>
      <c r="BE1791">
        <f t="shared" si="149"/>
        <v>5.0894261502731641</v>
      </c>
      <c r="BF1791">
        <f t="shared" si="150"/>
        <v>-0.17233903889764868</v>
      </c>
      <c r="BG1791">
        <f t="shared" si="151"/>
        <v>3.5665130659727704</v>
      </c>
      <c r="BH1791">
        <f t="shared" si="152"/>
        <v>0.70691524027558783</v>
      </c>
      <c r="BI1791">
        <f t="shared" si="153"/>
        <v>3.4116908531448029</v>
      </c>
      <c r="BJ1791">
        <f t="shared" si="154"/>
        <v>2.093148520664653</v>
      </c>
      <c r="BK1791">
        <f t="shared" si="155"/>
        <v>7.8542733767616362</v>
      </c>
      <c r="BL1791">
        <f t="shared" si="156"/>
        <v>0.67766096110235141</v>
      </c>
      <c r="BM1791">
        <f t="shared" si="157"/>
        <v>10.725912249535487</v>
      </c>
      <c r="BN1791">
        <f t="shared" si="158"/>
        <v>4.7069790012158288</v>
      </c>
      <c r="BO1791">
        <f t="shared" si="159"/>
        <v>18.428341123786048</v>
      </c>
      <c r="BP1791">
        <f t="shared" si="160"/>
        <v>0.84496500202638147</v>
      </c>
    </row>
    <row r="1792" spans="54:68" x14ac:dyDescent="0.25">
      <c r="BB1792">
        <v>340</v>
      </c>
      <c r="BC1792">
        <f t="shared" si="147"/>
        <v>0.82082856997317277</v>
      </c>
      <c r="BD1792">
        <f t="shared" si="148"/>
        <v>-0.29875716690552745</v>
      </c>
      <c r="BE1792">
        <f t="shared" si="149"/>
        <v>5.2621520590286996</v>
      </c>
      <c r="BF1792">
        <f t="shared" si="150"/>
        <v>0.19807286777989996</v>
      </c>
      <c r="BG1792">
        <f t="shared" si="151"/>
        <v>3.6096945431616545</v>
      </c>
      <c r="BH1792">
        <f t="shared" si="152"/>
        <v>0.79951821694497505</v>
      </c>
      <c r="BI1792">
        <f t="shared" si="153"/>
        <v>3.5158344157768173</v>
      </c>
      <c r="BJ1792">
        <f t="shared" si="154"/>
        <v>2.3164851114555276</v>
      </c>
      <c r="BK1792">
        <f t="shared" si="155"/>
        <v>8.0269992855171708</v>
      </c>
      <c r="BL1792">
        <f t="shared" si="156"/>
        <v>1.0480728677799001</v>
      </c>
      <c r="BM1792">
        <f t="shared" si="157"/>
        <v>10.91641876654527</v>
      </c>
      <c r="BN1792">
        <f t="shared" si="158"/>
        <v>5.1155215453454783</v>
      </c>
      <c r="BO1792">
        <f t="shared" si="159"/>
        <v>18.745851985469017</v>
      </c>
      <c r="BP1792">
        <f t="shared" si="160"/>
        <v>1.5258692422424633</v>
      </c>
    </row>
    <row r="1793" spans="54:68" x14ac:dyDescent="0.25">
      <c r="BB1793">
        <v>350</v>
      </c>
      <c r="BC1793">
        <f t="shared" si="147"/>
        <v>0.86023697720158399</v>
      </c>
      <c r="BD1793">
        <f t="shared" si="148"/>
        <v>-0.15168298888373197</v>
      </c>
      <c r="BE1793">
        <f t="shared" si="149"/>
        <v>5.3679325205365398</v>
      </c>
      <c r="BF1793">
        <f t="shared" si="150"/>
        <v>0.5928509245752458</v>
      </c>
      <c r="BG1793">
        <f t="shared" si="151"/>
        <v>3.6361396585386148</v>
      </c>
      <c r="BH1793">
        <f t="shared" si="152"/>
        <v>0.89821273114381139</v>
      </c>
      <c r="BI1793">
        <f t="shared" si="153"/>
        <v>3.5796138116859564</v>
      </c>
      <c r="BJ1793">
        <f t="shared" si="154"/>
        <v>2.5545130574644861</v>
      </c>
      <c r="BK1793">
        <f t="shared" si="155"/>
        <v>8.1327797470250118</v>
      </c>
      <c r="BL1793">
        <f t="shared" si="156"/>
        <v>1.4428509245752459</v>
      </c>
      <c r="BM1793">
        <f t="shared" si="157"/>
        <v>11.033088393208329</v>
      </c>
      <c r="BN1793">
        <f t="shared" si="158"/>
        <v>5.5509385197521093</v>
      </c>
      <c r="BO1793">
        <f t="shared" si="159"/>
        <v>18.940301363240785</v>
      </c>
      <c r="BP1793">
        <f t="shared" si="160"/>
        <v>2.2515641995868489</v>
      </c>
    </row>
    <row r="1794" spans="54:68" x14ac:dyDescent="0.25">
      <c r="BB1794">
        <v>360</v>
      </c>
      <c r="BC1794">
        <f t="shared" si="147"/>
        <v>0.87350751917863934</v>
      </c>
      <c r="BD1794">
        <f t="shared" si="148"/>
        <v>-2.1403527749455436E-16</v>
      </c>
      <c r="BE1794">
        <f t="shared" si="149"/>
        <v>5.4035534490012678</v>
      </c>
      <c r="BF1794">
        <f t="shared" si="150"/>
        <v>0.99999999999999944</v>
      </c>
      <c r="BG1794">
        <f t="shared" si="151"/>
        <v>3.6450448906547965</v>
      </c>
      <c r="BH1794">
        <f t="shared" si="152"/>
        <v>0.99999999999999989</v>
      </c>
      <c r="BI1794">
        <f t="shared" si="153"/>
        <v>3.6010911362014539</v>
      </c>
      <c r="BJ1794">
        <f t="shared" si="154"/>
        <v>2.7999999999999994</v>
      </c>
      <c r="BK1794">
        <f t="shared" si="155"/>
        <v>8.1684006754897389</v>
      </c>
      <c r="BL1794">
        <f t="shared" si="156"/>
        <v>1.8499999999999994</v>
      </c>
      <c r="BM1794">
        <f t="shared" si="157"/>
        <v>11.072376181956191</v>
      </c>
      <c r="BN1794">
        <f t="shared" si="158"/>
        <v>5.9999999999999991</v>
      </c>
      <c r="BO1794">
        <f t="shared" si="159"/>
        <v>19.005781011153886</v>
      </c>
      <c r="BP1794">
        <f t="shared" si="160"/>
        <v>2.9999999999999991</v>
      </c>
    </row>
  </sheetData>
  <sheetProtection algorithmName="SHA-512" hashValue="QS8qRHJ4PySk5/GOy2OnBHiR7bsrxhOQviXjzlZBPMfJChCwVH19JAKsKMeDpPalgHk6SD7RIPACJN3AE7Yy+g==" saltValue="7W5n35L62A974naeHek9sA==" spinCount="100000" sheet="1" formatCells="0" formatColumns="0" formatRows="0"/>
  <protectedRanges>
    <protectedRange sqref="N3:N7 L12:M17 E11:H11 D12:H17" name="Inputs"/>
  </protectedRanges>
  <mergeCells count="152">
    <mergeCell ref="R19:S20"/>
    <mergeCell ref="H20:I20"/>
    <mergeCell ref="J20:K20"/>
    <mergeCell ref="L20:M20"/>
    <mergeCell ref="N20:O20"/>
    <mergeCell ref="P20:Q20"/>
    <mergeCell ref="C2:H7"/>
    <mergeCell ref="I2:I3"/>
    <mergeCell ref="I4:I5"/>
    <mergeCell ref="I6:I7"/>
    <mergeCell ref="Q9:R9"/>
    <mergeCell ref="C19:C20"/>
    <mergeCell ref="D19:D20"/>
    <mergeCell ref="E19:E20"/>
    <mergeCell ref="F19:F20"/>
    <mergeCell ref="G19:Q19"/>
    <mergeCell ref="C24:C25"/>
    <mergeCell ref="D24:D25"/>
    <mergeCell ref="E24:E25"/>
    <mergeCell ref="F24:F25"/>
    <mergeCell ref="R24:R25"/>
    <mergeCell ref="S24:S25"/>
    <mergeCell ref="C22:C23"/>
    <mergeCell ref="D22:D23"/>
    <mergeCell ref="E22:E23"/>
    <mergeCell ref="F22:F23"/>
    <mergeCell ref="R22:R23"/>
    <mergeCell ref="S22:S23"/>
    <mergeCell ref="C28:C29"/>
    <mergeCell ref="D28:D29"/>
    <mergeCell ref="E28:E29"/>
    <mergeCell ref="F28:F29"/>
    <mergeCell ref="R28:R29"/>
    <mergeCell ref="S28:S29"/>
    <mergeCell ref="C26:C27"/>
    <mergeCell ref="D26:D27"/>
    <mergeCell ref="E26:E27"/>
    <mergeCell ref="F26:F27"/>
    <mergeCell ref="R26:R27"/>
    <mergeCell ref="S26:S27"/>
    <mergeCell ref="R34:R35"/>
    <mergeCell ref="S34:S35"/>
    <mergeCell ref="C32:C33"/>
    <mergeCell ref="D32:D33"/>
    <mergeCell ref="E32:E33"/>
    <mergeCell ref="F32:F33"/>
    <mergeCell ref="R32:R33"/>
    <mergeCell ref="S32:S33"/>
    <mergeCell ref="C30:C31"/>
    <mergeCell ref="D30:D31"/>
    <mergeCell ref="E30:E31"/>
    <mergeCell ref="F30:F31"/>
    <mergeCell ref="R30:R31"/>
    <mergeCell ref="S30:S31"/>
    <mergeCell ref="L36:M38"/>
    <mergeCell ref="D770:F770"/>
    <mergeCell ref="D771:F771"/>
    <mergeCell ref="I771:N773"/>
    <mergeCell ref="O771:P771"/>
    <mergeCell ref="D772:F772"/>
    <mergeCell ref="C34:C35"/>
    <mergeCell ref="D34:D35"/>
    <mergeCell ref="E34:E35"/>
    <mergeCell ref="F34:F35"/>
    <mergeCell ref="C800:D800"/>
    <mergeCell ref="C801:D801"/>
    <mergeCell ref="C802:D802"/>
    <mergeCell ref="C803:D803"/>
    <mergeCell ref="C804:D804"/>
    <mergeCell ref="B811:F811"/>
    <mergeCell ref="S772:S773"/>
    <mergeCell ref="T772:T773"/>
    <mergeCell ref="D773:F773"/>
    <mergeCell ref="L774:W774"/>
    <mergeCell ref="C796:R796"/>
    <mergeCell ref="C799:D799"/>
    <mergeCell ref="G811:N811"/>
    <mergeCell ref="O811:X811"/>
    <mergeCell ref="AS819:AS820"/>
    <mergeCell ref="AT819:AT820"/>
    <mergeCell ref="AI811:AR811"/>
    <mergeCell ref="AS811:BB811"/>
    <mergeCell ref="AS813:AS814"/>
    <mergeCell ref="AT813:AT814"/>
    <mergeCell ref="AU813:AU814"/>
    <mergeCell ref="AV813:AV814"/>
    <mergeCell ref="AW813:AW814"/>
    <mergeCell ref="AX813:AX814"/>
    <mergeCell ref="AY813:AY814"/>
    <mergeCell ref="AZ813:AZ814"/>
    <mergeCell ref="BA813:BA814"/>
    <mergeCell ref="BB813:BB814"/>
    <mergeCell ref="BB815:BB816"/>
    <mergeCell ref="AS817:AS818"/>
    <mergeCell ref="AT817:AT818"/>
    <mergeCell ref="AU817:AU818"/>
    <mergeCell ref="AV817:AV818"/>
    <mergeCell ref="AW817:AW818"/>
    <mergeCell ref="AX817:AX818"/>
    <mergeCell ref="AY817:AY818"/>
    <mergeCell ref="AZ817:AZ818"/>
    <mergeCell ref="BA817:BA818"/>
    <mergeCell ref="BB817:BB818"/>
    <mergeCell ref="AS815:AS816"/>
    <mergeCell ref="AT815:AT816"/>
    <mergeCell ref="AU815:AU816"/>
    <mergeCell ref="AV815:AV816"/>
    <mergeCell ref="AW815:AW816"/>
    <mergeCell ref="AX815:AX816"/>
    <mergeCell ref="AY815:AY816"/>
    <mergeCell ref="AZ815:AZ816"/>
    <mergeCell ref="BA815:BA816"/>
    <mergeCell ref="AU819:AU820"/>
    <mergeCell ref="AV819:AV820"/>
    <mergeCell ref="AW819:AW820"/>
    <mergeCell ref="AX819:AX820"/>
    <mergeCell ref="BB821:BB822"/>
    <mergeCell ref="AS823:AS824"/>
    <mergeCell ref="AT823:AT824"/>
    <mergeCell ref="AU823:AU824"/>
    <mergeCell ref="AV823:AV824"/>
    <mergeCell ref="AW823:AW824"/>
    <mergeCell ref="AX823:AX824"/>
    <mergeCell ref="AY819:AY820"/>
    <mergeCell ref="AZ819:AZ820"/>
    <mergeCell ref="BA819:BA820"/>
    <mergeCell ref="BB819:BB820"/>
    <mergeCell ref="AS821:AS822"/>
    <mergeCell ref="AT821:AT822"/>
    <mergeCell ref="AU821:AU822"/>
    <mergeCell ref="AV821:AV822"/>
    <mergeCell ref="AW821:AW822"/>
    <mergeCell ref="AX821:AX822"/>
    <mergeCell ref="AY821:AY822"/>
    <mergeCell ref="AZ821:AZ822"/>
    <mergeCell ref="BA821:BA822"/>
    <mergeCell ref="BB825:BB826"/>
    <mergeCell ref="CG1758:CT1758"/>
    <mergeCell ref="CU1758:DH1758"/>
    <mergeCell ref="AY823:AY824"/>
    <mergeCell ref="AZ823:AZ824"/>
    <mergeCell ref="BA823:BA824"/>
    <mergeCell ref="BB823:BB824"/>
    <mergeCell ref="AS825:AS826"/>
    <mergeCell ref="AT825:AT826"/>
    <mergeCell ref="AU825:AU826"/>
    <mergeCell ref="AV825:AV826"/>
    <mergeCell ref="AW825:AW826"/>
    <mergeCell ref="AX825:AX826"/>
    <mergeCell ref="AY825:AY826"/>
    <mergeCell ref="AZ825:AZ826"/>
    <mergeCell ref="BA825:BA826"/>
  </mergeCells>
  <conditionalFormatting sqref="W777:W782">
    <cfRule type="containsText" dxfId="2" priority="3" operator="containsText" text="Out">
      <formula>NOT(ISERROR(SEARCH("Out",W777)))</formula>
    </cfRule>
  </conditionalFormatting>
  <conditionalFormatting sqref="O12:O17">
    <cfRule type="containsText" dxfId="1" priority="2" operator="containsText" text="Out">
      <formula>NOT(ISERROR(SEARCH("Out",O12)))</formula>
    </cfRule>
  </conditionalFormatting>
  <conditionalFormatting sqref="I11:I17">
    <cfRule type="containsText" dxfId="0" priority="1" operator="containsText" text="Check">
      <formula>NOT(ISERROR(SEARCH("Check",I11)))</formula>
    </cfRule>
  </conditionalFormatting>
  <dataValidations disablePrompts="1" count="6">
    <dataValidation type="list" allowBlank="1" showInputMessage="1" showErrorMessage="1" sqref="L12:L17 Q777:Q782" xr:uid="{1D142A93-C1D1-42C4-A411-ADA334D458DF}">
      <formula1>Left_Right</formula1>
    </dataValidation>
    <dataValidation type="list" allowBlank="1" showInputMessage="1" showErrorMessage="1" sqref="N4" xr:uid="{4E19C903-0DA8-421A-B3A0-3E223FD5BF0A}">
      <formula1>Angular_Direction</formula1>
    </dataValidation>
    <dataValidation type="list" allowBlank="1" showInputMessage="1" showErrorMessage="1" sqref="N3" xr:uid="{EFE399CD-86A7-4122-AF0A-E987D525116D}">
      <formula1>Number_Gears</formula1>
    </dataValidation>
    <dataValidation type="list" allowBlank="1" showInputMessage="1" showErrorMessage="1" sqref="D12:D17" xr:uid="{78320735-22A1-49FA-8E6C-EBF4AAE1DAF1}">
      <formula1>Letters</formula1>
    </dataValidation>
    <dataValidation type="whole" allowBlank="1" showInputMessage="1" showErrorMessage="1" sqref="E11:E17" xr:uid="{FECAA6A2-6AAD-4224-876B-87D06DB0D1F1}">
      <formula1>3</formula1>
      <formula2>99999</formula2>
    </dataValidation>
    <dataValidation type="decimal" allowBlank="1" showInputMessage="1" showErrorMessage="1" sqref="N7" xr:uid="{7D68FC59-4474-4F9E-8337-AEDEECC90E5B}">
      <formula1>0.25</formula1>
      <formula2>2</formula2>
    </dataValidation>
  </dataValidations>
  <pageMargins left="0.7" right="0.7" top="0.75" bottom="0.75" header="0.3" footer="0.3"/>
  <pageSetup orientation="portrait" verticalDpi="0"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A52BA5C730F14B92EB9ECBFB2C7418" ma:contentTypeVersion="13" ma:contentTypeDescription="Create a new document." ma:contentTypeScope="" ma:versionID="6bbebf22934c6f3f88db921481a9992a">
  <xsd:schema xmlns:xsd="http://www.w3.org/2001/XMLSchema" xmlns:xs="http://www.w3.org/2001/XMLSchema" xmlns:p="http://schemas.microsoft.com/office/2006/metadata/properties" xmlns:ns3="bca9a786-588e-41dd-a678-26a01561a81d" xmlns:ns4="73b8247c-57e8-4f2c-a684-da9afdc3115a" targetNamespace="http://schemas.microsoft.com/office/2006/metadata/properties" ma:root="true" ma:fieldsID="6451484820dd3dc24c471c093ca165cf" ns3:_="" ns4:_="">
    <xsd:import namespace="bca9a786-588e-41dd-a678-26a01561a81d"/>
    <xsd:import namespace="73b8247c-57e8-4f2c-a684-da9afdc3115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a9a786-588e-41dd-a678-26a01561a81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3b8247c-57e8-4f2c-a684-da9afdc3115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12059C6-5EFF-4C29-926F-CF6CD6CE4A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a9a786-588e-41dd-a678-26a01561a81d"/>
    <ds:schemaRef ds:uri="73b8247c-57e8-4f2c-a684-da9afdc311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DA7E203-2D5F-466E-83D1-3EC748500DD7}">
  <ds:schemaRefs>
    <ds:schemaRef ds:uri="http://schemas.microsoft.com/sharepoint/v3/contenttype/forms"/>
  </ds:schemaRefs>
</ds:datastoreItem>
</file>

<file path=customXml/itemProps3.xml><?xml version="1.0" encoding="utf-8"?>
<ds:datastoreItem xmlns:ds="http://schemas.openxmlformats.org/officeDocument/2006/customXml" ds:itemID="{90F1E688-8E97-4690-BBB0-D1E2BC9F8DB9}">
  <ds:schemaRefs>
    <ds:schemaRef ds:uri="http://purl.org/dc/elements/1.1/"/>
    <ds:schemaRef ds:uri="http://schemas.microsoft.com/office/2006/metadata/properties"/>
    <ds:schemaRef ds:uri="73b8247c-57e8-4f2c-a684-da9afdc3115a"/>
    <ds:schemaRef ds:uri="http://purl.org/dc/terms/"/>
    <ds:schemaRef ds:uri="http://schemas.openxmlformats.org/package/2006/metadata/core-properties"/>
    <ds:schemaRef ds:uri="bca9a786-588e-41dd-a678-26a01561a81d"/>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Reference</vt:lpstr>
      <vt:lpstr>Pinion Calcs</vt:lpstr>
      <vt:lpstr>GearTrain Force</vt:lpstr>
      <vt:lpstr>Angular_Direction</vt:lpstr>
      <vt:lpstr>Gear_Condition</vt:lpstr>
      <vt:lpstr>Gear_External_or_Internal</vt:lpstr>
      <vt:lpstr>Left_Right</vt:lpstr>
      <vt:lpstr>Letters</vt:lpstr>
      <vt:lpstr>Number_Gears</vt:lpstr>
      <vt:lpstr>Shaping_Process</vt:lpstr>
      <vt:lpstr>Tooth_Form</vt:lpstr>
      <vt:lpstr>Yes_No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Williams, Justin</dc:creator>
  <cp:keywords/>
  <dc:description/>
  <cp:lastModifiedBy>Williams, Justin</cp:lastModifiedBy>
  <cp:revision/>
  <dcterms:created xsi:type="dcterms:W3CDTF">2021-05-17T13:14:18Z</dcterms:created>
  <dcterms:modified xsi:type="dcterms:W3CDTF">2022-03-21T20:37:48Z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0x0101005DA52BA5C730F14B92EB9ECBFB2C7418</vt:lpwstr>
  </property>
</Properties>
</file>