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esktop/Temp folder to place stuff in then delete/to Github/protected/"/>
    </mc:Choice>
  </mc:AlternateContent>
  <xr:revisionPtr revIDLastSave="0" documentId="8_{998C398F-3F5C-43D8-9FB5-390680F9C7CF}" xr6:coauthVersionLast="46" xr6:coauthVersionMax="46" xr10:uidLastSave="{00000000-0000-0000-0000-000000000000}"/>
  <bookViews>
    <workbookView xWindow="-120" yWindow="-120" windowWidth="29040" windowHeight="15840" xr2:uid="{22340867-8B90-41F3-B4C7-87647F244A40}"/>
  </bookViews>
  <sheets>
    <sheet name="Sheet1" sheetId="1" r:id="rId1"/>
    <sheet name="Intake Manifold Dra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D25" i="2"/>
  <c r="D27" i="2" s="1"/>
  <c r="F28" i="2"/>
  <c r="F26" i="2"/>
  <c r="D19" i="2"/>
  <c r="D20" i="2" s="1"/>
  <c r="F15" i="2"/>
  <c r="D13" i="2"/>
  <c r="F13" i="2" s="1"/>
  <c r="F12" i="2"/>
  <c r="F11" i="2"/>
  <c r="D10" i="2"/>
  <c r="F10" i="2" s="1"/>
  <c r="F9" i="2"/>
  <c r="F8" i="2"/>
  <c r="D7" i="2"/>
  <c r="D4" i="2"/>
  <c r="F16" i="2" l="1"/>
  <c r="D29" i="2"/>
  <c r="D30" i="2" s="1"/>
  <c r="F30" i="2" s="1"/>
  <c r="F25" i="2"/>
  <c r="D21" i="2"/>
  <c r="F20" i="2"/>
  <c r="F29" i="2" l="1"/>
  <c r="F21" i="2"/>
  <c r="D22" i="2"/>
  <c r="F22" i="2" s="1"/>
  <c r="F10" i="1" l="1"/>
  <c r="F16" i="1"/>
  <c r="F15" i="1"/>
  <c r="F13" i="1"/>
  <c r="F12" i="1"/>
  <c r="F11" i="1"/>
  <c r="F9" i="1"/>
  <c r="F8" i="1"/>
  <c r="D19" i="1"/>
  <c r="D20" i="1" s="1"/>
  <c r="D21" i="1" s="1"/>
  <c r="D22" i="1" s="1"/>
  <c r="F22" i="1" s="1"/>
  <c r="D16" i="1"/>
  <c r="D13" i="1"/>
  <c r="D10" i="1"/>
  <c r="D7" i="1"/>
  <c r="D4" i="1"/>
  <c r="F20" i="1" l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D6" authorId="0" shapeId="0" xr:uid="{5EE0D3BC-8BAB-40BF-8581-DA8763139694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Want to introduce humidity
</t>
        </r>
      </text>
    </comment>
    <comment ref="D23" authorId="0" shapeId="0" xr:uid="{16DAA155-5CA2-491A-AE88-EF260C22491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Want to vary by pressure and temp
</t>
        </r>
      </text>
    </comment>
  </commentList>
</comments>
</file>

<file path=xl/sharedStrings.xml><?xml version="1.0" encoding="utf-8"?>
<sst xmlns="http://schemas.openxmlformats.org/spreadsheetml/2006/main" count="143" uniqueCount="67">
  <si>
    <t>Description</t>
  </si>
  <si>
    <t>Cycle</t>
  </si>
  <si>
    <t>Rotations per Cycle</t>
  </si>
  <si>
    <t>Universal Gas Constant</t>
  </si>
  <si>
    <t>Molar Mass of Air</t>
  </si>
  <si>
    <t>Air Gas Constant</t>
  </si>
  <si>
    <t>Atmospheric Air Temp</t>
  </si>
  <si>
    <t>Atmospheric Air Pressure</t>
  </si>
  <si>
    <t>Atmospheric Air Density</t>
  </si>
  <si>
    <t>Power</t>
  </si>
  <si>
    <t>Speed</t>
  </si>
  <si>
    <t>Torque</t>
  </si>
  <si>
    <t>Volumetric Efficiency</t>
  </si>
  <si>
    <t>Intake Manifold Air Temperature</t>
  </si>
  <si>
    <t>Value</t>
  </si>
  <si>
    <t>Units</t>
  </si>
  <si>
    <t>4-Stroke</t>
  </si>
  <si>
    <t>-</t>
  </si>
  <si>
    <t>J/(K*mol)</t>
  </si>
  <si>
    <t>g/mol</t>
  </si>
  <si>
    <t>J/(kg*K)</t>
  </si>
  <si>
    <t>deg C</t>
  </si>
  <si>
    <t>kPa</t>
  </si>
  <si>
    <t>kg/m^3</t>
  </si>
  <si>
    <t>kW</t>
  </si>
  <si>
    <t>1/min</t>
  </si>
  <si>
    <t>N*m</t>
  </si>
  <si>
    <t xml:space="preserve">Intake Manifold Temp Rise above Ambient </t>
  </si>
  <si>
    <t>Brake Specific Fuel Consumption (BSFC)</t>
  </si>
  <si>
    <t>g/(kW*h)</t>
  </si>
  <si>
    <t>Air-Fuel Ratio (AFR)</t>
  </si>
  <si>
    <t>kg/kg</t>
  </si>
  <si>
    <t>Fuel Mass Flow Rate</t>
  </si>
  <si>
    <t>kg/min</t>
  </si>
  <si>
    <t>g/min</t>
  </si>
  <si>
    <t>Air Mass Flow Rate</t>
  </si>
  <si>
    <t>Air Volumetric Flow Rate</t>
  </si>
  <si>
    <t>L/min</t>
  </si>
  <si>
    <t>L</t>
  </si>
  <si>
    <t>Humidity Input</t>
  </si>
  <si>
    <t>Output</t>
  </si>
  <si>
    <t>Input</t>
  </si>
  <si>
    <t>Key</t>
  </si>
  <si>
    <t>Alt Value</t>
  </si>
  <si>
    <t>Alt Units</t>
  </si>
  <si>
    <t>deg F</t>
  </si>
  <si>
    <t>psi</t>
  </si>
  <si>
    <t>hp</t>
  </si>
  <si>
    <t>Hz</t>
  </si>
  <si>
    <t>lbf*ft</t>
  </si>
  <si>
    <t>lbm/ft^3</t>
  </si>
  <si>
    <t>lbm/min</t>
  </si>
  <si>
    <t>ft^3/min</t>
  </si>
  <si>
    <t>in^3</t>
  </si>
  <si>
    <t>Displacement Required</t>
  </si>
  <si>
    <t>Specific Heat Ratio of Air</t>
  </si>
  <si>
    <t>m/s</t>
  </si>
  <si>
    <t>ft/s</t>
  </si>
  <si>
    <t>Speed of Sound in Intake Manifold</t>
  </si>
  <si>
    <t>Speed of Airflow in Intake Manifold</t>
  </si>
  <si>
    <t>Mach Number of Airflow in Intake Manifold</t>
  </si>
  <si>
    <t>Stagnation Pressure in Intake Manifold</t>
  </si>
  <si>
    <t>Dynamic Pressure in Intake Manifold</t>
  </si>
  <si>
    <t>Stagnation Temperature of Airflow in Intake Manifold</t>
  </si>
  <si>
    <t>Cp</t>
  </si>
  <si>
    <t>J/kg*K</t>
  </si>
  <si>
    <t>Intake Manifold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</si>
</sst>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0" fillId="2" borderId="21" xfId="0" applyFill="1" applyBorder="1" applyProtection="1">
      <protection hidden="1"/>
    </xf>
    <xf numFmtId="0" fontId="0" fillId="0" borderId="9" xfId="0" applyBorder="1" applyAlignment="1" applyProtection="1">
      <alignment horizontal="right"/>
      <protection hidden="1"/>
    </xf>
    <xf numFmtId="0" fontId="0" fillId="0" borderId="24" xfId="0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0" fillId="3" borderId="22" xfId="0" applyFill="1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" xfId="0" applyBorder="1" applyAlignment="1" applyProtection="1">
      <alignment horizontal="right"/>
      <protection hidden="1"/>
    </xf>
    <xf numFmtId="0" fontId="0" fillId="0" borderId="25" xfId="0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right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right"/>
      <protection hidden="1"/>
    </xf>
    <xf numFmtId="164" fontId="5" fillId="0" borderId="11" xfId="0" applyNumberFormat="1" applyFont="1" applyBorder="1" applyAlignment="1" applyProtection="1">
      <alignment horizontal="right"/>
      <protection hidden="1"/>
    </xf>
    <xf numFmtId="165" fontId="5" fillId="0" borderId="11" xfId="0" applyNumberFormat="1" applyFont="1" applyBorder="1" applyAlignment="1" applyProtection="1">
      <alignment horizontal="right"/>
      <protection hidden="1"/>
    </xf>
    <xf numFmtId="2" fontId="5" fillId="0" borderId="11" xfId="0" applyNumberFormat="1" applyFont="1" applyBorder="1" applyAlignment="1" applyProtection="1">
      <alignment horizontal="right"/>
      <protection hidden="1"/>
    </xf>
    <xf numFmtId="0" fontId="0" fillId="0" borderId="16" xfId="0" applyBorder="1" applyAlignment="1" applyProtection="1">
      <alignment horizontal="right"/>
      <protection hidden="1"/>
    </xf>
    <xf numFmtId="0" fontId="0" fillId="0" borderId="26" xfId="0" applyBorder="1" applyAlignment="1" applyProtection="1">
      <alignment horizontal="center"/>
      <protection hidden="1"/>
    </xf>
    <xf numFmtId="0" fontId="0" fillId="0" borderId="17" xfId="1" applyNumberFormat="1" applyFont="1" applyFill="1" applyBorder="1" applyAlignment="1" applyProtection="1">
      <alignment horizontal="right"/>
      <protection hidden="1"/>
    </xf>
    <xf numFmtId="0" fontId="5" fillId="0" borderId="16" xfId="0" applyFont="1" applyBorder="1" applyAlignment="1" applyProtection="1">
      <alignment horizontal="right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horizontal="right"/>
      <protection hidden="1"/>
    </xf>
    <xf numFmtId="0" fontId="0" fillId="0" borderId="27" xfId="0" applyFill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right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right"/>
      <protection hidden="1"/>
    </xf>
    <xf numFmtId="0" fontId="0" fillId="0" borderId="25" xfId="0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164" fontId="0" fillId="0" borderId="1" xfId="0" applyNumberFormat="1" applyBorder="1" applyProtection="1">
      <protection hidden="1"/>
    </xf>
    <xf numFmtId="0" fontId="0" fillId="0" borderId="6" xfId="0" applyFill="1" applyBorder="1" applyAlignment="1" applyProtection="1">
      <alignment horizontal="right"/>
      <protection hidden="1"/>
    </xf>
    <xf numFmtId="164" fontId="0" fillId="3" borderId="7" xfId="0" applyNumberFormat="1" applyFill="1" applyBorder="1" applyProtection="1">
      <protection hidden="1"/>
    </xf>
    <xf numFmtId="0" fontId="0" fillId="0" borderId="28" xfId="0" applyFill="1" applyBorder="1" applyAlignment="1" applyProtection="1">
      <alignment horizontal="center"/>
      <protection hidden="1"/>
    </xf>
    <xf numFmtId="2" fontId="5" fillId="0" borderId="6" xfId="0" applyNumberFormat="1" applyFont="1" applyBorder="1" applyAlignment="1" applyProtection="1">
      <alignment horizontal="right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9" fontId="0" fillId="2" borderId="1" xfId="1" applyFont="1" applyFill="1" applyBorder="1" applyAlignment="1" applyProtection="1">
      <alignment horizontal="right"/>
      <protection locked="0"/>
    </xf>
    <xf numFmtId="0" fontId="0" fillId="2" borderId="17" xfId="1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29" xfId="0" applyBorder="1" applyAlignment="1" applyProtection="1">
      <alignment horizontal="center" textRotation="90"/>
      <protection hidden="1"/>
    </xf>
    <xf numFmtId="0" fontId="0" fillId="0" borderId="19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center"/>
      <protection hidden="1"/>
    </xf>
    <xf numFmtId="2" fontId="5" fillId="0" borderId="0" xfId="0" applyNumberFormat="1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164" fontId="0" fillId="2" borderId="0" xfId="0" applyNumberFormat="1" applyFill="1" applyBorder="1" applyProtection="1">
      <protection locked="0"/>
    </xf>
    <xf numFmtId="0" fontId="0" fillId="2" borderId="0" xfId="0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6FFF-4C1D-40A1-BE6E-8D267C10A8DD}">
  <dimension ref="B1:G22"/>
  <sheetViews>
    <sheetView tabSelected="1" workbookViewId="0">
      <selection activeCell="H25" sqref="H25"/>
    </sheetView>
  </sheetViews>
  <sheetFormatPr defaultRowHeight="15" x14ac:dyDescent="0.25"/>
  <cols>
    <col min="1" max="1" width="1.42578125" style="1" customWidth="1"/>
    <col min="2" max="2" width="9.140625" style="1"/>
    <col min="3" max="3" width="40" style="1" bestFit="1" customWidth="1"/>
    <col min="4" max="4" width="26.85546875" style="1" bestFit="1" customWidth="1"/>
    <col min="5" max="16384" width="9.140625" style="1"/>
  </cols>
  <sheetData>
    <row r="1" spans="2:7" ht="7.5" customHeight="1" thickBot="1" x14ac:dyDescent="0.3"/>
    <row r="2" spans="2:7" ht="15.75" thickBot="1" x14ac:dyDescent="0.3">
      <c r="B2" s="2" t="s">
        <v>42</v>
      </c>
      <c r="C2" s="3" t="s">
        <v>0</v>
      </c>
      <c r="D2" s="4" t="s">
        <v>14</v>
      </c>
      <c r="E2" s="5" t="s">
        <v>15</v>
      </c>
      <c r="F2" s="6" t="s">
        <v>43</v>
      </c>
      <c r="G2" s="7" t="s">
        <v>44</v>
      </c>
    </row>
    <row r="3" spans="2:7" x14ac:dyDescent="0.25">
      <c r="B3" s="8" t="s">
        <v>41</v>
      </c>
      <c r="C3" s="9" t="s">
        <v>1</v>
      </c>
      <c r="D3" s="41" t="s">
        <v>16</v>
      </c>
      <c r="E3" s="10" t="s">
        <v>17</v>
      </c>
      <c r="F3" s="11"/>
      <c r="G3" s="12"/>
    </row>
    <row r="4" spans="2:7" ht="15.75" thickBot="1" x14ac:dyDescent="0.3">
      <c r="B4" s="13" t="s">
        <v>40</v>
      </c>
      <c r="C4" s="14" t="s">
        <v>2</v>
      </c>
      <c r="D4" s="15">
        <f>IF(D3="4-Stroke",2,IF(D3="2-Stroke",1,"Error-Check Cycle Type Input"))</f>
        <v>2</v>
      </c>
      <c r="E4" s="16" t="s">
        <v>17</v>
      </c>
      <c r="F4" s="17"/>
      <c r="G4" s="18"/>
    </row>
    <row r="5" spans="2:7" x14ac:dyDescent="0.25">
      <c r="C5" s="14" t="s">
        <v>3</v>
      </c>
      <c r="D5" s="15">
        <v>8.3140000000000001</v>
      </c>
      <c r="E5" s="16" t="s">
        <v>18</v>
      </c>
      <c r="F5" s="17"/>
      <c r="G5" s="18"/>
    </row>
    <row r="6" spans="2:7" x14ac:dyDescent="0.25">
      <c r="B6" s="1" t="s">
        <v>39</v>
      </c>
      <c r="C6" s="14" t="s">
        <v>4</v>
      </c>
      <c r="D6" s="19">
        <v>28.964700000000001</v>
      </c>
      <c r="E6" s="16" t="s">
        <v>19</v>
      </c>
      <c r="F6" s="17"/>
      <c r="G6" s="18"/>
    </row>
    <row r="7" spans="2:7" x14ac:dyDescent="0.25">
      <c r="C7" s="14" t="s">
        <v>5</v>
      </c>
      <c r="D7" s="19">
        <f>D5/CONVERT(D6,"g","kg")</f>
        <v>287.03905098274799</v>
      </c>
      <c r="E7" s="16" t="s">
        <v>20</v>
      </c>
      <c r="F7" s="17"/>
      <c r="G7" s="18"/>
    </row>
    <row r="8" spans="2:7" x14ac:dyDescent="0.25">
      <c r="C8" s="14" t="s">
        <v>6</v>
      </c>
      <c r="D8" s="42">
        <v>20</v>
      </c>
      <c r="E8" s="16" t="s">
        <v>21</v>
      </c>
      <c r="F8" s="17">
        <f>CONVERT(D8,"C","F")</f>
        <v>68</v>
      </c>
      <c r="G8" s="18" t="s">
        <v>45</v>
      </c>
    </row>
    <row r="9" spans="2:7" x14ac:dyDescent="0.25">
      <c r="C9" s="14" t="s">
        <v>7</v>
      </c>
      <c r="D9" s="42">
        <v>101.3</v>
      </c>
      <c r="E9" s="16" t="s">
        <v>22</v>
      </c>
      <c r="F9" s="20">
        <f>CONVERT(D9,"kPa","psi")</f>
        <v>14.692322832070193</v>
      </c>
      <c r="G9" s="18" t="s">
        <v>46</v>
      </c>
    </row>
    <row r="10" spans="2:7" x14ac:dyDescent="0.25">
      <c r="C10" s="14" t="s">
        <v>8</v>
      </c>
      <c r="D10" s="19">
        <f>CONVERT(D9,"kPa","Pa")/(D7*CONVERT(D8,"C","K"))</f>
        <v>1.2038671426732703</v>
      </c>
      <c r="E10" s="16" t="s">
        <v>23</v>
      </c>
      <c r="F10" s="21">
        <f>CONVERT(CONVERT(D10,"kg","lbm"),"ft^3","m^3")</f>
        <v>7.5154970521722778E-2</v>
      </c>
      <c r="G10" s="18" t="s">
        <v>50</v>
      </c>
    </row>
    <row r="11" spans="2:7" x14ac:dyDescent="0.25">
      <c r="C11" s="14" t="s">
        <v>9</v>
      </c>
      <c r="D11" s="42">
        <v>150</v>
      </c>
      <c r="E11" s="16" t="s">
        <v>24</v>
      </c>
      <c r="F11" s="22">
        <f>CONVERT(D11,"kW","HP")</f>
        <v>201.15331343925419</v>
      </c>
      <c r="G11" s="18" t="s">
        <v>47</v>
      </c>
    </row>
    <row r="12" spans="2:7" x14ac:dyDescent="0.25">
      <c r="C12" s="14" t="s">
        <v>10</v>
      </c>
      <c r="D12" s="42">
        <v>3000</v>
      </c>
      <c r="E12" s="16" t="s">
        <v>25</v>
      </c>
      <c r="F12" s="17">
        <f>D12/60</f>
        <v>50</v>
      </c>
      <c r="G12" s="18" t="s">
        <v>48</v>
      </c>
    </row>
    <row r="13" spans="2:7" x14ac:dyDescent="0.25">
      <c r="C13" s="14" t="s">
        <v>11</v>
      </c>
      <c r="D13" s="19">
        <f>CONVERT(D11,"kW","W")/(CONVERT(D12,"s","min")*2*PI())</f>
        <v>477.46482927568599</v>
      </c>
      <c r="E13" s="16" t="s">
        <v>26</v>
      </c>
      <c r="F13" s="22">
        <f>CONVERT(CONVERT(D13,"N","lbf"),"m","ft")</f>
        <v>352.15998568487754</v>
      </c>
      <c r="G13" s="18" t="s">
        <v>49</v>
      </c>
    </row>
    <row r="14" spans="2:7" x14ac:dyDescent="0.25">
      <c r="C14" s="14" t="s">
        <v>12</v>
      </c>
      <c r="D14" s="43">
        <v>0.92</v>
      </c>
      <c r="E14" s="16" t="s">
        <v>17</v>
      </c>
      <c r="F14" s="17"/>
      <c r="G14" s="18"/>
    </row>
    <row r="15" spans="2:7" x14ac:dyDescent="0.25">
      <c r="C15" s="23" t="s">
        <v>27</v>
      </c>
      <c r="D15" s="44">
        <v>15</v>
      </c>
      <c r="E15" s="24" t="s">
        <v>21</v>
      </c>
      <c r="F15" s="17">
        <f>CONVERT(D15,"C","F")</f>
        <v>59</v>
      </c>
      <c r="G15" s="18" t="s">
        <v>45</v>
      </c>
    </row>
    <row r="16" spans="2:7" ht="15.75" thickBot="1" x14ac:dyDescent="0.3">
      <c r="C16" s="23" t="s">
        <v>13</v>
      </c>
      <c r="D16" s="25">
        <f>D15+D8</f>
        <v>35</v>
      </c>
      <c r="E16" s="24" t="s">
        <v>21</v>
      </c>
      <c r="F16" s="26">
        <f>CONVERT(D16,"C","F")</f>
        <v>95</v>
      </c>
      <c r="G16" s="27" t="s">
        <v>45</v>
      </c>
    </row>
    <row r="17" spans="3:7" x14ac:dyDescent="0.25">
      <c r="C17" s="28" t="s">
        <v>28</v>
      </c>
      <c r="D17" s="45">
        <v>300</v>
      </c>
      <c r="E17" s="29" t="s">
        <v>29</v>
      </c>
      <c r="F17" s="30"/>
      <c r="G17" s="31"/>
    </row>
    <row r="18" spans="3:7" x14ac:dyDescent="0.25">
      <c r="C18" s="32" t="s">
        <v>30</v>
      </c>
      <c r="D18" s="46">
        <v>13.5</v>
      </c>
      <c r="E18" s="33" t="s">
        <v>31</v>
      </c>
      <c r="F18" s="17"/>
      <c r="G18" s="18"/>
    </row>
    <row r="19" spans="3:7" x14ac:dyDescent="0.25">
      <c r="C19" s="32" t="s">
        <v>32</v>
      </c>
      <c r="D19" s="34">
        <f>CONVERT(D11,"min","hr")*$D$17</f>
        <v>750</v>
      </c>
      <c r="E19" s="33" t="s">
        <v>34</v>
      </c>
      <c r="F19" s="17"/>
      <c r="G19" s="18"/>
    </row>
    <row r="20" spans="3:7" x14ac:dyDescent="0.25">
      <c r="C20" s="32" t="s">
        <v>35</v>
      </c>
      <c r="D20" s="34">
        <f>CONVERT(D19,"g","kg")*D18</f>
        <v>10.125</v>
      </c>
      <c r="E20" s="33" t="s">
        <v>33</v>
      </c>
      <c r="F20" s="22">
        <f>CONVERT(D20,"kg","lbm")</f>
        <v>22.321804046218855</v>
      </c>
      <c r="G20" s="18" t="s">
        <v>51</v>
      </c>
    </row>
    <row r="21" spans="3:7" x14ac:dyDescent="0.25">
      <c r="C21" s="32" t="s">
        <v>36</v>
      </c>
      <c r="D21" s="35">
        <f>CONVERT(D20/$D$10,"m^3","L")</f>
        <v>8410.3964973383499</v>
      </c>
      <c r="E21" s="33" t="s">
        <v>37</v>
      </c>
      <c r="F21" s="22">
        <f>CONVERT(D21,"L","ft^3")</f>
        <v>297.01034929907883</v>
      </c>
      <c r="G21" s="18" t="s">
        <v>52</v>
      </c>
    </row>
    <row r="22" spans="3:7" ht="15.75" thickBot="1" x14ac:dyDescent="0.3">
      <c r="C22" s="36" t="s">
        <v>54</v>
      </c>
      <c r="D22" s="37">
        <f>(D21/D12)/D14</f>
        <v>3.0472451077312859</v>
      </c>
      <c r="E22" s="38" t="s">
        <v>38</v>
      </c>
      <c r="F22" s="39">
        <f>CONVERT(D22,"L","in^3")</f>
        <v>185.95430564811889</v>
      </c>
      <c r="G22" s="40" t="s">
        <v>53</v>
      </c>
    </row>
  </sheetData>
  <sheetProtection algorithmName="SHA-512" hashValue="7iJmMAzCqoTgb4yQrtW+Cmmw/XWPgDQuSNzj9ZL7I4pzieC/blVvFgpIbv3CO3q+AVjz4oYSFUiA0r+kp1NBYA==" saltValue="zpOGX7sGjDddu3Y/P8peX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A37-EE0A-4320-8487-E846C23EA450}">
  <dimension ref="B1:G30"/>
  <sheetViews>
    <sheetView workbookViewId="0">
      <selection activeCell="D23" sqref="D23"/>
    </sheetView>
  </sheetViews>
  <sheetFormatPr defaultRowHeight="15" x14ac:dyDescent="0.25"/>
  <cols>
    <col min="1" max="1" width="1.42578125" style="1" customWidth="1"/>
    <col min="2" max="2" width="9.140625" style="1"/>
    <col min="3" max="3" width="40" style="1" bestFit="1" customWidth="1"/>
    <col min="4" max="4" width="26.85546875" style="1" bestFit="1" customWidth="1"/>
    <col min="5" max="16384" width="9.140625" style="1"/>
  </cols>
  <sheetData>
    <row r="1" spans="2:7" ht="7.5" customHeight="1" thickBot="1" x14ac:dyDescent="0.3"/>
    <row r="2" spans="2:7" ht="15.75" thickBot="1" x14ac:dyDescent="0.3">
      <c r="B2" s="2" t="s">
        <v>42</v>
      </c>
      <c r="C2" s="3" t="s">
        <v>0</v>
      </c>
      <c r="D2" s="4" t="s">
        <v>14</v>
      </c>
      <c r="E2" s="5" t="s">
        <v>15</v>
      </c>
      <c r="F2" s="6" t="s">
        <v>43</v>
      </c>
      <c r="G2" s="7" t="s">
        <v>44</v>
      </c>
    </row>
    <row r="3" spans="2:7" x14ac:dyDescent="0.25">
      <c r="B3" s="8" t="s">
        <v>41</v>
      </c>
      <c r="C3" s="9" t="s">
        <v>1</v>
      </c>
      <c r="D3" s="41" t="s">
        <v>16</v>
      </c>
      <c r="E3" s="10" t="s">
        <v>17</v>
      </c>
      <c r="F3" s="11"/>
      <c r="G3" s="12"/>
    </row>
    <row r="4" spans="2:7" ht="15.75" thickBot="1" x14ac:dyDescent="0.3">
      <c r="B4" s="13" t="s">
        <v>40</v>
      </c>
      <c r="C4" s="14" t="s">
        <v>2</v>
      </c>
      <c r="D4" s="15">
        <f>IF(D3="4-Stroke",2,IF(D3="2-Stroke",1,"Error-Check Cycle Type Input"))</f>
        <v>2</v>
      </c>
      <c r="E4" s="16" t="s">
        <v>17</v>
      </c>
      <c r="F4" s="17"/>
      <c r="G4" s="18"/>
    </row>
    <row r="5" spans="2:7" x14ac:dyDescent="0.25">
      <c r="C5" s="14" t="s">
        <v>3</v>
      </c>
      <c r="D5" s="15">
        <v>8.3140000000000001</v>
      </c>
      <c r="E5" s="16" t="s">
        <v>18</v>
      </c>
      <c r="F5" s="17"/>
      <c r="G5" s="18"/>
    </row>
    <row r="6" spans="2:7" x14ac:dyDescent="0.25">
      <c r="C6" s="14" t="s">
        <v>4</v>
      </c>
      <c r="D6" s="19">
        <v>28.964700000000001</v>
      </c>
      <c r="E6" s="16" t="s">
        <v>19</v>
      </c>
      <c r="F6" s="17"/>
      <c r="G6" s="18"/>
    </row>
    <row r="7" spans="2:7" x14ac:dyDescent="0.25">
      <c r="C7" s="14" t="s">
        <v>5</v>
      </c>
      <c r="D7" s="19">
        <f>D5/CONVERT(D6,"g","kg")</f>
        <v>287.03905098274799</v>
      </c>
      <c r="E7" s="16" t="s">
        <v>20</v>
      </c>
      <c r="F7" s="17"/>
      <c r="G7" s="18"/>
    </row>
    <row r="8" spans="2:7" x14ac:dyDescent="0.25">
      <c r="C8" s="14" t="s">
        <v>6</v>
      </c>
      <c r="D8" s="42">
        <v>20</v>
      </c>
      <c r="E8" s="16" t="s">
        <v>21</v>
      </c>
      <c r="F8" s="17">
        <f>CONVERT(D8,"C","F")</f>
        <v>68</v>
      </c>
      <c r="G8" s="18" t="s">
        <v>45</v>
      </c>
    </row>
    <row r="9" spans="2:7" x14ac:dyDescent="0.25">
      <c r="C9" s="14" t="s">
        <v>7</v>
      </c>
      <c r="D9" s="42">
        <v>101.3</v>
      </c>
      <c r="E9" s="16" t="s">
        <v>22</v>
      </c>
      <c r="F9" s="20">
        <f>CONVERT(D9,"kPa","psi")</f>
        <v>14.692322832070193</v>
      </c>
      <c r="G9" s="18" t="s">
        <v>46</v>
      </c>
    </row>
    <row r="10" spans="2:7" x14ac:dyDescent="0.25">
      <c r="C10" s="14" t="s">
        <v>8</v>
      </c>
      <c r="D10" s="19">
        <f>CONVERT(D9,"kPa","Pa")/(D7*CONVERT(D8,"C","K"))</f>
        <v>1.2038671426732703</v>
      </c>
      <c r="E10" s="16" t="s">
        <v>23</v>
      </c>
      <c r="F10" s="21">
        <f>CONVERT(CONVERT(D10,"kg","lbm"),"ft^3","m^3")</f>
        <v>7.5154970521722778E-2</v>
      </c>
      <c r="G10" s="18" t="s">
        <v>50</v>
      </c>
    </row>
    <row r="11" spans="2:7" x14ac:dyDescent="0.25">
      <c r="C11" s="14" t="s">
        <v>9</v>
      </c>
      <c r="D11" s="42">
        <v>150</v>
      </c>
      <c r="E11" s="16" t="s">
        <v>24</v>
      </c>
      <c r="F11" s="22">
        <f>CONVERT(D11,"kW","HP")</f>
        <v>201.15331343925419</v>
      </c>
      <c r="G11" s="18" t="s">
        <v>47</v>
      </c>
    </row>
    <row r="12" spans="2:7" x14ac:dyDescent="0.25">
      <c r="C12" s="14" t="s">
        <v>10</v>
      </c>
      <c r="D12" s="42">
        <v>3000</v>
      </c>
      <c r="E12" s="16" t="s">
        <v>25</v>
      </c>
      <c r="F12" s="17">
        <f>D12/60</f>
        <v>50</v>
      </c>
      <c r="G12" s="18" t="s">
        <v>48</v>
      </c>
    </row>
    <row r="13" spans="2:7" x14ac:dyDescent="0.25">
      <c r="C13" s="14" t="s">
        <v>11</v>
      </c>
      <c r="D13" s="19">
        <f>CONVERT(D11,"kW","W")/(CONVERT(D12,"s","min")*2*PI())</f>
        <v>477.46482927568599</v>
      </c>
      <c r="E13" s="16" t="s">
        <v>26</v>
      </c>
      <c r="F13" s="22">
        <f>CONVERT(CONVERT(D13,"N","lbf"),"m","ft")</f>
        <v>352.15998568487754</v>
      </c>
      <c r="G13" s="18" t="s">
        <v>49</v>
      </c>
    </row>
    <row r="14" spans="2:7" x14ac:dyDescent="0.25">
      <c r="C14" s="14" t="s">
        <v>12</v>
      </c>
      <c r="D14" s="43">
        <v>0.92</v>
      </c>
      <c r="E14" s="16" t="s">
        <v>17</v>
      </c>
      <c r="F14" s="17"/>
      <c r="G14" s="18"/>
    </row>
    <row r="15" spans="2:7" x14ac:dyDescent="0.25">
      <c r="C15" s="23" t="s">
        <v>27</v>
      </c>
      <c r="D15" s="44">
        <v>15</v>
      </c>
      <c r="E15" s="24" t="s">
        <v>21</v>
      </c>
      <c r="F15" s="17">
        <f>CONVERT(D15,"C","F")</f>
        <v>59</v>
      </c>
      <c r="G15" s="18" t="s">
        <v>45</v>
      </c>
    </row>
    <row r="16" spans="2:7" ht="15.75" thickBot="1" x14ac:dyDescent="0.3">
      <c r="C16" s="23" t="s">
        <v>13</v>
      </c>
      <c r="D16" s="25">
        <f>D15+D8</f>
        <v>35</v>
      </c>
      <c r="E16" s="24" t="s">
        <v>21</v>
      </c>
      <c r="F16" s="26">
        <f>CONVERT(D16,"C","F")</f>
        <v>95</v>
      </c>
      <c r="G16" s="27" t="s">
        <v>45</v>
      </c>
    </row>
    <row r="17" spans="2:7" x14ac:dyDescent="0.25">
      <c r="C17" s="28" t="s">
        <v>28</v>
      </c>
      <c r="D17" s="45">
        <v>300</v>
      </c>
      <c r="E17" s="29" t="s">
        <v>29</v>
      </c>
      <c r="F17" s="30"/>
      <c r="G17" s="31"/>
    </row>
    <row r="18" spans="2:7" x14ac:dyDescent="0.25">
      <c r="C18" s="32" t="s">
        <v>30</v>
      </c>
      <c r="D18" s="46">
        <v>13.5</v>
      </c>
      <c r="E18" s="33" t="s">
        <v>31</v>
      </c>
      <c r="F18" s="17"/>
      <c r="G18" s="18"/>
    </row>
    <row r="19" spans="2:7" x14ac:dyDescent="0.25">
      <c r="C19" s="32" t="s">
        <v>32</v>
      </c>
      <c r="D19" s="34">
        <f>CONVERT(D11,"min","hr")*$D$17</f>
        <v>750</v>
      </c>
      <c r="E19" s="33" t="s">
        <v>34</v>
      </c>
      <c r="F19" s="17"/>
      <c r="G19" s="18"/>
    </row>
    <row r="20" spans="2:7" x14ac:dyDescent="0.25">
      <c r="C20" s="32" t="s">
        <v>35</v>
      </c>
      <c r="D20" s="34">
        <f>CONVERT(D19,"g","kg")*D18</f>
        <v>10.125</v>
      </c>
      <c r="E20" s="33" t="s">
        <v>33</v>
      </c>
      <c r="F20" s="22">
        <f>CONVERT(D20,"kg","lbm")</f>
        <v>22.321804046218855</v>
      </c>
      <c r="G20" s="18" t="s">
        <v>51</v>
      </c>
    </row>
    <row r="21" spans="2:7" x14ac:dyDescent="0.25">
      <c r="C21" s="32" t="s">
        <v>36</v>
      </c>
      <c r="D21" s="35">
        <f>CONVERT(D20/$D$10,"m^3","L")</f>
        <v>8410.3964973383499</v>
      </c>
      <c r="E21" s="33" t="s">
        <v>37</v>
      </c>
      <c r="F21" s="22">
        <f>CONVERT(D21,"L","ft^3")</f>
        <v>297.01034929907883</v>
      </c>
      <c r="G21" s="18" t="s">
        <v>52</v>
      </c>
    </row>
    <row r="22" spans="2:7" ht="15.75" thickBot="1" x14ac:dyDescent="0.3">
      <c r="C22" s="36" t="s">
        <v>54</v>
      </c>
      <c r="D22" s="37">
        <f>(D21/D12)/D14</f>
        <v>3.0472451077312859</v>
      </c>
      <c r="E22" s="38" t="s">
        <v>38</v>
      </c>
      <c r="F22" s="39">
        <f>CONVERT(D22,"L","in^3")</f>
        <v>185.95430564811889</v>
      </c>
      <c r="G22" s="40" t="s">
        <v>53</v>
      </c>
    </row>
    <row r="23" spans="2:7" x14ac:dyDescent="0.25">
      <c r="B23" s="47" t="s">
        <v>66</v>
      </c>
      <c r="C23" s="48" t="s">
        <v>55</v>
      </c>
      <c r="D23" s="54">
        <v>1.4</v>
      </c>
      <c r="E23" s="49" t="s">
        <v>17</v>
      </c>
      <c r="F23" s="50"/>
      <c r="G23" s="51"/>
    </row>
    <row r="24" spans="2:7" x14ac:dyDescent="0.25">
      <c r="B24" s="47"/>
      <c r="C24" s="48" t="s">
        <v>64</v>
      </c>
      <c r="D24" s="54">
        <v>1005</v>
      </c>
      <c r="E24" s="49" t="s">
        <v>65</v>
      </c>
      <c r="F24" s="50"/>
      <c r="G24" s="51"/>
    </row>
    <row r="25" spans="2:7" x14ac:dyDescent="0.25">
      <c r="B25" s="47"/>
      <c r="C25" s="48" t="s">
        <v>58</v>
      </c>
      <c r="D25" s="1">
        <f>SQRT(D23*D7*CONVERT(D16,"C","K"))</f>
        <v>351.89702610915498</v>
      </c>
      <c r="E25" s="49" t="s">
        <v>56</v>
      </c>
      <c r="F25" s="1">
        <f>CONVERT(D25,"m","ft")</f>
        <v>1154.5178021953905</v>
      </c>
      <c r="G25" s="52" t="s">
        <v>57</v>
      </c>
    </row>
    <row r="26" spans="2:7" x14ac:dyDescent="0.25">
      <c r="B26" s="47"/>
      <c r="C26" s="48" t="s">
        <v>59</v>
      </c>
      <c r="D26" s="55">
        <v>150</v>
      </c>
      <c r="E26" s="49" t="s">
        <v>56</v>
      </c>
      <c r="F26" s="1">
        <f>CONVERT(D26,"m","ft")</f>
        <v>492.12598425196853</v>
      </c>
      <c r="G26" s="52" t="s">
        <v>57</v>
      </c>
    </row>
    <row r="27" spans="2:7" x14ac:dyDescent="0.25">
      <c r="B27" s="47"/>
      <c r="C27" s="48" t="s">
        <v>60</v>
      </c>
      <c r="D27" s="1">
        <f>D26/D25</f>
        <v>0.42626106181832718</v>
      </c>
      <c r="E27" s="49" t="s">
        <v>17</v>
      </c>
    </row>
    <row r="28" spans="2:7" x14ac:dyDescent="0.25">
      <c r="B28" s="47"/>
      <c r="C28" s="48" t="s">
        <v>62</v>
      </c>
      <c r="D28" s="55">
        <v>70</v>
      </c>
      <c r="E28" s="49" t="s">
        <v>22</v>
      </c>
      <c r="F28" s="20">
        <f>CONVERT(D28,"kPa","psi")</f>
        <v>10.152641641114645</v>
      </c>
      <c r="G28" s="18" t="s">
        <v>46</v>
      </c>
    </row>
    <row r="29" spans="2:7" x14ac:dyDescent="0.25">
      <c r="B29" s="47"/>
      <c r="C29" s="48" t="s">
        <v>63</v>
      </c>
      <c r="D29" s="53">
        <f>CONVERT(CONVERT(D16,"C","K")+(D26^2)/(2*D24),"K","C")</f>
        <v>46.19402985074629</v>
      </c>
      <c r="E29" s="49" t="s">
        <v>21</v>
      </c>
      <c r="F29" s="26">
        <f>CONVERT(D29,"C","F")</f>
        <v>115.14925373134332</v>
      </c>
      <c r="G29" s="27" t="s">
        <v>45</v>
      </c>
    </row>
    <row r="30" spans="2:7" x14ac:dyDescent="0.25">
      <c r="B30" s="47"/>
      <c r="C30" s="48" t="s">
        <v>61</v>
      </c>
      <c r="D30" s="1">
        <f>D28*(CONVERT(D29,"C","K")/CONVERT(D16,"C","K"))^(D23/(D23-1))</f>
        <v>79.311514440907686</v>
      </c>
      <c r="E30" s="49" t="s">
        <v>22</v>
      </c>
      <c r="F30" s="20">
        <f>CONVERT(D30,"kPa","psi")</f>
        <v>11.503162630466068</v>
      </c>
      <c r="G30" s="18" t="s">
        <v>46</v>
      </c>
    </row>
  </sheetData>
  <sheetProtection algorithmName="SHA-512" hashValue="AFOg6z/AA9xohxiEMQ6EDXhExz8DhMTbysktyp8fi5BnaaUCtFIBqTdpc0zN9RZ8BvAZJ1g7oxxNFOQThG6O8Q==" saltValue="y3Qf9hoP6+0i3Ex0WE7g5Q==" spinCount="100000" sheet="1" objects="1" scenarios="1"/>
  <mergeCells count="1">
    <mergeCell ref="B23:B3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Intake Manifold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2022-02-10T14:20:53Z</dcterms:created>
  <dcterms:modified xsi:type="dcterms:W3CDTF">2022-03-21T20:16:01Z</dcterms:modified>
</cp:coreProperties>
</file>