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ontextron-my.sharepoint.com/personal/jwilli42_txt_textron_com/Documents/Desktop/Temp folder to place stuff in then delete/to Github/protected/"/>
    </mc:Choice>
  </mc:AlternateContent>
  <xr:revisionPtr revIDLastSave="2" documentId="8_{45428B9E-6722-4867-BE02-BCB26D3308AB}" xr6:coauthVersionLast="46" xr6:coauthVersionMax="46" xr10:uidLastSave="{A25B2119-CBE5-4F91-AC83-4C69FDD9CF4B}"/>
  <bookViews>
    <workbookView xWindow="-120" yWindow="-120" windowWidth="29040" windowHeight="15840" firstSheet="1" activeTab="2" xr2:uid="{2EF89746-319D-4EE5-A576-82A24AE11208}"/>
  </bookViews>
  <sheets>
    <sheet name="Static Loading Flowchart" sheetId="6" r:id="rId1"/>
    <sheet name="Plane Stress" sheetId="3" r:id="rId2"/>
    <sheet name="Non-Plane Stress" sheetId="2" r:id="rId3"/>
    <sheet name="MaxShearStressMSS Criteria Info" sheetId="4" r:id="rId4"/>
    <sheet name="DuctileCoulombMohr Crit Theory" sheetId="5" r:id="rId5"/>
    <sheet name="Distortion Energy Theory Info" sheetId="1" r:id="rId6"/>
  </sheets>
  <externalReferences>
    <externalReference r:id="rId7"/>
    <externalReference r:id="rId8"/>
  </externalReferences>
  <definedNames>
    <definedName name="Chart_Min">'Plane Stress'!$C$43</definedName>
    <definedName name="conserv">'Static Loading Flowchart'!$AA$2:$AA$5</definedName>
    <definedName name="S_y" localSheetId="3">'[1]Mohr''sCircle(2D) - MSS'!$C$12</definedName>
    <definedName name="S_y">'Plane Stress'!$C$12</definedName>
    <definedName name="sigma_avg" localSheetId="3">'[1]Mohr''sCircle(2D) - MSS'!$C$17</definedName>
    <definedName name="sigma_avg" localSheetId="1">'Plane Stress'!$C$20</definedName>
    <definedName name="sigma_avg">'[2]Mohr''s Circle (2D)'!$C$15</definedName>
    <definedName name="sigma_max" localSheetId="3">'[1]Mohr''sCircle(2D) - MSS'!$C$18</definedName>
    <definedName name="sigma_max">'Plane Stress'!$C$21</definedName>
    <definedName name="sigma_min" localSheetId="3">'[1]Mohr''sCircle(2D) - MSS'!$C$19</definedName>
    <definedName name="sigma_min">'Plane Stress'!$C$22</definedName>
    <definedName name="sigma_x" localSheetId="3">'[1]Mohr''sCircle(2D) - MSS'!$C$9</definedName>
    <definedName name="sigma_x" localSheetId="1">'Plane Stress'!$C$9</definedName>
    <definedName name="sigma_x">'[2]Mohr''s Circle (2D)'!$C$8</definedName>
    <definedName name="sigma_y" localSheetId="3">'[1]Mohr''sCircle(2D) - MSS'!$C$10</definedName>
    <definedName name="sigma_y" localSheetId="1">'Plane Stress'!$C$10</definedName>
    <definedName name="sigma_y">'[2]Mohr''s Circle (2D)'!$C$9</definedName>
    <definedName name="solver_cvg" localSheetId="2" hidden="1">0.0001</definedName>
    <definedName name="solver_drv" localSheetId="2" hidden="1">1</definedName>
    <definedName name="solver_eng" localSheetId="2" hidden="1">1</definedName>
    <definedName name="solver_est" localSheetId="2" hidden="1">1</definedName>
    <definedName name="solver_itr" localSheetId="2" hidden="1">2147483647</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1</definedName>
    <definedName name="solver_nod" localSheetId="2" hidden="1">2147483647</definedName>
    <definedName name="solver_num" localSheetId="2" hidden="1">0</definedName>
    <definedName name="solver_nwt" localSheetId="2" hidden="1">1</definedName>
    <definedName name="solver_opt" localSheetId="2" hidden="1">'Non-Plane Stress'!#REF!</definedName>
    <definedName name="solver_pre" localSheetId="2" hidden="1">0.000001</definedName>
    <definedName name="solver_rbv" localSheetId="2" hidden="1">1</definedName>
    <definedName name="solver_rlx" localSheetId="2" hidden="1">2</definedName>
    <definedName name="solver_rsd" localSheetId="2" hidden="1">0</definedName>
    <definedName name="solver_scl" localSheetId="2" hidden="1">1</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3</definedName>
    <definedName name="solver_val" localSheetId="2" hidden="1">0</definedName>
    <definedName name="solver_ver" localSheetId="2" hidden="1">3</definedName>
    <definedName name="tau_max">'Plane Stress'!$C$23</definedName>
    <definedName name="tau_xy" localSheetId="3">'[1]Mohr''sCircle(2D) - MSS'!$C$11</definedName>
    <definedName name="tau_xy" localSheetId="1">'Plane Stress'!$C$11</definedName>
    <definedName name="tau_xy">'[2]Mohr''s Circle (2D)'!$C$10</definedName>
    <definedName name="YesNo">'Static Loading Flowchart'!$AB$2:$AB$5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6" l="1"/>
  <c r="C6" i="6" s="1"/>
  <c r="J287" i="3"/>
  <c r="J286" i="3"/>
  <c r="J285" i="3"/>
  <c r="I285" i="3"/>
  <c r="I284" i="3"/>
  <c r="J283" i="3"/>
  <c r="I282" i="3"/>
  <c r="J282" i="3"/>
  <c r="I281" i="3"/>
  <c r="I287" i="3" s="1"/>
  <c r="H287" i="3"/>
  <c r="K98" i="5"/>
  <c r="J98" i="5"/>
  <c r="K97" i="5"/>
  <c r="K96" i="5"/>
  <c r="J96" i="5"/>
  <c r="J95" i="5"/>
  <c r="K94" i="5"/>
  <c r="K93" i="5"/>
  <c r="J93" i="5"/>
  <c r="J92" i="5"/>
  <c r="F84" i="5"/>
  <c r="F81" i="5"/>
  <c r="F80" i="5"/>
  <c r="F74" i="5"/>
  <c r="F75" i="5"/>
  <c r="F76" i="5" s="1"/>
  <c r="F79" i="5" s="1"/>
  <c r="F72" i="5"/>
  <c r="F73" i="5" s="1"/>
  <c r="F77" i="5" s="1"/>
  <c r="F70" i="5"/>
  <c r="D19" i="3"/>
  <c r="C19" i="3"/>
  <c r="C18" i="3"/>
  <c r="D18" i="3"/>
  <c r="C45" i="2" l="1"/>
  <c r="N270" i="3"/>
  <c r="N271" i="3" s="1"/>
  <c r="N272" i="3" s="1"/>
  <c r="N273" i="3" s="1"/>
  <c r="N274" i="3" s="1"/>
  <c r="N275" i="3" s="1"/>
  <c r="N276" i="3" s="1"/>
  <c r="N277" i="3" s="1"/>
  <c r="N278" i="3" s="1"/>
  <c r="N279" i="3" s="1"/>
  <c r="N280" i="3" s="1"/>
  <c r="N281" i="3" s="1"/>
  <c r="N282" i="3" s="1"/>
  <c r="N283" i="3" s="1"/>
  <c r="N284" i="3" s="1"/>
  <c r="N285" i="3" s="1"/>
  <c r="N286" i="3" s="1"/>
  <c r="N287" i="3" s="1"/>
  <c r="N288" i="3" s="1"/>
  <c r="N289" i="3" s="1"/>
  <c r="N290" i="3" s="1"/>
  <c r="N291" i="3" s="1"/>
  <c r="N292" i="3" s="1"/>
  <c r="N293" i="3" s="1"/>
  <c r="N294" i="3" s="1"/>
  <c r="N295" i="3" s="1"/>
  <c r="N296" i="3" s="1"/>
  <c r="N297" i="3" s="1"/>
  <c r="N298" i="3" s="1"/>
  <c r="N299" i="3" s="1"/>
  <c r="N300" i="3" s="1"/>
  <c r="N301" i="3" s="1"/>
  <c r="N302" i="3" s="1"/>
  <c r="N303" i="3" s="1"/>
  <c r="N304" i="3" s="1"/>
  <c r="N305" i="3" s="1"/>
  <c r="N306" i="3" s="1"/>
  <c r="N307" i="3" s="1"/>
  <c r="N308" i="3" s="1"/>
  <c r="N309" i="3" s="1"/>
  <c r="N310" i="3" s="1"/>
  <c r="N311" i="3" s="1"/>
  <c r="N312" i="3" s="1"/>
  <c r="N313" i="3" s="1"/>
  <c r="N314" i="3" s="1"/>
  <c r="N315" i="3" s="1"/>
  <c r="N316" i="3" s="1"/>
  <c r="N317" i="3" s="1"/>
  <c r="N318" i="3" s="1"/>
  <c r="N319" i="3" s="1"/>
  <c r="N320" i="3" s="1"/>
  <c r="N321" i="3" s="1"/>
  <c r="N322" i="3" s="1"/>
  <c r="N323" i="3" s="1"/>
  <c r="N324" i="3" s="1"/>
  <c r="N325" i="3" s="1"/>
  <c r="N326" i="3" s="1"/>
  <c r="N327" i="3" s="1"/>
  <c r="N328" i="3" s="1"/>
  <c r="N329" i="3" s="1"/>
  <c r="N330" i="3" s="1"/>
  <c r="N331" i="3" s="1"/>
  <c r="N332" i="3" s="1"/>
  <c r="N333" i="3" s="1"/>
  <c r="N334" i="3" s="1"/>
  <c r="N335" i="3" s="1"/>
  <c r="N336" i="3" s="1"/>
  <c r="N337" i="3" s="1"/>
  <c r="N338" i="3" s="1"/>
  <c r="N339" i="3" s="1"/>
  <c r="N340" i="3" s="1"/>
  <c r="N341" i="3" s="1"/>
  <c r="N342" i="3" s="1"/>
  <c r="N343" i="3" s="1"/>
  <c r="N344" i="3" s="1"/>
  <c r="N345" i="3" s="1"/>
  <c r="N346" i="3" s="1"/>
  <c r="N347" i="3" s="1"/>
  <c r="N348" i="3" s="1"/>
  <c r="N349" i="3" s="1"/>
  <c r="N350" i="3" s="1"/>
  <c r="N351" i="3" s="1"/>
  <c r="N352" i="3" s="1"/>
  <c r="N353" i="3" s="1"/>
  <c r="N354" i="3" s="1"/>
  <c r="N355" i="3" s="1"/>
  <c r="N356" i="3" s="1"/>
  <c r="N357" i="3" s="1"/>
  <c r="N358" i="3" s="1"/>
  <c r="N359" i="3" s="1"/>
  <c r="N360" i="3" s="1"/>
  <c r="N361" i="3" s="1"/>
  <c r="N362" i="3" s="1"/>
  <c r="N363" i="3" s="1"/>
  <c r="N364" i="3" s="1"/>
  <c r="N365" i="3" s="1"/>
  <c r="N366" i="3" s="1"/>
  <c r="N367" i="3" s="1"/>
  <c r="N368" i="3" s="1"/>
  <c r="N369" i="3" s="1"/>
  <c r="N370" i="3" s="1"/>
  <c r="N371" i="3" s="1"/>
  <c r="N372" i="3" s="1"/>
  <c r="N373" i="3" s="1"/>
  <c r="N374" i="3" s="1"/>
  <c r="N375" i="3" s="1"/>
  <c r="N376" i="3" s="1"/>
  <c r="N377" i="3" s="1"/>
  <c r="N378" i="3" s="1"/>
  <c r="N379" i="3" s="1"/>
  <c r="N380" i="3" s="1"/>
  <c r="N381" i="3" s="1"/>
  <c r="N382" i="3" s="1"/>
  <c r="N383" i="3" s="1"/>
  <c r="N384" i="3" s="1"/>
  <c r="N385" i="3" s="1"/>
  <c r="N386" i="3" s="1"/>
  <c r="N387" i="3" s="1"/>
  <c r="N388" i="3" s="1"/>
  <c r="N389" i="3" s="1"/>
  <c r="N390" i="3" s="1"/>
  <c r="N391" i="3" s="1"/>
  <c r="N392" i="3" s="1"/>
  <c r="N393" i="3" s="1"/>
  <c r="N394" i="3" s="1"/>
  <c r="N395" i="3" s="1"/>
  <c r="N396" i="3" s="1"/>
  <c r="N397" i="3" s="1"/>
  <c r="N398" i="3" s="1"/>
  <c r="N399" i="3" s="1"/>
  <c r="N400" i="3" s="1"/>
  <c r="N401" i="3" s="1"/>
  <c r="N402" i="3" s="1"/>
  <c r="N403" i="3" s="1"/>
  <c r="N404" i="3" s="1"/>
  <c r="N405" i="3" s="1"/>
  <c r="N406" i="3" s="1"/>
  <c r="N407" i="3" s="1"/>
  <c r="N408" i="3" s="1"/>
  <c r="N409" i="3" s="1"/>
  <c r="N410" i="3" s="1"/>
  <c r="N411" i="3" s="1"/>
  <c r="N412" i="3" s="1"/>
  <c r="N413" i="3" s="1"/>
  <c r="N414" i="3" s="1"/>
  <c r="N415" i="3" s="1"/>
  <c r="N416" i="3" s="1"/>
  <c r="N417" i="3" s="1"/>
  <c r="N418" i="3" s="1"/>
  <c r="N419" i="3" s="1"/>
  <c r="N420" i="3" s="1"/>
  <c r="N421" i="3" s="1"/>
  <c r="N422" i="3" s="1"/>
  <c r="N423" i="3" s="1"/>
  <c r="N424" i="3" s="1"/>
  <c r="N425" i="3" s="1"/>
  <c r="N426" i="3" s="1"/>
  <c r="N427" i="3" s="1"/>
  <c r="N428" i="3" s="1"/>
  <c r="N429" i="3" s="1"/>
  <c r="N430" i="3" s="1"/>
  <c r="N431" i="3" s="1"/>
  <c r="N432" i="3" s="1"/>
  <c r="N433" i="3" s="1"/>
  <c r="N434" i="3" s="1"/>
  <c r="N435" i="3" s="1"/>
  <c r="N436" i="3" s="1"/>
  <c r="N437" i="3" s="1"/>
  <c r="N438" i="3" s="1"/>
  <c r="N439" i="3" s="1"/>
  <c r="N440" i="3" s="1"/>
  <c r="N441" i="3" s="1"/>
  <c r="N442" i="3" s="1"/>
  <c r="N443" i="3" s="1"/>
  <c r="N444" i="3" s="1"/>
  <c r="N445" i="3" s="1"/>
  <c r="N446" i="3" s="1"/>
  <c r="N447" i="3" s="1"/>
  <c r="N448" i="3" s="1"/>
  <c r="N449" i="3" s="1"/>
  <c r="N450" i="3" s="1"/>
  <c r="N451" i="3" s="1"/>
  <c r="N452" i="3" s="1"/>
  <c r="N453" i="3" s="1"/>
  <c r="N454" i="3" s="1"/>
  <c r="N455" i="3" s="1"/>
  <c r="N456" i="3" s="1"/>
  <c r="N457" i="3" s="1"/>
  <c r="N458" i="3" s="1"/>
  <c r="N459" i="3" s="1"/>
  <c r="N460" i="3" s="1"/>
  <c r="N461" i="3" s="1"/>
  <c r="N462" i="3" s="1"/>
  <c r="N463" i="3" s="1"/>
  <c r="N464" i="3" s="1"/>
  <c r="N465" i="3" s="1"/>
  <c r="N466" i="3" s="1"/>
  <c r="N467" i="3" s="1"/>
  <c r="N468" i="3" s="1"/>
  <c r="N469" i="3" s="1"/>
  <c r="N470" i="3" s="1"/>
  <c r="I272" i="3"/>
  <c r="C29" i="3"/>
  <c r="J277" i="3"/>
  <c r="H277" i="3"/>
  <c r="D262" i="3"/>
  <c r="C262" i="3"/>
  <c r="D260" i="3"/>
  <c r="C260" i="3"/>
  <c r="C257" i="3"/>
  <c r="C26" i="3"/>
  <c r="C27" i="3" s="1"/>
  <c r="F27" i="3" s="1"/>
  <c r="D23" i="3"/>
  <c r="D22" i="3"/>
  <c r="D21" i="3"/>
  <c r="D28" i="3" s="1"/>
  <c r="D29" i="3" s="1"/>
  <c r="D20" i="3"/>
  <c r="C20" i="3"/>
  <c r="D11" i="3"/>
  <c r="D10" i="3"/>
  <c r="B18" i="2"/>
  <c r="B19" i="2" s="1"/>
  <c r="C15" i="2"/>
  <c r="D41" i="2"/>
  <c r="D40" i="2"/>
  <c r="D39" i="2"/>
  <c r="D38" i="2"/>
  <c r="D35" i="2"/>
  <c r="C35" i="2"/>
  <c r="B160" i="2" s="1"/>
  <c r="D34" i="2"/>
  <c r="D45" i="2" s="1"/>
  <c r="D33" i="2"/>
  <c r="D44" i="2" s="1"/>
  <c r="C33" i="2"/>
  <c r="D32" i="2"/>
  <c r="D31" i="2"/>
  <c r="D30" i="2"/>
  <c r="C23" i="2"/>
  <c r="E127" i="2" s="1"/>
  <c r="C22" i="2"/>
  <c r="D127" i="2" s="1"/>
  <c r="D11" i="2"/>
  <c r="I10" i="2"/>
  <c r="H10" i="2"/>
  <c r="G10" i="2"/>
  <c r="D10" i="2"/>
  <c r="I9" i="2"/>
  <c r="H9" i="2"/>
  <c r="G9" i="2"/>
  <c r="D9" i="2"/>
  <c r="I8" i="2"/>
  <c r="H8" i="2"/>
  <c r="G8" i="2"/>
  <c r="D8" i="2"/>
  <c r="D7" i="2"/>
  <c r="C261" i="3" l="1"/>
  <c r="E261" i="3" s="1"/>
  <c r="C21" i="3"/>
  <c r="C22" i="3"/>
  <c r="J273" i="3"/>
  <c r="I274" i="3"/>
  <c r="I275" i="3"/>
  <c r="J275" i="3"/>
  <c r="J272" i="3"/>
  <c r="I271" i="3"/>
  <c r="I277" i="3" s="1"/>
  <c r="J276" i="3"/>
  <c r="C43" i="3"/>
  <c r="F26" i="3"/>
  <c r="C44" i="3"/>
  <c r="D43" i="3"/>
  <c r="D44" i="3" s="1"/>
  <c r="C23" i="3"/>
  <c r="C24" i="2"/>
  <c r="F127" i="2" s="1"/>
  <c r="H127" i="2" s="1"/>
  <c r="C34" i="2"/>
  <c r="C42" i="2" s="1"/>
  <c r="H160" i="2"/>
  <c r="H161" i="2" s="1"/>
  <c r="H162" i="2" s="1"/>
  <c r="H163" i="2" s="1"/>
  <c r="H164" i="2" s="1"/>
  <c r="H165" i="2" s="1"/>
  <c r="H166" i="2" s="1"/>
  <c r="H167" i="2" s="1"/>
  <c r="H168" i="2" s="1"/>
  <c r="H169" i="2" s="1"/>
  <c r="H170" i="2" s="1"/>
  <c r="H171" i="2" s="1"/>
  <c r="H172" i="2" s="1"/>
  <c r="H173" i="2" s="1"/>
  <c r="H174" i="2" s="1"/>
  <c r="H175" i="2" s="1"/>
  <c r="H176" i="2" s="1"/>
  <c r="H177" i="2" s="1"/>
  <c r="H178" i="2" s="1"/>
  <c r="H179" i="2" s="1"/>
  <c r="H180" i="2" s="1"/>
  <c r="H181" i="2" s="1"/>
  <c r="H182" i="2" s="1"/>
  <c r="H183" i="2" s="1"/>
  <c r="H184" i="2" s="1"/>
  <c r="H185" i="2" s="1"/>
  <c r="H186" i="2" s="1"/>
  <c r="H187" i="2" s="1"/>
  <c r="H188" i="2" s="1"/>
  <c r="H189" i="2" s="1"/>
  <c r="H190" i="2" s="1"/>
  <c r="H191" i="2" s="1"/>
  <c r="H192" i="2" s="1"/>
  <c r="H193" i="2" s="1"/>
  <c r="H194" i="2" s="1"/>
  <c r="H195" i="2" s="1"/>
  <c r="H196" i="2" s="1"/>
  <c r="H197" i="2" s="1"/>
  <c r="H198" i="2" s="1"/>
  <c r="H199" i="2" s="1"/>
  <c r="H200" i="2" s="1"/>
  <c r="H201" i="2" s="1"/>
  <c r="H202" i="2" s="1"/>
  <c r="H203" i="2" s="1"/>
  <c r="H204" i="2" s="1"/>
  <c r="H205" i="2" s="1"/>
  <c r="H206" i="2" s="1"/>
  <c r="H207" i="2" s="1"/>
  <c r="H208" i="2" s="1"/>
  <c r="H209" i="2" s="1"/>
  <c r="H210" i="2" s="1"/>
  <c r="H211" i="2" s="1"/>
  <c r="H212" i="2" s="1"/>
  <c r="H213" i="2" s="1"/>
  <c r="H214" i="2" s="1"/>
  <c r="H215" i="2" s="1"/>
  <c r="H216" i="2" s="1"/>
  <c r="H217" i="2" s="1"/>
  <c r="H218" i="2" s="1"/>
  <c r="H219" i="2" s="1"/>
  <c r="H220" i="2" s="1"/>
  <c r="H221" i="2" s="1"/>
  <c r="H222" i="2" s="1"/>
  <c r="H223" i="2" s="1"/>
  <c r="H224" i="2" s="1"/>
  <c r="H225" i="2" s="1"/>
  <c r="H226" i="2" s="1"/>
  <c r="H227" i="2" s="1"/>
  <c r="H228" i="2" s="1"/>
  <c r="H229" i="2" s="1"/>
  <c r="H230" i="2" s="1"/>
  <c r="H231" i="2" s="1"/>
  <c r="H232" i="2" s="1"/>
  <c r="H233" i="2" s="1"/>
  <c r="H234" i="2" s="1"/>
  <c r="H235" i="2" s="1"/>
  <c r="H236" i="2" s="1"/>
  <c r="H237" i="2" s="1"/>
  <c r="H238" i="2" s="1"/>
  <c r="H239" i="2" s="1"/>
  <c r="H240" i="2" s="1"/>
  <c r="H241" i="2" s="1"/>
  <c r="H242" i="2" s="1"/>
  <c r="H243" i="2" s="1"/>
  <c r="H244" i="2" s="1"/>
  <c r="H245" i="2" s="1"/>
  <c r="H246" i="2" s="1"/>
  <c r="H247" i="2" s="1"/>
  <c r="H248" i="2" s="1"/>
  <c r="H249" i="2" s="1"/>
  <c r="H250" i="2" s="1"/>
  <c r="H251" i="2" s="1"/>
  <c r="H252" i="2" s="1"/>
  <c r="H253" i="2" s="1"/>
  <c r="H254" i="2" s="1"/>
  <c r="H255" i="2" s="1"/>
  <c r="H256" i="2" s="1"/>
  <c r="H257" i="2" s="1"/>
  <c r="H258" i="2" s="1"/>
  <c r="H259" i="2" s="1"/>
  <c r="H260" i="2" s="1"/>
  <c r="I260" i="2" s="1"/>
  <c r="J260" i="2" s="1"/>
  <c r="C41" i="2"/>
  <c r="C32" i="3" l="1"/>
  <c r="E262" i="3"/>
  <c r="C44" i="2"/>
  <c r="C28" i="3"/>
  <c r="D37" i="3"/>
  <c r="B265" i="3"/>
  <c r="L272" i="3"/>
  <c r="K272" i="3"/>
  <c r="D38" i="3"/>
  <c r="C24" i="3"/>
  <c r="C25" i="3"/>
  <c r="D36" i="3"/>
  <c r="I162" i="2"/>
  <c r="J162" i="2" s="1"/>
  <c r="I160" i="2"/>
  <c r="J160" i="2" s="1"/>
  <c r="I177" i="2"/>
  <c r="J177" i="2" s="1"/>
  <c r="I179" i="2"/>
  <c r="J179" i="2" s="1"/>
  <c r="I171" i="2"/>
  <c r="J171" i="2" s="1"/>
  <c r="I223" i="2"/>
  <c r="J223" i="2" s="1"/>
  <c r="I185" i="2"/>
  <c r="J185" i="2" s="1"/>
  <c r="I224" i="2"/>
  <c r="J224" i="2" s="1"/>
  <c r="I194" i="2"/>
  <c r="J194" i="2" s="1"/>
  <c r="I200" i="2"/>
  <c r="J200" i="2" s="1"/>
  <c r="I199" i="2"/>
  <c r="J199" i="2" s="1"/>
  <c r="I209" i="2"/>
  <c r="J209" i="2" s="1"/>
  <c r="I206" i="2"/>
  <c r="J206" i="2" s="1"/>
  <c r="I226" i="2"/>
  <c r="J226" i="2" s="1"/>
  <c r="I230" i="2"/>
  <c r="J230" i="2" s="1"/>
  <c r="I195" i="2"/>
  <c r="J195" i="2" s="1"/>
  <c r="I191" i="2"/>
  <c r="J191" i="2" s="1"/>
  <c r="I190" i="2"/>
  <c r="J190" i="2" s="1"/>
  <c r="I238" i="2"/>
  <c r="J238" i="2" s="1"/>
  <c r="I231" i="2"/>
  <c r="J231" i="2" s="1"/>
  <c r="I192" i="2"/>
  <c r="J192" i="2" s="1"/>
  <c r="I163" i="2"/>
  <c r="J163" i="2" s="1"/>
  <c r="I178" i="2"/>
  <c r="J178" i="2" s="1"/>
  <c r="I214" i="2"/>
  <c r="J214" i="2" s="1"/>
  <c r="I246" i="2"/>
  <c r="J246" i="2" s="1"/>
  <c r="I207" i="2"/>
  <c r="J207" i="2" s="1"/>
  <c r="I239" i="2"/>
  <c r="J239" i="2" s="1"/>
  <c r="I193" i="2"/>
  <c r="J193" i="2" s="1"/>
  <c r="I225" i="2"/>
  <c r="J225" i="2" s="1"/>
  <c r="I257" i="2"/>
  <c r="J257" i="2" s="1"/>
  <c r="I210" i="2"/>
  <c r="J210" i="2" s="1"/>
  <c r="I242" i="2"/>
  <c r="J242" i="2" s="1"/>
  <c r="I228" i="2"/>
  <c r="J228" i="2" s="1"/>
  <c r="I169" i="2"/>
  <c r="J169" i="2" s="1"/>
  <c r="I196" i="2"/>
  <c r="J196" i="2" s="1"/>
  <c r="I248" i="2"/>
  <c r="J248" i="2" s="1"/>
  <c r="I174" i="2"/>
  <c r="J174" i="2" s="1"/>
  <c r="I188" i="2"/>
  <c r="J188" i="2" s="1"/>
  <c r="I181" i="2"/>
  <c r="J181" i="2" s="1"/>
  <c r="I164" i="2"/>
  <c r="J164" i="2" s="1"/>
  <c r="I255" i="2"/>
  <c r="J255" i="2" s="1"/>
  <c r="I241" i="2"/>
  <c r="J241" i="2" s="1"/>
  <c r="I258" i="2"/>
  <c r="J258" i="2" s="1"/>
  <c r="I244" i="2"/>
  <c r="J244" i="2" s="1"/>
  <c r="I259" i="2"/>
  <c r="J259" i="2" s="1"/>
  <c r="I217" i="2"/>
  <c r="J217" i="2" s="1"/>
  <c r="I249" i="2"/>
  <c r="J249" i="2" s="1"/>
  <c r="I202" i="2"/>
  <c r="J202" i="2" s="1"/>
  <c r="I234" i="2"/>
  <c r="J234" i="2" s="1"/>
  <c r="I220" i="2"/>
  <c r="J220" i="2" s="1"/>
  <c r="I252" i="2"/>
  <c r="J252" i="2" s="1"/>
  <c r="I211" i="2"/>
  <c r="J211" i="2" s="1"/>
  <c r="I184" i="2"/>
  <c r="J184" i="2" s="1"/>
  <c r="I227" i="2"/>
  <c r="J227" i="2" s="1"/>
  <c r="I189" i="2"/>
  <c r="J189" i="2" s="1"/>
  <c r="I170" i="2"/>
  <c r="J170" i="2" s="1"/>
  <c r="I222" i="2"/>
  <c r="J222" i="2" s="1"/>
  <c r="I254" i="2"/>
  <c r="J254" i="2" s="1"/>
  <c r="I215" i="2"/>
  <c r="J215" i="2" s="1"/>
  <c r="I247" i="2"/>
  <c r="J247" i="2" s="1"/>
  <c r="I201" i="2"/>
  <c r="J201" i="2" s="1"/>
  <c r="I233" i="2"/>
  <c r="J233" i="2" s="1"/>
  <c r="I186" i="2"/>
  <c r="J186" i="2" s="1"/>
  <c r="I218" i="2"/>
  <c r="J218" i="2" s="1"/>
  <c r="I250" i="2"/>
  <c r="J250" i="2" s="1"/>
  <c r="I236" i="2"/>
  <c r="J236" i="2" s="1"/>
  <c r="I161" i="2"/>
  <c r="J161" i="2" s="1"/>
  <c r="I213" i="2"/>
  <c r="J213" i="2" s="1"/>
  <c r="I166" i="2"/>
  <c r="J166" i="2" s="1"/>
  <c r="I240" i="2"/>
  <c r="J240" i="2" s="1"/>
  <c r="I173" i="2"/>
  <c r="J173" i="2" s="1"/>
  <c r="I182" i="2"/>
  <c r="J182" i="2" s="1"/>
  <c r="I197" i="2"/>
  <c r="J197" i="2" s="1"/>
  <c r="I205" i="2"/>
  <c r="J205" i="2" s="1"/>
  <c r="I203" i="2"/>
  <c r="J203" i="2" s="1"/>
  <c r="I235" i="2"/>
  <c r="J235" i="2" s="1"/>
  <c r="I245" i="2"/>
  <c r="J245" i="2" s="1"/>
  <c r="I204" i="2"/>
  <c r="J204" i="2" s="1"/>
  <c r="I243" i="2"/>
  <c r="J243" i="2" s="1"/>
  <c r="I221" i="2"/>
  <c r="J221" i="2" s="1"/>
  <c r="I253" i="2"/>
  <c r="J253" i="2" s="1"/>
  <c r="I183" i="2"/>
  <c r="J183" i="2" s="1"/>
  <c r="I172" i="2"/>
  <c r="J172" i="2" s="1"/>
  <c r="I212" i="2"/>
  <c r="J212" i="2" s="1"/>
  <c r="I219" i="2"/>
  <c r="J219" i="2" s="1"/>
  <c r="I251" i="2"/>
  <c r="J251" i="2" s="1"/>
  <c r="I229" i="2"/>
  <c r="J229" i="2" s="1"/>
  <c r="I198" i="2"/>
  <c r="J198" i="2" s="1"/>
  <c r="C38" i="2"/>
  <c r="I176" i="2"/>
  <c r="J176" i="2" s="1"/>
  <c r="I180" i="2"/>
  <c r="J180" i="2" s="1"/>
  <c r="I175" i="2"/>
  <c r="J175" i="2" s="1"/>
  <c r="I256" i="2"/>
  <c r="J256" i="2" s="1"/>
  <c r="C39" i="2"/>
  <c r="C160" i="2"/>
  <c r="D160" i="2" s="1"/>
  <c r="E160" i="2"/>
  <c r="E161" i="2" s="1"/>
  <c r="E162" i="2" s="1"/>
  <c r="E163" i="2" s="1"/>
  <c r="E164" i="2" s="1"/>
  <c r="E165" i="2" s="1"/>
  <c r="E166" i="2" s="1"/>
  <c r="E167" i="2" s="1"/>
  <c r="E168" i="2" s="1"/>
  <c r="E169" i="2" s="1"/>
  <c r="E170" i="2" s="1"/>
  <c r="I208" i="2"/>
  <c r="J208" i="2" s="1"/>
  <c r="I165" i="2"/>
  <c r="J165" i="2" s="1"/>
  <c r="I237" i="2"/>
  <c r="J237" i="2" s="1"/>
  <c r="I216" i="2"/>
  <c r="J216" i="2" s="1"/>
  <c r="I168" i="2"/>
  <c r="J168" i="2" s="1"/>
  <c r="I167" i="2"/>
  <c r="J167" i="2" s="1"/>
  <c r="I232" i="2"/>
  <c r="J232" i="2" s="1"/>
  <c r="I187" i="2"/>
  <c r="J187" i="2" s="1"/>
  <c r="B161" i="2"/>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85" i="2" s="1"/>
  <c r="B186" i="2" s="1"/>
  <c r="B187" i="2" s="1"/>
  <c r="B188" i="2" s="1"/>
  <c r="B189" i="2" s="1"/>
  <c r="B190" i="2" s="1"/>
  <c r="B191" i="2" s="1"/>
  <c r="B192" i="2" s="1"/>
  <c r="B193" i="2" s="1"/>
  <c r="B194" i="2" s="1"/>
  <c r="B195" i="2" s="1"/>
  <c r="B196" i="2" s="1"/>
  <c r="B197" i="2" s="1"/>
  <c r="B198" i="2" s="1"/>
  <c r="B199" i="2" s="1"/>
  <c r="B200" i="2" s="1"/>
  <c r="B201" i="2" s="1"/>
  <c r="B202" i="2" s="1"/>
  <c r="B203" i="2" s="1"/>
  <c r="B204" i="2" s="1"/>
  <c r="B205" i="2" s="1"/>
  <c r="B206" i="2" s="1"/>
  <c r="B207" i="2" s="1"/>
  <c r="B208" i="2" s="1"/>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32" i="2" s="1"/>
  <c r="B233" i="2" s="1"/>
  <c r="B234" i="2" s="1"/>
  <c r="B235" i="2" s="1"/>
  <c r="B236" i="2" s="1"/>
  <c r="B237" i="2" s="1"/>
  <c r="B238" i="2" s="1"/>
  <c r="B239" i="2" s="1"/>
  <c r="B240" i="2" s="1"/>
  <c r="B241" i="2" s="1"/>
  <c r="B242" i="2" s="1"/>
  <c r="B243" i="2" s="1"/>
  <c r="B244" i="2" s="1"/>
  <c r="B245" i="2" s="1"/>
  <c r="B246" i="2" s="1"/>
  <c r="B247" i="2" s="1"/>
  <c r="B248" i="2" s="1"/>
  <c r="B249" i="2" s="1"/>
  <c r="B250" i="2" s="1"/>
  <c r="B251" i="2" s="1"/>
  <c r="B252" i="2" s="1"/>
  <c r="B253" i="2" s="1"/>
  <c r="B254" i="2" s="1"/>
  <c r="B255" i="2" s="1"/>
  <c r="B256" i="2" s="1"/>
  <c r="B257" i="2" s="1"/>
  <c r="B258" i="2" s="1"/>
  <c r="B259" i="2" s="1"/>
  <c r="B260" i="2" s="1"/>
  <c r="C260" i="2" s="1"/>
  <c r="D260" i="2" s="1"/>
  <c r="C40" i="2" a="1"/>
  <c r="C40" i="2" s="1"/>
  <c r="C30" i="3" l="1"/>
  <c r="O270" i="3"/>
  <c r="C31" i="3"/>
  <c r="B266" i="3"/>
  <c r="C265" i="3"/>
  <c r="D265" i="3" s="1"/>
  <c r="C170" i="2"/>
  <c r="D170" i="2" s="1"/>
  <c r="C211" i="2"/>
  <c r="D211" i="2" s="1"/>
  <c r="C162" i="2"/>
  <c r="D162" i="2" s="1"/>
  <c r="C203" i="2"/>
  <c r="D203" i="2" s="1"/>
  <c r="F163" i="2"/>
  <c r="G163" i="2" s="1"/>
  <c r="C165" i="2"/>
  <c r="D165" i="2" s="1"/>
  <c r="C197" i="2"/>
  <c r="D197" i="2" s="1"/>
  <c r="C191" i="2"/>
  <c r="D191" i="2" s="1"/>
  <c r="C206" i="2"/>
  <c r="D206" i="2" s="1"/>
  <c r="C43" i="2"/>
  <c r="C182" i="2"/>
  <c r="D182" i="2" s="1"/>
  <c r="F168" i="2"/>
  <c r="G168" i="2" s="1"/>
  <c r="C173" i="2"/>
  <c r="D173" i="2" s="1"/>
  <c r="C174" i="2"/>
  <c r="D174" i="2" s="1"/>
  <c r="C163" i="2"/>
  <c r="D163" i="2" s="1"/>
  <c r="C187" i="2"/>
  <c r="D187" i="2" s="1"/>
  <c r="C247" i="2"/>
  <c r="D247" i="2" s="1"/>
  <c r="C241" i="2"/>
  <c r="D241" i="2" s="1"/>
  <c r="E171" i="2"/>
  <c r="F170" i="2"/>
  <c r="G170" i="2" s="1"/>
  <c r="C238" i="2"/>
  <c r="D238" i="2" s="1"/>
  <c r="C256" i="2"/>
  <c r="D256" i="2" s="1"/>
  <c r="C171" i="2"/>
  <c r="D171" i="2" s="1"/>
  <c r="C254" i="2"/>
  <c r="D254" i="2" s="1"/>
  <c r="C189" i="2"/>
  <c r="D189" i="2" s="1"/>
  <c r="C195" i="2"/>
  <c r="D195" i="2" s="1"/>
  <c r="C161" i="2"/>
  <c r="D161" i="2" s="1"/>
  <c r="C220" i="2"/>
  <c r="D220" i="2" s="1"/>
  <c r="C213" i="2"/>
  <c r="D213" i="2" s="1"/>
  <c r="C207" i="2"/>
  <c r="D207" i="2" s="1"/>
  <c r="C200" i="2"/>
  <c r="D200" i="2" s="1"/>
  <c r="C201" i="2"/>
  <c r="D201" i="2" s="1"/>
  <c r="C218" i="2"/>
  <c r="D218" i="2" s="1"/>
  <c r="C235" i="2"/>
  <c r="D235" i="2" s="1"/>
  <c r="C179" i="2"/>
  <c r="D179" i="2" s="1"/>
  <c r="C168" i="2"/>
  <c r="D168" i="2" s="1"/>
  <c r="F164" i="2"/>
  <c r="G164" i="2" s="1"/>
  <c r="C210" i="2"/>
  <c r="D210" i="2" s="1"/>
  <c r="C255" i="2"/>
  <c r="D255" i="2" s="1"/>
  <c r="C249" i="2"/>
  <c r="D249" i="2" s="1"/>
  <c r="C188" i="2"/>
  <c r="D188" i="2" s="1"/>
  <c r="C212" i="2"/>
  <c r="D212" i="2" s="1"/>
  <c r="C192" i="2"/>
  <c r="D192" i="2" s="1"/>
  <c r="C257" i="2"/>
  <c r="D257" i="2" s="1"/>
  <c r="F166" i="2"/>
  <c r="G166" i="2" s="1"/>
  <c r="C172" i="2"/>
  <c r="D172" i="2" s="1"/>
  <c r="C222" i="2"/>
  <c r="D222" i="2" s="1"/>
  <c r="C228" i="2"/>
  <c r="D228" i="2" s="1"/>
  <c r="C215" i="2"/>
  <c r="D215" i="2" s="1"/>
  <c r="C209" i="2"/>
  <c r="D209" i="2" s="1"/>
  <c r="C243" i="2"/>
  <c r="D243" i="2" s="1"/>
  <c r="C190" i="2"/>
  <c r="D190" i="2" s="1"/>
  <c r="C180" i="2"/>
  <c r="D180" i="2" s="1"/>
  <c r="C178" i="2"/>
  <c r="D178" i="2" s="1"/>
  <c r="C167" i="2"/>
  <c r="D167" i="2" s="1"/>
  <c r="C176" i="2"/>
  <c r="D176" i="2" s="1"/>
  <c r="C177" i="2"/>
  <c r="D177" i="2" s="1"/>
  <c r="C236" i="2"/>
  <c r="D236" i="2" s="1"/>
  <c r="C229" i="2"/>
  <c r="D229" i="2" s="1"/>
  <c r="C223" i="2"/>
  <c r="D223" i="2" s="1"/>
  <c r="C216" i="2"/>
  <c r="D216" i="2" s="1"/>
  <c r="C217" i="2"/>
  <c r="D217" i="2" s="1"/>
  <c r="C234" i="2"/>
  <c r="D234" i="2" s="1"/>
  <c r="C251" i="2"/>
  <c r="D251" i="2" s="1"/>
  <c r="C246" i="2"/>
  <c r="D246" i="2" s="1"/>
  <c r="C253" i="2"/>
  <c r="D253" i="2" s="1"/>
  <c r="C240" i="2"/>
  <c r="D240" i="2" s="1"/>
  <c r="C258" i="2"/>
  <c r="D258" i="2" s="1"/>
  <c r="C204" i="2"/>
  <c r="D204" i="2" s="1"/>
  <c r="C181" i="2"/>
  <c r="D181" i="2" s="1"/>
  <c r="C205" i="2"/>
  <c r="D205" i="2" s="1"/>
  <c r="F161" i="2"/>
  <c r="G161" i="2" s="1"/>
  <c r="F169" i="2"/>
  <c r="G169" i="2" s="1"/>
  <c r="C169" i="2"/>
  <c r="D169" i="2" s="1"/>
  <c r="C198" i="2"/>
  <c r="D198" i="2" s="1"/>
  <c r="C175" i="2"/>
  <c r="D175" i="2" s="1"/>
  <c r="C185" i="2"/>
  <c r="D185" i="2" s="1"/>
  <c r="C237" i="2"/>
  <c r="D237" i="2" s="1"/>
  <c r="C225" i="2"/>
  <c r="D225" i="2" s="1"/>
  <c r="F165" i="2"/>
  <c r="G165" i="2" s="1"/>
  <c r="F162" i="2"/>
  <c r="G162" i="2" s="1"/>
  <c r="C248" i="2"/>
  <c r="D248" i="2" s="1"/>
  <c r="C219" i="2"/>
  <c r="D219" i="2" s="1"/>
  <c r="C230" i="2"/>
  <c r="D230" i="2" s="1"/>
  <c r="C199" i="2"/>
  <c r="D199" i="2" s="1"/>
  <c r="C227" i="2"/>
  <c r="D227" i="2" s="1"/>
  <c r="F160" i="2"/>
  <c r="G160" i="2" s="1"/>
  <c r="C214" i="2"/>
  <c r="D214" i="2" s="1"/>
  <c r="C221" i="2"/>
  <c r="D221" i="2" s="1"/>
  <c r="C208" i="2"/>
  <c r="D208" i="2" s="1"/>
  <c r="C226" i="2"/>
  <c r="D226" i="2" s="1"/>
  <c r="C193" i="2"/>
  <c r="D193" i="2" s="1"/>
  <c r="C164" i="2"/>
  <c r="D164" i="2" s="1"/>
  <c r="C184" i="2"/>
  <c r="D184" i="2" s="1"/>
  <c r="C244" i="2"/>
  <c r="D244" i="2" s="1"/>
  <c r="C231" i="2"/>
  <c r="D231" i="2" s="1"/>
  <c r="C224" i="2"/>
  <c r="D224" i="2" s="1"/>
  <c r="C242" i="2"/>
  <c r="D242" i="2" s="1"/>
  <c r="C259" i="2"/>
  <c r="D259" i="2" s="1"/>
  <c r="C196" i="2"/>
  <c r="D196" i="2" s="1"/>
  <c r="C202" i="2"/>
  <c r="D202" i="2" s="1"/>
  <c r="C166" i="2"/>
  <c r="D166" i="2" s="1"/>
  <c r="C183" i="2"/>
  <c r="D183" i="2" s="1"/>
  <c r="C186" i="2"/>
  <c r="D186" i="2" s="1"/>
  <c r="C194" i="2"/>
  <c r="D194" i="2" s="1"/>
  <c r="C252" i="2"/>
  <c r="D252" i="2" s="1"/>
  <c r="C245" i="2"/>
  <c r="D245" i="2" s="1"/>
  <c r="C239" i="2"/>
  <c r="D239" i="2" s="1"/>
  <c r="C232" i="2"/>
  <c r="D232" i="2" s="1"/>
  <c r="C233" i="2"/>
  <c r="D233" i="2" s="1"/>
  <c r="C250" i="2"/>
  <c r="D250" i="2" s="1"/>
  <c r="F167" i="2"/>
  <c r="G167" i="2" s="1"/>
  <c r="P270" i="3" l="1"/>
  <c r="O271" i="3"/>
  <c r="Q270" i="3" s="1"/>
  <c r="O272" i="3"/>
  <c r="P271" i="3"/>
  <c r="C266" i="3"/>
  <c r="D266" i="3" s="1"/>
  <c r="B267" i="3"/>
  <c r="E172" i="2"/>
  <c r="F171" i="2"/>
  <c r="G171" i="2" s="1"/>
  <c r="Q271" i="3" l="1"/>
  <c r="R270" i="3"/>
  <c r="P272" i="3"/>
  <c r="O273" i="3"/>
  <c r="B268" i="3"/>
  <c r="C267" i="3"/>
  <c r="D267" i="3" s="1"/>
  <c r="E173" i="2"/>
  <c r="F172" i="2"/>
  <c r="G172" i="2" s="1"/>
  <c r="O274" i="3" l="1"/>
  <c r="R271" i="3"/>
  <c r="Q272" i="3"/>
  <c r="P273" i="3"/>
  <c r="B269" i="3"/>
  <c r="C268" i="3"/>
  <c r="D268" i="3" s="1"/>
  <c r="E174" i="2"/>
  <c r="F173" i="2"/>
  <c r="G173" i="2" s="1"/>
  <c r="P274" i="3" l="1"/>
  <c r="R273" i="3" s="1"/>
  <c r="O275" i="3"/>
  <c r="Q274" i="3" s="1"/>
  <c r="R272" i="3"/>
  <c r="Q273" i="3"/>
  <c r="B270" i="3"/>
  <c r="C269" i="3"/>
  <c r="D269" i="3" s="1"/>
  <c r="E175" i="2"/>
  <c r="F174" i="2"/>
  <c r="G174" i="2" s="1"/>
  <c r="P275" i="3" l="1"/>
  <c r="R274" i="3" s="1"/>
  <c r="O276" i="3"/>
  <c r="Q275" i="3" s="1"/>
  <c r="O277" i="3"/>
  <c r="P276" i="3"/>
  <c r="B271" i="3"/>
  <c r="C270" i="3"/>
  <c r="D270" i="3" s="1"/>
  <c r="E176" i="2"/>
  <c r="F175" i="2"/>
  <c r="G175" i="2" s="1"/>
  <c r="R275" i="3" l="1"/>
  <c r="Q276" i="3"/>
  <c r="P277" i="3"/>
  <c r="O278" i="3"/>
  <c r="B272" i="3"/>
  <c r="C271" i="3"/>
  <c r="D271" i="3" s="1"/>
  <c r="E177" i="2"/>
  <c r="F176" i="2"/>
  <c r="G176" i="2" s="1"/>
  <c r="Q277" i="3" l="1"/>
  <c r="R276" i="3"/>
  <c r="O279" i="3"/>
  <c r="P278" i="3"/>
  <c r="B273" i="3"/>
  <c r="C272" i="3"/>
  <c r="D272" i="3" s="1"/>
  <c r="E178" i="2"/>
  <c r="F177" i="2"/>
  <c r="G177" i="2" s="1"/>
  <c r="R277" i="3" l="1"/>
  <c r="Q278" i="3"/>
  <c r="O280" i="3"/>
  <c r="P279" i="3"/>
  <c r="B274" i="3"/>
  <c r="C273" i="3"/>
  <c r="D273" i="3" s="1"/>
  <c r="E179" i="2"/>
  <c r="F178" i="2"/>
  <c r="G178" i="2" s="1"/>
  <c r="R278" i="3" l="1"/>
  <c r="Q279" i="3"/>
  <c r="O281" i="3"/>
  <c r="P280" i="3"/>
  <c r="B275" i="3"/>
  <c r="C274" i="3"/>
  <c r="D274" i="3" s="1"/>
  <c r="E180" i="2"/>
  <c r="F179" i="2"/>
  <c r="G179" i="2" s="1"/>
  <c r="R279" i="3" l="1"/>
  <c r="Q280" i="3"/>
  <c r="O282" i="3"/>
  <c r="P281" i="3"/>
  <c r="R280" i="3" s="1"/>
  <c r="B276" i="3"/>
  <c r="C275" i="3"/>
  <c r="D275" i="3" s="1"/>
  <c r="E181" i="2"/>
  <c r="F180" i="2"/>
  <c r="G180" i="2" s="1"/>
  <c r="Q281" i="3" l="1"/>
  <c r="P282" i="3"/>
  <c r="O283" i="3"/>
  <c r="B277" i="3"/>
  <c r="C276" i="3"/>
  <c r="D276" i="3" s="1"/>
  <c r="E182" i="2"/>
  <c r="F181" i="2"/>
  <c r="G181" i="2" s="1"/>
  <c r="R281" i="3" l="1"/>
  <c r="Q282" i="3"/>
  <c r="O284" i="3"/>
  <c r="P283" i="3"/>
  <c r="B278" i="3"/>
  <c r="C277" i="3"/>
  <c r="D277" i="3" s="1"/>
  <c r="E183" i="2"/>
  <c r="F182" i="2"/>
  <c r="G182" i="2" s="1"/>
  <c r="R282" i="3" l="1"/>
  <c r="Q283" i="3"/>
  <c r="O285" i="3"/>
  <c r="P284" i="3"/>
  <c r="B279" i="3"/>
  <c r="C278" i="3"/>
  <c r="D278" i="3" s="1"/>
  <c r="E184" i="2"/>
  <c r="F183" i="2"/>
  <c r="G183" i="2" s="1"/>
  <c r="Q284" i="3" l="1"/>
  <c r="R283" i="3"/>
  <c r="P285" i="3"/>
  <c r="O286" i="3"/>
  <c r="B280" i="3"/>
  <c r="C279" i="3"/>
  <c r="D279" i="3" s="1"/>
  <c r="E185" i="2"/>
  <c r="F184" i="2"/>
  <c r="G184" i="2" s="1"/>
  <c r="Q285" i="3" l="1"/>
  <c r="R284" i="3"/>
  <c r="O287" i="3"/>
  <c r="P286" i="3"/>
  <c r="B281" i="3"/>
  <c r="C280" i="3"/>
  <c r="D280" i="3" s="1"/>
  <c r="E186" i="2"/>
  <c r="F185" i="2"/>
  <c r="G185" i="2" s="1"/>
  <c r="Q286" i="3" l="1"/>
  <c r="R285" i="3"/>
  <c r="O288" i="3"/>
  <c r="P287" i="3"/>
  <c r="B282" i="3"/>
  <c r="C281" i="3"/>
  <c r="D281" i="3" s="1"/>
  <c r="E187" i="2"/>
  <c r="F186" i="2"/>
  <c r="G186" i="2" s="1"/>
  <c r="R286" i="3" l="1"/>
  <c r="Q287" i="3"/>
  <c r="O289" i="3"/>
  <c r="P288" i="3"/>
  <c r="B283" i="3"/>
  <c r="C282" i="3"/>
  <c r="D282" i="3" s="1"/>
  <c r="E188" i="2"/>
  <c r="F187" i="2"/>
  <c r="G187" i="2" s="1"/>
  <c r="Q288" i="3" l="1"/>
  <c r="R287" i="3"/>
  <c r="P289" i="3"/>
  <c r="O290" i="3"/>
  <c r="C283" i="3"/>
  <c r="D283" i="3" s="1"/>
  <c r="B284" i="3"/>
  <c r="E189" i="2"/>
  <c r="F188" i="2"/>
  <c r="G188" i="2" s="1"/>
  <c r="Q289" i="3" l="1"/>
  <c r="R288" i="3"/>
  <c r="P290" i="3"/>
  <c r="O291" i="3"/>
  <c r="B285" i="3"/>
  <c r="C284" i="3"/>
  <c r="D284" i="3" s="1"/>
  <c r="E190" i="2"/>
  <c r="F189" i="2"/>
  <c r="G189" i="2" s="1"/>
  <c r="R289" i="3" l="1"/>
  <c r="Q290" i="3"/>
  <c r="O292" i="3"/>
  <c r="P291" i="3"/>
  <c r="B286" i="3"/>
  <c r="C285" i="3"/>
  <c r="D285" i="3" s="1"/>
  <c r="E191" i="2"/>
  <c r="F190" i="2"/>
  <c r="G190" i="2" s="1"/>
  <c r="R290" i="3" l="1"/>
  <c r="Q291" i="3"/>
  <c r="O293" i="3"/>
  <c r="P292" i="3"/>
  <c r="B287" i="3"/>
  <c r="C286" i="3"/>
  <c r="D286" i="3" s="1"/>
  <c r="E192" i="2"/>
  <c r="F191" i="2"/>
  <c r="G191" i="2" s="1"/>
  <c r="R291" i="3" l="1"/>
  <c r="Q292" i="3"/>
  <c r="O294" i="3"/>
  <c r="P293" i="3"/>
  <c r="B288" i="3"/>
  <c r="C287" i="3"/>
  <c r="D287" i="3" s="1"/>
  <c r="E193" i="2"/>
  <c r="F192" i="2"/>
  <c r="G192" i="2" s="1"/>
  <c r="R292" i="3" l="1"/>
  <c r="Q293" i="3"/>
  <c r="P294" i="3"/>
  <c r="O295" i="3"/>
  <c r="B289" i="3"/>
  <c r="C288" i="3"/>
  <c r="D288" i="3" s="1"/>
  <c r="E194" i="2"/>
  <c r="F193" i="2"/>
  <c r="G193" i="2" s="1"/>
  <c r="R293" i="3" l="1"/>
  <c r="Q294" i="3"/>
  <c r="O296" i="3"/>
  <c r="P295" i="3"/>
  <c r="B290" i="3"/>
  <c r="C289" i="3"/>
  <c r="D289" i="3" s="1"/>
  <c r="E195" i="2"/>
  <c r="F194" i="2"/>
  <c r="G194" i="2" s="1"/>
  <c r="Q295" i="3" l="1"/>
  <c r="R294" i="3"/>
  <c r="P296" i="3"/>
  <c r="R295" i="3" s="1"/>
  <c r="O297" i="3"/>
  <c r="B291" i="3"/>
  <c r="C290" i="3"/>
  <c r="D290" i="3" s="1"/>
  <c r="E196" i="2"/>
  <c r="F195" i="2"/>
  <c r="G195" i="2" s="1"/>
  <c r="Q296" i="3" l="1"/>
  <c r="P297" i="3"/>
  <c r="O298" i="3"/>
  <c r="C291" i="3"/>
  <c r="D291" i="3" s="1"/>
  <c r="B292" i="3"/>
  <c r="E197" i="2"/>
  <c r="F196" i="2"/>
  <c r="G196" i="2" s="1"/>
  <c r="Q297" i="3" l="1"/>
  <c r="R296" i="3"/>
  <c r="O299" i="3"/>
  <c r="Q298" i="3" s="1"/>
  <c r="P298" i="3"/>
  <c r="R297" i="3" s="1"/>
  <c r="B293" i="3"/>
  <c r="C292" i="3"/>
  <c r="D292" i="3" s="1"/>
  <c r="E198" i="2"/>
  <c r="F197" i="2"/>
  <c r="G197" i="2" s="1"/>
  <c r="O300" i="3" l="1"/>
  <c r="Q299" i="3" s="1"/>
  <c r="P299" i="3"/>
  <c r="R298" i="3" s="1"/>
  <c r="B294" i="3"/>
  <c r="C293" i="3"/>
  <c r="D293" i="3" s="1"/>
  <c r="E199" i="2"/>
  <c r="F198" i="2"/>
  <c r="G198" i="2" s="1"/>
  <c r="O301" i="3" l="1"/>
  <c r="Q300" i="3" s="1"/>
  <c r="P300" i="3"/>
  <c r="B295" i="3"/>
  <c r="C294" i="3"/>
  <c r="D294" i="3" s="1"/>
  <c r="E200" i="2"/>
  <c r="F199" i="2"/>
  <c r="G199" i="2" s="1"/>
  <c r="R299" i="3" l="1"/>
  <c r="O302" i="3"/>
  <c r="Q301" i="3" s="1"/>
  <c r="P301" i="3"/>
  <c r="B296" i="3"/>
  <c r="C295" i="3"/>
  <c r="D295" i="3" s="1"/>
  <c r="E201" i="2"/>
  <c r="F200" i="2"/>
  <c r="G200" i="2" s="1"/>
  <c r="R300" i="3" l="1"/>
  <c r="O303" i="3"/>
  <c r="P302" i="3"/>
  <c r="B297" i="3"/>
  <c r="C296" i="3"/>
  <c r="D296" i="3" s="1"/>
  <c r="E202" i="2"/>
  <c r="F201" i="2"/>
  <c r="G201" i="2" s="1"/>
  <c r="Q302" i="3" l="1"/>
  <c r="R301" i="3"/>
  <c r="P303" i="3"/>
  <c r="O304" i="3"/>
  <c r="B298" i="3"/>
  <c r="C297" i="3"/>
  <c r="D297" i="3" s="1"/>
  <c r="E203" i="2"/>
  <c r="F202" i="2"/>
  <c r="G202" i="2" s="1"/>
  <c r="R302" i="3" l="1"/>
  <c r="Q303" i="3"/>
  <c r="O305" i="3"/>
  <c r="P304" i="3"/>
  <c r="B299" i="3"/>
  <c r="C298" i="3"/>
  <c r="D298" i="3" s="1"/>
  <c r="E204" i="2"/>
  <c r="F203" i="2"/>
  <c r="G203" i="2" s="1"/>
  <c r="R303" i="3" l="1"/>
  <c r="Q304" i="3"/>
  <c r="P305" i="3"/>
  <c r="O306" i="3"/>
  <c r="B300" i="3"/>
  <c r="C299" i="3"/>
  <c r="D299" i="3" s="1"/>
  <c r="E205" i="2"/>
  <c r="F204" i="2"/>
  <c r="G204" i="2" s="1"/>
  <c r="Q305" i="3" l="1"/>
  <c r="R304" i="3"/>
  <c r="P306" i="3"/>
  <c r="O307" i="3"/>
  <c r="B301" i="3"/>
  <c r="C300" i="3"/>
  <c r="D300" i="3" s="1"/>
  <c r="E206" i="2"/>
  <c r="F205" i="2"/>
  <c r="G205" i="2" s="1"/>
  <c r="R305" i="3" l="1"/>
  <c r="Q306" i="3"/>
  <c r="O308" i="3"/>
  <c r="P307" i="3"/>
  <c r="B302" i="3"/>
  <c r="C301" i="3"/>
  <c r="D301" i="3" s="1"/>
  <c r="E207" i="2"/>
  <c r="F206" i="2"/>
  <c r="G206" i="2" s="1"/>
  <c r="R306" i="3" l="1"/>
  <c r="Q307" i="3"/>
  <c r="P308" i="3"/>
  <c r="O309" i="3"/>
  <c r="B303" i="3"/>
  <c r="C302" i="3"/>
  <c r="D302" i="3" s="1"/>
  <c r="E208" i="2"/>
  <c r="F207" i="2"/>
  <c r="G207" i="2" s="1"/>
  <c r="R307" i="3" l="1"/>
  <c r="Q308" i="3"/>
  <c r="O310" i="3"/>
  <c r="P309" i="3"/>
  <c r="B304" i="3"/>
  <c r="C303" i="3"/>
  <c r="D303" i="3" s="1"/>
  <c r="E209" i="2"/>
  <c r="F208" i="2"/>
  <c r="G208" i="2" s="1"/>
  <c r="R308" i="3" l="1"/>
  <c r="Q309" i="3"/>
  <c r="P310" i="3"/>
  <c r="O311" i="3"/>
  <c r="B305" i="3"/>
  <c r="C304" i="3"/>
  <c r="D304" i="3" s="1"/>
  <c r="E210" i="2"/>
  <c r="F209" i="2"/>
  <c r="G209" i="2" s="1"/>
  <c r="Q310" i="3" l="1"/>
  <c r="R309" i="3"/>
  <c r="P311" i="3"/>
  <c r="O312" i="3"/>
  <c r="Q311" i="3" s="1"/>
  <c r="B306" i="3"/>
  <c r="C305" i="3"/>
  <c r="D305" i="3" s="1"/>
  <c r="E211" i="2"/>
  <c r="F210" i="2"/>
  <c r="G210" i="2" s="1"/>
  <c r="R310" i="3" l="1"/>
  <c r="P312" i="3"/>
  <c r="O313" i="3"/>
  <c r="B307" i="3"/>
  <c r="C306" i="3"/>
  <c r="D306" i="3" s="1"/>
  <c r="E212" i="2"/>
  <c r="F211" i="2"/>
  <c r="G211" i="2" s="1"/>
  <c r="Q312" i="3" l="1"/>
  <c r="R311" i="3"/>
  <c r="O314" i="3"/>
  <c r="P313" i="3"/>
  <c r="C307" i="3"/>
  <c r="D307" i="3" s="1"/>
  <c r="B308" i="3"/>
  <c r="E213" i="2"/>
  <c r="F212" i="2"/>
  <c r="G212" i="2" s="1"/>
  <c r="R312" i="3" l="1"/>
  <c r="Q313" i="3"/>
  <c r="P314" i="3"/>
  <c r="O315" i="3"/>
  <c r="Q314" i="3" s="1"/>
  <c r="B309" i="3"/>
  <c r="C308" i="3"/>
  <c r="D308" i="3" s="1"/>
  <c r="E214" i="2"/>
  <c r="F213" i="2"/>
  <c r="G213" i="2" s="1"/>
  <c r="R313" i="3" l="1"/>
  <c r="P315" i="3"/>
  <c r="R314" i="3" s="1"/>
  <c r="O316" i="3"/>
  <c r="B310" i="3"/>
  <c r="C309" i="3"/>
  <c r="D309" i="3" s="1"/>
  <c r="E215" i="2"/>
  <c r="F214" i="2"/>
  <c r="G214" i="2" s="1"/>
  <c r="Q315" i="3" l="1"/>
  <c r="P316" i="3"/>
  <c r="O317" i="3"/>
  <c r="B311" i="3"/>
  <c r="C310" i="3"/>
  <c r="D310" i="3" s="1"/>
  <c r="E216" i="2"/>
  <c r="F215" i="2"/>
  <c r="G215" i="2" s="1"/>
  <c r="R315" i="3" l="1"/>
  <c r="Q316" i="3"/>
  <c r="P317" i="3"/>
  <c r="O318" i="3"/>
  <c r="Q317" i="3" s="1"/>
  <c r="B312" i="3"/>
  <c r="C311" i="3"/>
  <c r="D311" i="3" s="1"/>
  <c r="E217" i="2"/>
  <c r="F216" i="2"/>
  <c r="G216" i="2" s="1"/>
  <c r="R316" i="3" l="1"/>
  <c r="P318" i="3"/>
  <c r="R317" i="3" s="1"/>
  <c r="O319" i="3"/>
  <c r="B313" i="3"/>
  <c r="C312" i="3"/>
  <c r="D312" i="3" s="1"/>
  <c r="E218" i="2"/>
  <c r="F217" i="2"/>
  <c r="G217" i="2" s="1"/>
  <c r="Q318" i="3" l="1"/>
  <c r="O320" i="3"/>
  <c r="Q319" i="3" s="1"/>
  <c r="P319" i="3"/>
  <c r="B314" i="3"/>
  <c r="C313" i="3"/>
  <c r="D313" i="3" s="1"/>
  <c r="E219" i="2"/>
  <c r="F218" i="2"/>
  <c r="G218" i="2" s="1"/>
  <c r="R318" i="3" l="1"/>
  <c r="O321" i="3"/>
  <c r="Q320" i="3" s="1"/>
  <c r="P320" i="3"/>
  <c r="R319" i="3" s="1"/>
  <c r="B315" i="3"/>
  <c r="C314" i="3"/>
  <c r="D314" i="3" s="1"/>
  <c r="E220" i="2"/>
  <c r="F219" i="2"/>
  <c r="G219" i="2" s="1"/>
  <c r="O322" i="3" l="1"/>
  <c r="P321" i="3"/>
  <c r="B316" i="3"/>
  <c r="C315" i="3"/>
  <c r="D315" i="3" s="1"/>
  <c r="E221" i="2"/>
  <c r="F220" i="2"/>
  <c r="G220" i="2" s="1"/>
  <c r="Q321" i="3" l="1"/>
  <c r="R320" i="3"/>
  <c r="P322" i="3"/>
  <c r="O323" i="3"/>
  <c r="B317" i="3"/>
  <c r="C316" i="3"/>
  <c r="D316" i="3" s="1"/>
  <c r="E222" i="2"/>
  <c r="F221" i="2"/>
  <c r="G221" i="2" s="1"/>
  <c r="Q322" i="3" l="1"/>
  <c r="R321" i="3"/>
  <c r="P323" i="3"/>
  <c r="O324" i="3"/>
  <c r="B318" i="3"/>
  <c r="C317" i="3"/>
  <c r="D317" i="3" s="1"/>
  <c r="E223" i="2"/>
  <c r="F222" i="2"/>
  <c r="G222" i="2" s="1"/>
  <c r="Q323" i="3" l="1"/>
  <c r="R322" i="3"/>
  <c r="O325" i="3"/>
  <c r="P324" i="3"/>
  <c r="B319" i="3"/>
  <c r="C318" i="3"/>
  <c r="D318" i="3" s="1"/>
  <c r="E224" i="2"/>
  <c r="F223" i="2"/>
  <c r="G223" i="2" s="1"/>
  <c r="Q324" i="3" l="1"/>
  <c r="R323" i="3"/>
  <c r="P325" i="3"/>
  <c r="O326" i="3"/>
  <c r="B320" i="3"/>
  <c r="C319" i="3"/>
  <c r="D319" i="3" s="1"/>
  <c r="E225" i="2"/>
  <c r="F224" i="2"/>
  <c r="G224" i="2" s="1"/>
  <c r="R324" i="3" l="1"/>
  <c r="Q325" i="3"/>
  <c r="P326" i="3"/>
  <c r="O327" i="3"/>
  <c r="B321" i="3"/>
  <c r="C320" i="3"/>
  <c r="D320" i="3" s="1"/>
  <c r="E226" i="2"/>
  <c r="F225" i="2"/>
  <c r="G225" i="2" s="1"/>
  <c r="Q326" i="3" l="1"/>
  <c r="R325" i="3"/>
  <c r="P327" i="3"/>
  <c r="O328" i="3"/>
  <c r="B322" i="3"/>
  <c r="C321" i="3"/>
  <c r="D321" i="3" s="1"/>
  <c r="E227" i="2"/>
  <c r="F226" i="2"/>
  <c r="G226" i="2" s="1"/>
  <c r="Q327" i="3" l="1"/>
  <c r="R326" i="3"/>
  <c r="P328" i="3"/>
  <c r="O329" i="3"/>
  <c r="B323" i="3"/>
  <c r="C322" i="3"/>
  <c r="D322" i="3" s="1"/>
  <c r="E228" i="2"/>
  <c r="F227" i="2"/>
  <c r="G227" i="2" s="1"/>
  <c r="R327" i="3" l="1"/>
  <c r="Q328" i="3"/>
  <c r="P329" i="3"/>
  <c r="O330" i="3"/>
  <c r="C323" i="3"/>
  <c r="D323" i="3" s="1"/>
  <c r="B324" i="3"/>
  <c r="E229" i="2"/>
  <c r="F228" i="2"/>
  <c r="G228" i="2" s="1"/>
  <c r="R328" i="3" l="1"/>
  <c r="Q329" i="3"/>
  <c r="O331" i="3"/>
  <c r="P330" i="3"/>
  <c r="B325" i="3"/>
  <c r="C324" i="3"/>
  <c r="D324" i="3" s="1"/>
  <c r="E230" i="2"/>
  <c r="F229" i="2"/>
  <c r="G229" i="2" s="1"/>
  <c r="R329" i="3" l="1"/>
  <c r="Q330" i="3"/>
  <c r="P331" i="3"/>
  <c r="R330" i="3" s="1"/>
  <c r="O332" i="3"/>
  <c r="B326" i="3"/>
  <c r="C325" i="3"/>
  <c r="D325" i="3" s="1"/>
  <c r="E231" i="2"/>
  <c r="F230" i="2"/>
  <c r="G230" i="2" s="1"/>
  <c r="Q331" i="3" l="1"/>
  <c r="O333" i="3"/>
  <c r="P332" i="3"/>
  <c r="R331" i="3" s="1"/>
  <c r="B327" i="3"/>
  <c r="C326" i="3"/>
  <c r="D326" i="3" s="1"/>
  <c r="E232" i="2"/>
  <c r="F231" i="2"/>
  <c r="G231" i="2" s="1"/>
  <c r="Q332" i="3" l="1"/>
  <c r="O334" i="3"/>
  <c r="P333" i="3"/>
  <c r="B328" i="3"/>
  <c r="C327" i="3"/>
  <c r="D327" i="3" s="1"/>
  <c r="E233" i="2"/>
  <c r="F232" i="2"/>
  <c r="G232" i="2" s="1"/>
  <c r="R332" i="3" l="1"/>
  <c r="Q333" i="3"/>
  <c r="P334" i="3"/>
  <c r="O335" i="3"/>
  <c r="B329" i="3"/>
  <c r="C328" i="3"/>
  <c r="D328" i="3" s="1"/>
  <c r="E234" i="2"/>
  <c r="F233" i="2"/>
  <c r="G233" i="2" s="1"/>
  <c r="R333" i="3" l="1"/>
  <c r="Q334" i="3"/>
  <c r="P335" i="3"/>
  <c r="O336" i="3"/>
  <c r="B330" i="3"/>
  <c r="C329" i="3"/>
  <c r="D329" i="3" s="1"/>
  <c r="E235" i="2"/>
  <c r="F234" i="2"/>
  <c r="G234" i="2" s="1"/>
  <c r="R334" i="3" l="1"/>
  <c r="Q335" i="3"/>
  <c r="P336" i="3"/>
  <c r="O337" i="3"/>
  <c r="Q336" i="3" s="1"/>
  <c r="B331" i="3"/>
  <c r="C330" i="3"/>
  <c r="D330" i="3" s="1"/>
  <c r="E236" i="2"/>
  <c r="F235" i="2"/>
  <c r="G235" i="2" s="1"/>
  <c r="R335" i="3" l="1"/>
  <c r="P337" i="3"/>
  <c r="O338" i="3"/>
  <c r="C331" i="3"/>
  <c r="D331" i="3" s="1"/>
  <c r="B332" i="3"/>
  <c r="E237" i="2"/>
  <c r="F236" i="2"/>
  <c r="G236" i="2" s="1"/>
  <c r="Q337" i="3" l="1"/>
  <c r="R336" i="3"/>
  <c r="P338" i="3"/>
  <c r="R337" i="3" s="1"/>
  <c r="O339" i="3"/>
  <c r="B333" i="3"/>
  <c r="C332" i="3"/>
  <c r="D332" i="3" s="1"/>
  <c r="E238" i="2"/>
  <c r="F237" i="2"/>
  <c r="G237" i="2" s="1"/>
  <c r="Q338" i="3" l="1"/>
  <c r="P339" i="3"/>
  <c r="O340" i="3"/>
  <c r="B334" i="3"/>
  <c r="C333" i="3"/>
  <c r="D333" i="3" s="1"/>
  <c r="E239" i="2"/>
  <c r="F238" i="2"/>
  <c r="G238" i="2" s="1"/>
  <c r="R338" i="3" l="1"/>
  <c r="Q339" i="3"/>
  <c r="P340" i="3"/>
  <c r="O341" i="3"/>
  <c r="Q340" i="3" s="1"/>
  <c r="B335" i="3"/>
  <c r="C334" i="3"/>
  <c r="D334" i="3" s="1"/>
  <c r="E240" i="2"/>
  <c r="F239" i="2"/>
  <c r="G239" i="2" s="1"/>
  <c r="R339" i="3" l="1"/>
  <c r="O342" i="3"/>
  <c r="P341" i="3"/>
  <c r="B336" i="3"/>
  <c r="C335" i="3"/>
  <c r="D335" i="3" s="1"/>
  <c r="E241" i="2"/>
  <c r="F240" i="2"/>
  <c r="G240" i="2" s="1"/>
  <c r="Q341" i="3" l="1"/>
  <c r="R340" i="3"/>
  <c r="P342" i="3"/>
  <c r="R341" i="3" s="1"/>
  <c r="O343" i="3"/>
  <c r="B337" i="3"/>
  <c r="C336" i="3"/>
  <c r="D336" i="3" s="1"/>
  <c r="E242" i="2"/>
  <c r="F241" i="2"/>
  <c r="G241" i="2" s="1"/>
  <c r="Q342" i="3" l="1"/>
  <c r="P343" i="3"/>
  <c r="O344" i="3"/>
  <c r="B338" i="3"/>
  <c r="C337" i="3"/>
  <c r="D337" i="3" s="1"/>
  <c r="E243" i="2"/>
  <c r="F242" i="2"/>
  <c r="G242" i="2" s="1"/>
  <c r="R342" i="3" l="1"/>
  <c r="Q343" i="3"/>
  <c r="O345" i="3"/>
  <c r="P344" i="3"/>
  <c r="B339" i="3"/>
  <c r="C338" i="3"/>
  <c r="D338" i="3" s="1"/>
  <c r="E244" i="2"/>
  <c r="F243" i="2"/>
  <c r="G243" i="2" s="1"/>
  <c r="Q344" i="3" l="1"/>
  <c r="R343" i="3"/>
  <c r="P345" i="3"/>
  <c r="O346" i="3"/>
  <c r="C339" i="3"/>
  <c r="D339" i="3" s="1"/>
  <c r="B340" i="3"/>
  <c r="E245" i="2"/>
  <c r="F244" i="2"/>
  <c r="G244" i="2" s="1"/>
  <c r="R344" i="3" l="1"/>
  <c r="Q345" i="3"/>
  <c r="P346" i="3"/>
  <c r="R345" i="3" s="1"/>
  <c r="O347" i="3"/>
  <c r="B341" i="3"/>
  <c r="C340" i="3"/>
  <c r="D340" i="3" s="1"/>
  <c r="E246" i="2"/>
  <c r="F245" i="2"/>
  <c r="G245" i="2" s="1"/>
  <c r="Q346" i="3" l="1"/>
  <c r="O348" i="3"/>
  <c r="P347" i="3"/>
  <c r="B342" i="3"/>
  <c r="C341" i="3"/>
  <c r="D341" i="3" s="1"/>
  <c r="E247" i="2"/>
  <c r="F246" i="2"/>
  <c r="G246" i="2" s="1"/>
  <c r="R346" i="3" l="1"/>
  <c r="Q347" i="3"/>
  <c r="P348" i="3"/>
  <c r="O349" i="3"/>
  <c r="Q348" i="3" s="1"/>
  <c r="B343" i="3"/>
  <c r="C342" i="3"/>
  <c r="D342" i="3" s="1"/>
  <c r="E248" i="2"/>
  <c r="F247" i="2"/>
  <c r="G247" i="2" s="1"/>
  <c r="R347" i="3" l="1"/>
  <c r="P349" i="3"/>
  <c r="O350" i="3"/>
  <c r="B344" i="3"/>
  <c r="C343" i="3"/>
  <c r="D343" i="3" s="1"/>
  <c r="E249" i="2"/>
  <c r="F248" i="2"/>
  <c r="G248" i="2" s="1"/>
  <c r="Q349" i="3" l="1"/>
  <c r="R348" i="3"/>
  <c r="P350" i="3"/>
  <c r="O351" i="3"/>
  <c r="B345" i="3"/>
  <c r="C344" i="3"/>
  <c r="D344" i="3" s="1"/>
  <c r="E250" i="2"/>
  <c r="F249" i="2"/>
  <c r="G249" i="2" s="1"/>
  <c r="R349" i="3" l="1"/>
  <c r="Q350" i="3"/>
  <c r="P351" i="3"/>
  <c r="O352" i="3"/>
  <c r="B346" i="3"/>
  <c r="C345" i="3"/>
  <c r="D345" i="3" s="1"/>
  <c r="E251" i="2"/>
  <c r="F250" i="2"/>
  <c r="G250" i="2" s="1"/>
  <c r="Q351" i="3" l="1"/>
  <c r="R350" i="3"/>
  <c r="P352" i="3"/>
  <c r="R351" i="3" s="1"/>
  <c r="O353" i="3"/>
  <c r="B347" i="3"/>
  <c r="C346" i="3"/>
  <c r="D346" i="3" s="1"/>
  <c r="E252" i="2"/>
  <c r="F251" i="2"/>
  <c r="G251" i="2" s="1"/>
  <c r="Q352" i="3" l="1"/>
  <c r="P353" i="3"/>
  <c r="O354" i="3"/>
  <c r="C347" i="3"/>
  <c r="D347" i="3" s="1"/>
  <c r="B348" i="3"/>
  <c r="E253" i="2"/>
  <c r="F252" i="2"/>
  <c r="G252" i="2" s="1"/>
  <c r="R352" i="3" l="1"/>
  <c r="Q353" i="3"/>
  <c r="P354" i="3"/>
  <c r="O355" i="3"/>
  <c r="B349" i="3"/>
  <c r="C348" i="3"/>
  <c r="D348" i="3" s="1"/>
  <c r="E254" i="2"/>
  <c r="F253" i="2"/>
  <c r="G253" i="2" s="1"/>
  <c r="Q354" i="3" l="1"/>
  <c r="R353" i="3"/>
  <c r="P355" i="3"/>
  <c r="R354" i="3" s="1"/>
  <c r="O356" i="3"/>
  <c r="B350" i="3"/>
  <c r="C349" i="3"/>
  <c r="D349" i="3" s="1"/>
  <c r="E255" i="2"/>
  <c r="F254" i="2"/>
  <c r="G254" i="2" s="1"/>
  <c r="Q355" i="3" l="1"/>
  <c r="P356" i="3"/>
  <c r="O357" i="3"/>
  <c r="B351" i="3"/>
  <c r="C350" i="3"/>
  <c r="D350" i="3" s="1"/>
  <c r="E256" i="2"/>
  <c r="F255" i="2"/>
  <c r="G255" i="2" s="1"/>
  <c r="Q356" i="3" l="1"/>
  <c r="R355" i="3"/>
  <c r="P357" i="3"/>
  <c r="O358" i="3"/>
  <c r="B352" i="3"/>
  <c r="C351" i="3"/>
  <c r="D351" i="3" s="1"/>
  <c r="E257" i="2"/>
  <c r="F256" i="2"/>
  <c r="G256" i="2" s="1"/>
  <c r="R356" i="3" l="1"/>
  <c r="Q357" i="3"/>
  <c r="P358" i="3"/>
  <c r="O359" i="3"/>
  <c r="B353" i="3"/>
  <c r="C352" i="3"/>
  <c r="D352" i="3" s="1"/>
  <c r="E258" i="2"/>
  <c r="F257" i="2"/>
  <c r="G257" i="2" s="1"/>
  <c r="R357" i="3" l="1"/>
  <c r="Q358" i="3"/>
  <c r="P359" i="3"/>
  <c r="O360" i="3"/>
  <c r="B354" i="3"/>
  <c r="C353" i="3"/>
  <c r="D353" i="3" s="1"/>
  <c r="E259" i="2"/>
  <c r="F258" i="2"/>
  <c r="G258" i="2" s="1"/>
  <c r="Q359" i="3" l="1"/>
  <c r="R358" i="3"/>
  <c r="P360" i="3"/>
  <c r="O361" i="3"/>
  <c r="Q360" i="3" s="1"/>
  <c r="B355" i="3"/>
  <c r="C354" i="3"/>
  <c r="D354" i="3" s="1"/>
  <c r="E260" i="2"/>
  <c r="F260" i="2" s="1"/>
  <c r="G260" i="2" s="1"/>
  <c r="F259" i="2"/>
  <c r="G259" i="2" s="1"/>
  <c r="R359" i="3" l="1"/>
  <c r="P361" i="3"/>
  <c r="O362" i="3"/>
  <c r="B356" i="3"/>
  <c r="C355" i="3"/>
  <c r="D355" i="3" s="1"/>
  <c r="Q362" i="3" l="1"/>
  <c r="R360" i="3"/>
  <c r="Q361" i="3"/>
  <c r="P362" i="3"/>
  <c r="O363" i="3"/>
  <c r="B357" i="3"/>
  <c r="C356" i="3"/>
  <c r="D356" i="3" s="1"/>
  <c r="R361" i="3" l="1"/>
  <c r="P363" i="3"/>
  <c r="O364" i="3"/>
  <c r="B358" i="3"/>
  <c r="C357" i="3"/>
  <c r="D357" i="3" s="1"/>
  <c r="Q363" i="3" l="1"/>
  <c r="R362" i="3"/>
  <c r="P364" i="3"/>
  <c r="O365" i="3"/>
  <c r="B359" i="3"/>
  <c r="C358" i="3"/>
  <c r="D358" i="3" s="1"/>
  <c r="R364" i="3" l="1"/>
  <c r="Q365" i="3"/>
  <c r="Q364" i="3"/>
  <c r="R363" i="3"/>
  <c r="P365" i="3"/>
  <c r="O366" i="3"/>
  <c r="B360" i="3"/>
  <c r="C359" i="3"/>
  <c r="D359" i="3" s="1"/>
  <c r="P366" i="3" l="1"/>
  <c r="O367" i="3"/>
  <c r="B361" i="3"/>
  <c r="C360" i="3"/>
  <c r="D360" i="3" s="1"/>
  <c r="R365" i="3" l="1"/>
  <c r="Q366" i="3"/>
  <c r="P367" i="3"/>
  <c r="O368" i="3"/>
  <c r="Q367" i="3" s="1"/>
  <c r="B362" i="3"/>
  <c r="C361" i="3"/>
  <c r="D361" i="3" s="1"/>
  <c r="R367" i="3" l="1"/>
  <c r="R366" i="3"/>
  <c r="P368" i="3"/>
  <c r="O369" i="3"/>
  <c r="B363" i="3"/>
  <c r="C362" i="3"/>
  <c r="D362" i="3" s="1"/>
  <c r="Q368" i="3" l="1"/>
  <c r="P369" i="3"/>
  <c r="O370" i="3"/>
  <c r="Q369" i="3" s="1"/>
  <c r="C363" i="3"/>
  <c r="D363" i="3" s="1"/>
  <c r="B364" i="3"/>
  <c r="R368" i="3" l="1"/>
  <c r="O371" i="3"/>
  <c r="Q370" i="3" s="1"/>
  <c r="P370" i="3"/>
  <c r="B365" i="3"/>
  <c r="C364" i="3"/>
  <c r="D364" i="3" s="1"/>
  <c r="R369" i="3" l="1"/>
  <c r="C365" i="3"/>
  <c r="D365" i="3" s="1"/>
  <c r="P371" i="3"/>
  <c r="O372" i="3"/>
  <c r="Q371" i="3" l="1"/>
  <c r="R370" i="3"/>
  <c r="P372" i="3"/>
  <c r="O373" i="3"/>
  <c r="R371" i="3" l="1"/>
  <c r="Q372" i="3"/>
  <c r="P373" i="3"/>
  <c r="O374" i="3"/>
  <c r="Q373" i="3" l="1"/>
  <c r="R372" i="3"/>
  <c r="P374" i="3"/>
  <c r="O375" i="3"/>
  <c r="R373" i="3" l="1"/>
  <c r="Q374" i="3"/>
  <c r="P375" i="3"/>
  <c r="O376" i="3"/>
  <c r="R375" i="3" l="1"/>
  <c r="R374" i="3"/>
  <c r="Q375" i="3"/>
  <c r="P376" i="3"/>
  <c r="O377" i="3"/>
  <c r="R376" i="3" l="1"/>
  <c r="Q376" i="3"/>
  <c r="P377" i="3"/>
  <c r="O378" i="3"/>
  <c r="Q377" i="3" l="1"/>
  <c r="P378" i="3"/>
  <c r="O379" i="3"/>
  <c r="R377" i="3" l="1"/>
  <c r="Q378" i="3"/>
  <c r="P379" i="3"/>
  <c r="O380" i="3"/>
  <c r="Q379" i="3" s="1"/>
  <c r="R378" i="3" l="1"/>
  <c r="P380" i="3"/>
  <c r="R379" i="3" s="1"/>
  <c r="O381" i="3"/>
  <c r="Q380" i="3" l="1"/>
  <c r="P381" i="3"/>
  <c r="O382" i="3"/>
  <c r="Q381" i="3" l="1"/>
  <c r="R380" i="3"/>
  <c r="P382" i="3"/>
  <c r="O383" i="3"/>
  <c r="R381" i="3" l="1"/>
  <c r="Q382" i="3"/>
  <c r="O384" i="3"/>
  <c r="P383" i="3"/>
  <c r="Q383" i="3" l="1"/>
  <c r="R382" i="3"/>
  <c r="O385" i="3"/>
  <c r="P384" i="3"/>
  <c r="R383" i="3" l="1"/>
  <c r="Q384" i="3"/>
  <c r="O386" i="3"/>
  <c r="Q385" i="3" s="1"/>
  <c r="P385" i="3"/>
  <c r="R384" i="3" l="1"/>
  <c r="P386" i="3"/>
  <c r="O387" i="3"/>
  <c r="Q386" i="3" l="1"/>
  <c r="R385" i="3"/>
  <c r="O388" i="3"/>
  <c r="P387" i="3"/>
  <c r="Q387" i="3" l="1"/>
  <c r="R386" i="3"/>
  <c r="O389" i="3"/>
  <c r="P388" i="3"/>
  <c r="R387" i="3" s="1"/>
  <c r="Q388" i="3" l="1"/>
  <c r="O390" i="3"/>
  <c r="Q389" i="3" s="1"/>
  <c r="P389" i="3"/>
  <c r="R388" i="3" s="1"/>
  <c r="O391" i="3" l="1"/>
  <c r="Q390" i="3" s="1"/>
  <c r="P390" i="3"/>
  <c r="R389" i="3" s="1"/>
  <c r="O392" i="3" l="1"/>
  <c r="Q391" i="3" s="1"/>
  <c r="P391" i="3"/>
  <c r="R390" i="3" l="1"/>
  <c r="O393" i="3"/>
  <c r="P392" i="3"/>
  <c r="Q392" i="3" l="1"/>
  <c r="R391" i="3"/>
  <c r="O394" i="3"/>
  <c r="Q393" i="3" s="1"/>
  <c r="P393" i="3"/>
  <c r="R392" i="3" l="1"/>
  <c r="O395" i="3"/>
  <c r="Q394" i="3" s="1"/>
  <c r="P394" i="3"/>
  <c r="R393" i="3" s="1"/>
  <c r="O396" i="3" l="1"/>
  <c r="P395" i="3"/>
  <c r="R394" i="3" s="1"/>
  <c r="Q395" i="3" l="1"/>
  <c r="O397" i="3"/>
  <c r="P396" i="3"/>
  <c r="R395" i="3" l="1"/>
  <c r="Q396" i="3"/>
  <c r="O398" i="3"/>
  <c r="P397" i="3"/>
  <c r="Q397" i="3" l="1"/>
  <c r="R396" i="3"/>
  <c r="O399" i="3"/>
  <c r="Q398" i="3" s="1"/>
  <c r="P398" i="3"/>
  <c r="R397" i="3" l="1"/>
  <c r="O400" i="3"/>
  <c r="P399" i="3"/>
  <c r="Q399" i="3" l="1"/>
  <c r="R398" i="3"/>
  <c r="O401" i="3"/>
  <c r="P400" i="3"/>
  <c r="R399" i="3" l="1"/>
  <c r="Q400" i="3"/>
  <c r="O402" i="3"/>
  <c r="P401" i="3"/>
  <c r="R400" i="3" l="1"/>
  <c r="Q401" i="3"/>
  <c r="O403" i="3"/>
  <c r="P402" i="3"/>
  <c r="Q402" i="3" l="1"/>
  <c r="R401" i="3"/>
  <c r="P403" i="3"/>
  <c r="O404" i="3"/>
  <c r="Q403" i="3" l="1"/>
  <c r="R402" i="3"/>
  <c r="O405" i="3"/>
  <c r="P404" i="3"/>
  <c r="R403" i="3" l="1"/>
  <c r="Q404" i="3"/>
  <c r="O406" i="3"/>
  <c r="Q405" i="3" s="1"/>
  <c r="P405" i="3"/>
  <c r="R404" i="3" l="1"/>
  <c r="P406" i="3"/>
  <c r="O407" i="3"/>
  <c r="Q406" i="3" l="1"/>
  <c r="R405" i="3"/>
  <c r="O408" i="3"/>
  <c r="P407" i="3"/>
  <c r="R406" i="3" s="1"/>
  <c r="Q407" i="3" l="1"/>
  <c r="O409" i="3"/>
  <c r="P408" i="3"/>
  <c r="R407" i="3" l="1"/>
  <c r="Q408" i="3"/>
  <c r="O410" i="3"/>
  <c r="Q409" i="3" s="1"/>
  <c r="P409" i="3"/>
  <c r="R408" i="3" l="1"/>
  <c r="P410" i="3"/>
  <c r="O411" i="3"/>
  <c r="Q410" i="3" l="1"/>
  <c r="R409" i="3"/>
  <c r="O412" i="3"/>
  <c r="P411" i="3"/>
  <c r="R410" i="3" s="1"/>
  <c r="Q411" i="3" l="1"/>
  <c r="O413" i="3"/>
  <c r="P412" i="3"/>
  <c r="R411" i="3" s="1"/>
  <c r="Q412" i="3" l="1"/>
  <c r="O414" i="3"/>
  <c r="P413" i="3"/>
  <c r="R412" i="3" l="1"/>
  <c r="Q413" i="3"/>
  <c r="O415" i="3"/>
  <c r="P414" i="3"/>
  <c r="R413" i="3" l="1"/>
  <c r="Q414" i="3"/>
  <c r="O416" i="3"/>
  <c r="P415" i="3"/>
  <c r="Q415" i="3" l="1"/>
  <c r="R414" i="3"/>
  <c r="O417" i="3"/>
  <c r="P416" i="3"/>
  <c r="Q416" i="3" l="1"/>
  <c r="R415" i="3"/>
  <c r="O418" i="3"/>
  <c r="Q417" i="3" s="1"/>
  <c r="P417" i="3"/>
  <c r="R416" i="3" l="1"/>
  <c r="O419" i="3"/>
  <c r="P418" i="3"/>
  <c r="Q418" i="3" l="1"/>
  <c r="R417" i="3"/>
  <c r="O420" i="3"/>
  <c r="Q419" i="3" s="1"/>
  <c r="P419" i="3"/>
  <c r="R418" i="3" l="1"/>
  <c r="O421" i="3"/>
  <c r="P420" i="3"/>
  <c r="Q420" i="3" l="1"/>
  <c r="R419" i="3"/>
  <c r="O422" i="3"/>
  <c r="P421" i="3"/>
  <c r="R420" i="3" s="1"/>
  <c r="Q421" i="3" l="1"/>
  <c r="O423" i="3"/>
  <c r="Q422" i="3" s="1"/>
  <c r="P422" i="3"/>
  <c r="R421" i="3" l="1"/>
  <c r="O424" i="3"/>
  <c r="P423" i="3"/>
  <c r="Q423" i="3" l="1"/>
  <c r="R422" i="3"/>
  <c r="O425" i="3"/>
  <c r="P424" i="3"/>
  <c r="R423" i="3" s="1"/>
  <c r="Q424" i="3" l="1"/>
  <c r="O426" i="3"/>
  <c r="P425" i="3"/>
  <c r="R424" i="3" l="1"/>
  <c r="Q425" i="3"/>
  <c r="O427" i="3"/>
  <c r="P426" i="3"/>
  <c r="R425" i="3" l="1"/>
  <c r="Q426" i="3"/>
  <c r="O428" i="3"/>
  <c r="P427" i="3"/>
  <c r="R426" i="3" l="1"/>
  <c r="Q427" i="3"/>
  <c r="O429" i="3"/>
  <c r="Q428" i="3" s="1"/>
  <c r="P428" i="3"/>
  <c r="R427" i="3" l="1"/>
  <c r="O430" i="3"/>
  <c r="Q429" i="3" s="1"/>
  <c r="P429" i="3"/>
  <c r="R428" i="3" l="1"/>
  <c r="O431" i="3"/>
  <c r="Q430" i="3" s="1"/>
  <c r="P430" i="3"/>
  <c r="R429" i="3" l="1"/>
  <c r="O432" i="3"/>
  <c r="P431" i="3"/>
  <c r="Q431" i="3" l="1"/>
  <c r="R430" i="3"/>
  <c r="P432" i="3"/>
  <c r="O433" i="3"/>
  <c r="R431" i="3" l="1"/>
  <c r="Q432" i="3"/>
  <c r="O434" i="3"/>
  <c r="P433" i="3"/>
  <c r="Q433" i="3" l="1"/>
  <c r="R432" i="3"/>
  <c r="P434" i="3"/>
  <c r="O435" i="3"/>
  <c r="R433" i="3" l="1"/>
  <c r="Q434" i="3"/>
  <c r="O436" i="3"/>
  <c r="P435" i="3"/>
  <c r="Q435" i="3" l="1"/>
  <c r="R434" i="3"/>
  <c r="O437" i="3"/>
  <c r="Q436" i="3" s="1"/>
  <c r="P436" i="3"/>
  <c r="R435" i="3" s="1"/>
  <c r="O438" i="3" l="1"/>
  <c r="P437" i="3"/>
  <c r="R436" i="3" l="1"/>
  <c r="Q437" i="3"/>
  <c r="O439" i="3"/>
  <c r="P438" i="3"/>
  <c r="Q438" i="3" l="1"/>
  <c r="R437" i="3"/>
  <c r="O440" i="3"/>
  <c r="P439" i="3"/>
  <c r="Q439" i="3" l="1"/>
  <c r="R438" i="3"/>
  <c r="O441" i="3"/>
  <c r="P440" i="3"/>
  <c r="R439" i="3" l="1"/>
  <c r="Q440" i="3"/>
  <c r="O442" i="3"/>
  <c r="P441" i="3"/>
  <c r="Q441" i="3" l="1"/>
  <c r="R440" i="3"/>
  <c r="O443" i="3"/>
  <c r="P442" i="3"/>
  <c r="R441" i="3" s="1"/>
  <c r="Q442" i="3" l="1"/>
  <c r="O444" i="3"/>
  <c r="P443" i="3"/>
  <c r="R442" i="3" s="1"/>
  <c r="Q443" i="3" l="1"/>
  <c r="P444" i="3"/>
  <c r="O445" i="3"/>
  <c r="Q444" i="3" s="1"/>
  <c r="R443" i="3" l="1"/>
  <c r="P445" i="3"/>
  <c r="O446" i="3"/>
  <c r="Q445" i="3" l="1"/>
  <c r="R444" i="3"/>
  <c r="P446" i="3"/>
  <c r="O447" i="3"/>
  <c r="R445" i="3" l="1"/>
  <c r="Q446" i="3"/>
  <c r="P447" i="3"/>
  <c r="R446" i="3" s="1"/>
  <c r="O448" i="3"/>
  <c r="Q447" i="3" l="1"/>
  <c r="O449" i="3"/>
  <c r="Q448" i="3" s="1"/>
  <c r="P448" i="3"/>
  <c r="R447" i="3" s="1"/>
  <c r="P449" i="3" l="1"/>
  <c r="O450" i="3"/>
  <c r="Q449" i="3" s="1"/>
  <c r="R448" i="3" l="1"/>
  <c r="P450" i="3"/>
  <c r="O451" i="3"/>
  <c r="Q450" i="3" l="1"/>
  <c r="R449" i="3"/>
  <c r="P451" i="3"/>
  <c r="R450" i="3" s="1"/>
  <c r="O452" i="3"/>
  <c r="Q451" i="3" l="1"/>
  <c r="O453" i="3"/>
  <c r="Q452" i="3" s="1"/>
  <c r="P452" i="3"/>
  <c r="R451" i="3" l="1"/>
  <c r="P453" i="3"/>
  <c r="R452" i="3" s="1"/>
  <c r="O454" i="3"/>
  <c r="Q453" i="3" s="1"/>
  <c r="O455" i="3" l="1"/>
  <c r="Q454" i="3" s="1"/>
  <c r="P454" i="3"/>
  <c r="R453" i="3" l="1"/>
  <c r="O456" i="3"/>
  <c r="Q455" i="3" s="1"/>
  <c r="P455" i="3"/>
  <c r="R454" i="3" l="1"/>
  <c r="O457" i="3"/>
  <c r="P456" i="3"/>
  <c r="Q456" i="3" l="1"/>
  <c r="R455" i="3"/>
  <c r="P457" i="3"/>
  <c r="O458" i="3"/>
  <c r="R456" i="3" l="1"/>
  <c r="Q457" i="3"/>
  <c r="O459" i="3"/>
  <c r="P458" i="3"/>
  <c r="Q458" i="3" l="1"/>
  <c r="R457" i="3"/>
  <c r="O460" i="3"/>
  <c r="Q459" i="3" s="1"/>
  <c r="P459" i="3"/>
  <c r="R458" i="3" l="1"/>
  <c r="P460" i="3"/>
  <c r="R459" i="3" s="1"/>
  <c r="O461" i="3"/>
  <c r="Q460" i="3" l="1"/>
  <c r="O462" i="3"/>
  <c r="P461" i="3"/>
  <c r="Q461" i="3" l="1"/>
  <c r="R460" i="3"/>
  <c r="O463" i="3"/>
  <c r="P462" i="3"/>
  <c r="R461" i="3" l="1"/>
  <c r="Q462" i="3"/>
  <c r="O464" i="3"/>
  <c r="P463" i="3"/>
  <c r="Q463" i="3" l="1"/>
  <c r="R462" i="3"/>
  <c r="P464" i="3"/>
  <c r="O465" i="3"/>
  <c r="R463" i="3" l="1"/>
  <c r="Q464" i="3"/>
  <c r="P465" i="3"/>
  <c r="R464" i="3" s="1"/>
  <c r="O466" i="3"/>
  <c r="Q465" i="3" l="1"/>
  <c r="P466" i="3"/>
  <c r="R465" i="3" s="1"/>
  <c r="O467" i="3"/>
  <c r="Q466" i="3" l="1"/>
  <c r="O468" i="3"/>
  <c r="Q467" i="3" s="1"/>
  <c r="P467" i="3"/>
  <c r="R466" i="3" l="1"/>
  <c r="O469" i="3"/>
  <c r="Q468" i="3" s="1"/>
  <c r="P468" i="3"/>
  <c r="R467" i="3" s="1"/>
  <c r="P469" i="3" l="1"/>
  <c r="R468" i="3" s="1"/>
  <c r="O470" i="3"/>
  <c r="Q470" i="3" s="1"/>
  <c r="Q469" i="3" l="1"/>
  <c r="P470" i="3"/>
  <c r="R470" i="3" s="1"/>
  <c r="R469"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Williams, Justin</author>
  </authors>
  <commentList>
    <comment ref="C4" authorId="0" shapeId="0" xr:uid="{DBC199D6-463D-4C3B-9E6F-1E809052ED72}">
      <text>
        <r>
          <rPr>
            <b/>
            <sz val="9"/>
            <color indexed="81"/>
            <rFont val="Tahoma"/>
            <family val="2"/>
          </rPr>
          <t>Williams, Justin:</t>
        </r>
        <r>
          <rPr>
            <sz val="9"/>
            <color indexed="81"/>
            <rFont val="Tahoma"/>
            <family val="2"/>
          </rPr>
          <t xml:space="preserve">
This will be ignored for brittle materials and assummed it is different. For ductile, answer usually is yes, but not necessarily.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Williams, Justin</author>
  </authors>
  <commentList>
    <comment ref="E13" authorId="0" shapeId="0" xr:uid="{BBD495EA-C064-432C-A327-2C22C45EC7D1}">
      <text>
        <r>
          <rPr>
            <b/>
            <sz val="9"/>
            <color indexed="81"/>
            <rFont val="Tahoma"/>
            <family val="2"/>
          </rPr>
          <t>Williams, Justin:</t>
        </r>
        <r>
          <rPr>
            <sz val="9"/>
            <color indexed="81"/>
            <rFont val="Tahoma"/>
            <family val="2"/>
          </rPr>
          <t xml:space="preserve">
Usually same as S_y</t>
        </r>
      </text>
    </comment>
    <comment ref="E18" authorId="0" shapeId="0" xr:uid="{418D8F08-7A3D-4BEF-8F91-4B06628EC01D}">
      <text>
        <r>
          <rPr>
            <b/>
            <sz val="9"/>
            <color indexed="81"/>
            <rFont val="Tahoma"/>
            <family val="2"/>
          </rPr>
          <t>Williams, Justin:</t>
        </r>
        <r>
          <rPr>
            <sz val="9"/>
            <color indexed="81"/>
            <rFont val="Tahoma"/>
            <family val="2"/>
          </rPr>
          <t xml:space="preserve">
This is how much strength the MSS predicts a component has if loaded in pure shear</t>
        </r>
      </text>
    </comment>
    <comment ref="E23" authorId="0" shapeId="0" xr:uid="{AB91D335-0A0C-4A8E-88E7-06473D6B12D2}">
      <text>
        <r>
          <rPr>
            <b/>
            <sz val="9"/>
            <color indexed="81"/>
            <rFont val="Tahoma"/>
            <family val="2"/>
          </rPr>
          <t>Williams, Justin:</t>
        </r>
        <r>
          <rPr>
            <sz val="9"/>
            <color indexed="81"/>
            <rFont val="Tahoma"/>
            <family val="2"/>
          </rPr>
          <t xml:space="preserve">
If transformed to pure shear</t>
        </r>
      </text>
    </comment>
    <comment ref="E24" authorId="0" shapeId="0" xr:uid="{6A226C87-0F68-4C26-B0FF-591820CC3E66}">
      <text>
        <r>
          <rPr>
            <b/>
            <sz val="9"/>
            <color indexed="81"/>
            <rFont val="Tahoma"/>
            <family val="2"/>
          </rPr>
          <t>Williams, Justin:</t>
        </r>
        <r>
          <rPr>
            <sz val="9"/>
            <color indexed="81"/>
            <rFont val="Tahoma"/>
            <family val="2"/>
          </rPr>
          <t xml:space="preserve">
MSS more conservative than Distortion Energy Theory. Distortion energy generally more accurate at prediciting average failures, however, not good for guaranteeing safe. See Figure 5-15 in Shigley's</t>
        </r>
      </text>
    </comment>
    <comment ref="E30" authorId="0" shapeId="0" xr:uid="{254C1A69-D0F8-4307-9A64-4304E096FAD8}">
      <text>
        <r>
          <rPr>
            <b/>
            <sz val="9"/>
            <color indexed="81"/>
            <rFont val="Tahoma"/>
            <family val="2"/>
          </rPr>
          <t xml:space="preserve">Williams, Justin:
</t>
        </r>
        <r>
          <rPr>
            <sz val="9"/>
            <color indexed="81"/>
            <rFont val="Tahoma"/>
            <family val="2"/>
          </rPr>
          <t>MSS more conservative than Distortion Energy Theory. Distortion energy generally more accurate at prediciting average failures, however, not good for guaranteeing safe. See Figure 5-15 in Shigley's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<sst xmlns="http://schemas.openxmlformats.org/spreadsheetml/2006/main" count="331" uniqueCount="262">
  <si>
    <t>Yielding will occur when the distortion strain energy per unit volume reaches or exceeds the distortion strain energy per unit volume for yield in simple tension or compression of the same material.</t>
  </si>
  <si>
    <t>Total Strain  = Hydrostatic strain + Distortion</t>
  </si>
  <si>
    <t>where hydrostatic strain causese a pure volume change, no shape change</t>
  </si>
  <si>
    <t>and where distortion causes a no volume change, just a change in shape</t>
  </si>
  <si>
    <t>Experiments have shown that materials typically do not fail from hydrostatic pressure. IE think of dropping a ball of steel in the deep ocean, or in a tank of pressurized hydraulic fluid.</t>
  </si>
  <si>
    <t>The distortion of the object typically is what causes materials to yield or fail.</t>
  </si>
  <si>
    <t>There are two types of strain, the hydrostatic and the distortion.</t>
  </si>
  <si>
    <t>Hydrostatic strain causes no change in shape, but only size. IE makes item smaller or larger, but ratios of dimensions are still the same.</t>
  </si>
  <si>
    <t>Distortion strain causes a change in shape, but not in volume. IE it makes a square a parallelogram, but keeps the same area.</t>
  </si>
  <si>
    <t>Recall strain energy density.</t>
  </si>
  <si>
    <t>Strain Energy = (1/2)*F*Delta_x</t>
  </si>
  <si>
    <t>Strain Energy Density = Strain Energy/Volume = (1/2)*sigma_x*epsilon_x</t>
  </si>
  <si>
    <t>Strain Energy Density = (1/(2*E))*(sigma_a^2+sigma_b^2+sigma_c^2-2*poisson_ration*(sigma_a*sigma_b + sigma_b*sigma_c + sigma_c*sigma_a)) where sigma_a,b,c are the principle stresses.</t>
  </si>
  <si>
    <t>Note: Stress transformation angles are not calculated, and this requires going outside of Excel to do some intermediate calculations (C21:C24)</t>
  </si>
  <si>
    <t>Initial Inputs</t>
  </si>
  <si>
    <t>Stress Tensor (MPa)</t>
  </si>
  <si>
    <t>Parameter</t>
  </si>
  <si>
    <t>Value</t>
  </si>
  <si>
    <t>Units</t>
  </si>
  <si>
    <t>Description</t>
  </si>
  <si>
    <r>
      <t>σ</t>
    </r>
    <r>
      <rPr>
        <vertAlign val="subscript"/>
        <sz val="11"/>
        <color theme="0" tint="-0.499984740745262"/>
        <rFont val="Calibri"/>
        <family val="2"/>
      </rPr>
      <t>x</t>
    </r>
  </si>
  <si>
    <r>
      <t>τ</t>
    </r>
    <r>
      <rPr>
        <vertAlign val="subscript"/>
        <sz val="11"/>
        <color theme="0" tint="-0.499984740745262"/>
        <rFont val="Calibri"/>
        <family val="2"/>
      </rPr>
      <t>xy</t>
    </r>
  </si>
  <si>
    <r>
      <t>τ</t>
    </r>
    <r>
      <rPr>
        <vertAlign val="subscript"/>
        <sz val="11"/>
        <color theme="0" tint="-0.499984740745262"/>
        <rFont val="Calibri"/>
        <family val="2"/>
      </rPr>
      <t>zx</t>
    </r>
  </si>
  <si>
    <r>
      <t>σ</t>
    </r>
    <r>
      <rPr>
        <vertAlign val="subscript"/>
        <sz val="11"/>
        <color theme="1"/>
        <rFont val="Calibri"/>
        <family val="2"/>
      </rPr>
      <t>x</t>
    </r>
  </si>
  <si>
    <t>MPa</t>
  </si>
  <si>
    <t>Stress in x-direction</t>
  </si>
  <si>
    <r>
      <t>σ</t>
    </r>
    <r>
      <rPr>
        <vertAlign val="subscript"/>
        <sz val="11"/>
        <color theme="0" tint="-0.499984740745262"/>
        <rFont val="Calibri"/>
        <family val="2"/>
      </rPr>
      <t>y</t>
    </r>
  </si>
  <si>
    <r>
      <t>τ</t>
    </r>
    <r>
      <rPr>
        <vertAlign val="subscript"/>
        <sz val="11"/>
        <color theme="0" tint="-0.499984740745262"/>
        <rFont val="Calibri"/>
        <family val="2"/>
      </rPr>
      <t>yz</t>
    </r>
  </si>
  <si>
    <r>
      <t>σ</t>
    </r>
    <r>
      <rPr>
        <vertAlign val="subscript"/>
        <sz val="11"/>
        <color theme="1"/>
        <rFont val="Calibri"/>
        <family val="2"/>
      </rPr>
      <t>y</t>
    </r>
  </si>
  <si>
    <t>Stress in y-direction</t>
  </si>
  <si>
    <r>
      <t>σ</t>
    </r>
    <r>
      <rPr>
        <vertAlign val="subscript"/>
        <sz val="11"/>
        <color theme="0" tint="-0.499984740745262"/>
        <rFont val="Calibri"/>
        <family val="2"/>
      </rPr>
      <t>z</t>
    </r>
  </si>
  <si>
    <r>
      <t>σ</t>
    </r>
    <r>
      <rPr>
        <vertAlign val="subscript"/>
        <sz val="11"/>
        <color theme="1"/>
        <rFont val="Calibri"/>
        <family val="2"/>
      </rPr>
      <t>z</t>
    </r>
  </si>
  <si>
    <t>Stress in z-direction</t>
  </si>
  <si>
    <r>
      <t>τ</t>
    </r>
    <r>
      <rPr>
        <vertAlign val="subscript"/>
        <sz val="11"/>
        <color theme="1"/>
        <rFont val="Calibri"/>
        <family val="2"/>
      </rPr>
      <t>xy</t>
    </r>
  </si>
  <si>
    <t>Shear stress (xy)</t>
  </si>
  <si>
    <r>
      <t>τ</t>
    </r>
    <r>
      <rPr>
        <vertAlign val="subscript"/>
        <sz val="11"/>
        <color theme="1"/>
        <rFont val="Calibri"/>
        <family val="2"/>
      </rPr>
      <t>xz</t>
    </r>
  </si>
  <si>
    <t>Shear stress (xz)</t>
  </si>
  <si>
    <r>
      <t>τ</t>
    </r>
    <r>
      <rPr>
        <vertAlign val="subscript"/>
        <sz val="11"/>
        <color theme="1"/>
        <rFont val="Calibri"/>
        <family val="2"/>
      </rPr>
      <t>yz</t>
    </r>
  </si>
  <si>
    <t>Shear stress (yz)</t>
  </si>
  <si>
    <t>Stress Invariants</t>
  </si>
  <si>
    <r>
      <t>I</t>
    </r>
    <r>
      <rPr>
        <vertAlign val="subscript"/>
        <sz val="11"/>
        <color theme="1"/>
        <rFont val="Calibri"/>
        <family val="2"/>
      </rPr>
      <t>1</t>
    </r>
  </si>
  <si>
    <t>Use these values to to find the values in the below table.</t>
  </si>
  <si>
    <r>
      <t>I</t>
    </r>
    <r>
      <rPr>
        <vertAlign val="subscript"/>
        <sz val="11"/>
        <color theme="1"/>
        <rFont val="Calibri"/>
        <family val="2"/>
      </rPr>
      <t>2</t>
    </r>
  </si>
  <si>
    <t>MPa^2</t>
  </si>
  <si>
    <r>
      <t>I</t>
    </r>
    <r>
      <rPr>
        <vertAlign val="subscript"/>
        <sz val="11"/>
        <color theme="1"/>
        <rFont val="Calibri"/>
        <family val="2"/>
      </rPr>
      <t>3</t>
    </r>
    <r>
      <rPr>
        <sz val="11"/>
        <color theme="1"/>
        <rFont val="Calibri"/>
        <family val="2"/>
        <scheme val="minor"/>
      </rPr>
      <t/>
    </r>
  </si>
  <si>
    <t>Solve cubic function. Must use MathCAD, SMath Studio, Wolfram Alpha, or some other way to solve, have not gotten excel to cooperate with solving cubic roots.</t>
  </si>
  <si>
    <t>Example of SMath Studio to find roots</t>
  </si>
  <si>
    <t>Cubic Root Equation</t>
  </si>
  <si>
    <r>
      <t>σ</t>
    </r>
    <r>
      <rPr>
        <vertAlign val="subscript"/>
        <sz val="11"/>
        <color theme="1"/>
        <rFont val="Calibri"/>
        <family val="2"/>
      </rPr>
      <t>p</t>
    </r>
    <r>
      <rPr>
        <sz val="11"/>
        <color theme="1"/>
        <rFont val="Calibri"/>
        <family val="2"/>
      </rPr>
      <t>^3 - I</t>
    </r>
    <r>
      <rPr>
        <vertAlign val="subscript"/>
        <sz val="11"/>
        <color theme="1"/>
        <rFont val="Calibri"/>
        <family val="2"/>
      </rPr>
      <t>1</t>
    </r>
    <r>
      <rPr>
        <sz val="11"/>
        <color theme="1"/>
        <rFont val="Calibri"/>
        <family val="2"/>
      </rPr>
      <t>*σ</t>
    </r>
    <r>
      <rPr>
        <vertAlign val="subscript"/>
        <sz val="11"/>
        <color theme="1"/>
        <rFont val="Calibri"/>
        <family val="2"/>
      </rPr>
      <t>p</t>
    </r>
    <r>
      <rPr>
        <sz val="11"/>
        <color theme="1"/>
        <rFont val="Calibri"/>
        <family val="2"/>
      </rPr>
      <t>^2 + I</t>
    </r>
    <r>
      <rPr>
        <vertAlign val="subscript"/>
        <sz val="11"/>
        <color theme="1"/>
        <rFont val="Calibri"/>
        <family val="2"/>
      </rPr>
      <t>2</t>
    </r>
    <r>
      <rPr>
        <sz val="11"/>
        <color theme="1"/>
        <rFont val="Calibri"/>
        <family val="2"/>
      </rPr>
      <t>*σ</t>
    </r>
    <r>
      <rPr>
        <vertAlign val="subscript"/>
        <sz val="11"/>
        <color theme="1"/>
        <rFont val="Calibri"/>
        <family val="2"/>
      </rPr>
      <t xml:space="preserve">p </t>
    </r>
    <r>
      <rPr>
        <sz val="11"/>
        <color theme="1"/>
        <rFont val="Calibri"/>
        <family val="2"/>
      </rPr>
      <t>- I</t>
    </r>
    <r>
      <rPr>
        <vertAlign val="subscript"/>
        <sz val="11"/>
        <color theme="1"/>
        <rFont val="Calibri"/>
        <family val="2"/>
      </rPr>
      <t xml:space="preserve">3 </t>
    </r>
    <r>
      <rPr>
        <sz val="11"/>
        <color theme="1"/>
        <rFont val="Calibri"/>
        <family val="2"/>
      </rPr>
      <t>= 0</t>
    </r>
  </si>
  <si>
    <t>Principal Stress a</t>
  </si>
  <si>
    <t>Principal Stress b</t>
  </si>
  <si>
    <t>Principal Stress c</t>
  </si>
  <si>
    <r>
      <t>σ</t>
    </r>
    <r>
      <rPr>
        <vertAlign val="subscript"/>
        <sz val="11"/>
        <color theme="1"/>
        <rFont val="Calibri"/>
        <family val="2"/>
      </rPr>
      <t>1</t>
    </r>
  </si>
  <si>
    <t>Max Principal Stress 1 (Max)</t>
  </si>
  <si>
    <r>
      <t>σ</t>
    </r>
    <r>
      <rPr>
        <vertAlign val="subscript"/>
        <sz val="11"/>
        <color theme="1"/>
        <rFont val="Calibri"/>
        <family val="2"/>
      </rPr>
      <t>2</t>
    </r>
  </si>
  <si>
    <t>Principal Stress 2</t>
  </si>
  <si>
    <r>
      <t>σ</t>
    </r>
    <r>
      <rPr>
        <vertAlign val="subscript"/>
        <sz val="11"/>
        <color theme="1"/>
        <rFont val="Calibri"/>
        <family val="2"/>
      </rPr>
      <t>3</t>
    </r>
  </si>
  <si>
    <t>Principal Stress 3 (Min)</t>
  </si>
  <si>
    <t>Output</t>
  </si>
  <si>
    <r>
      <t>σ</t>
    </r>
    <r>
      <rPr>
        <vertAlign val="subscript"/>
        <sz val="11"/>
        <color theme="1"/>
        <rFont val="Calibri"/>
        <family val="2"/>
      </rPr>
      <t>max</t>
    </r>
  </si>
  <si>
    <r>
      <t>σ</t>
    </r>
    <r>
      <rPr>
        <vertAlign val="subscript"/>
        <sz val="11"/>
        <color theme="1"/>
        <rFont val="Calibri"/>
        <family val="2"/>
      </rPr>
      <t>min</t>
    </r>
  </si>
  <si>
    <r>
      <t>|σ|</t>
    </r>
    <r>
      <rPr>
        <vertAlign val="subscript"/>
        <sz val="11"/>
        <color theme="1"/>
        <rFont val="Calibri"/>
        <family val="2"/>
      </rPr>
      <t>max</t>
    </r>
  </si>
  <si>
    <r>
      <t>τ</t>
    </r>
    <r>
      <rPr>
        <vertAlign val="subscript"/>
        <sz val="11"/>
        <color theme="1"/>
        <rFont val="Calibri"/>
        <family val="2"/>
        <scheme val="minor"/>
      </rPr>
      <t>max</t>
    </r>
  </si>
  <si>
    <t>Max Shear Stress</t>
  </si>
  <si>
    <t>E</t>
  </si>
  <si>
    <t>GPa</t>
  </si>
  <si>
    <t>v</t>
  </si>
  <si>
    <t>-</t>
  </si>
  <si>
    <t>Poisson's Ratio</t>
  </si>
  <si>
    <t>V</t>
  </si>
  <si>
    <t>m^3</t>
  </si>
  <si>
    <t>SED</t>
  </si>
  <si>
    <t>J/m^3</t>
  </si>
  <si>
    <t>Strain Energy Density</t>
  </si>
  <si>
    <t>SE</t>
  </si>
  <si>
    <t>J</t>
  </si>
  <si>
    <t>Strain Energy</t>
  </si>
  <si>
    <t>Use Goal Seek</t>
  </si>
  <si>
    <t>guess x</t>
  </si>
  <si>
    <t>x^3</t>
  </si>
  <si>
    <t>x^2</t>
  </si>
  <si>
    <t>x</t>
  </si>
  <si>
    <t>const</t>
  </si>
  <si>
    <t>y</t>
  </si>
  <si>
    <t>coeff</t>
  </si>
  <si>
    <t>=</t>
  </si>
  <si>
    <t>Circle 1 (2-3)</t>
  </si>
  <si>
    <t>Circle 2 (1-2)</t>
  </si>
  <si>
    <t>Circle 3 (1-3)</t>
  </si>
  <si>
    <t>Sigmas</t>
  </si>
  <si>
    <t>Tau &gt;0 (Top Arc)</t>
  </si>
  <si>
    <t>Tau&lt;0 (Bottom Arc)</t>
  </si>
  <si>
    <r>
      <t>σ</t>
    </r>
    <r>
      <rPr>
        <vertAlign val="subscript"/>
        <sz val="11"/>
        <color theme="1"/>
        <rFont val="Calibri"/>
        <family val="2"/>
      </rPr>
      <t>avg</t>
    </r>
  </si>
  <si>
    <t>Since the distortion is the main contributor to the failure, and not the hydrostatic strain, the material is more likely to fail when the principle stresses are further away from each other.</t>
  </si>
  <si>
    <t>MSS Criteria</t>
  </si>
  <si>
    <r>
      <t>S</t>
    </r>
    <r>
      <rPr>
        <vertAlign val="subscript"/>
        <sz val="11"/>
        <color theme="1"/>
        <rFont val="Calibri"/>
        <family val="2"/>
        <scheme val="minor"/>
      </rPr>
      <t>y</t>
    </r>
  </si>
  <si>
    <t>Yield Strength</t>
  </si>
  <si>
    <t>MSS Criteria Test Result</t>
  </si>
  <si>
    <t>n</t>
  </si>
  <si>
    <t>Factor of Safety for MSS Criteria</t>
  </si>
  <si>
    <t>Note: If plane stress, make sure shear stress directions align. IE, if zero normal stress in z direction, tau_xz or tau_yz are not applicable.</t>
  </si>
  <si>
    <t>Average Normal Stress</t>
  </si>
  <si>
    <t>Angle needed to rotate element to achieve pure normal stess</t>
  </si>
  <si>
    <t>θ</t>
  </si>
  <si>
    <t>deg</t>
  </si>
  <si>
    <t>Young's Modulus of Elasticity</t>
  </si>
  <si>
    <t>Volume of part subjected to stress</t>
  </si>
  <si>
    <t>Check for plane stress</t>
  </si>
  <si>
    <t xml:space="preserve"> -</t>
  </si>
  <si>
    <t>Plane Stress or Non-Plane Stress</t>
  </si>
  <si>
    <t>J.Williams</t>
  </si>
  <si>
    <t>This sheet takes inputs of a stress plane and plot</t>
  </si>
  <si>
    <t>Finds 2 principle stresses, max shear stress, and plots Mohr's circle.</t>
  </si>
  <si>
    <t>Key</t>
  </si>
  <si>
    <t>Inputs</t>
  </si>
  <si>
    <t>Outputs</t>
  </si>
  <si>
    <t>Important Outputs</t>
  </si>
  <si>
    <t>Shear stress</t>
  </si>
  <si>
    <t>Mohr Circle Chart Offset</t>
  </si>
  <si>
    <t>This is just how much you want Mohr's Circle to be away from the end points of your chart.</t>
  </si>
  <si>
    <t>1st Principal Stress</t>
  </si>
  <si>
    <t>2nd Principal Stress</t>
  </si>
  <si>
    <r>
      <t>τ</t>
    </r>
    <r>
      <rPr>
        <vertAlign val="subscript"/>
        <sz val="11"/>
        <color theme="1"/>
        <rFont val="Calibri"/>
        <family val="2"/>
      </rPr>
      <t>max</t>
    </r>
  </si>
  <si>
    <t>Pass/Fail</t>
  </si>
  <si>
    <t>deg angle on Mohr's circle</t>
  </si>
  <si>
    <t>Case</t>
  </si>
  <si>
    <t>Criteria</t>
  </si>
  <si>
    <r>
      <rPr>
        <sz val="11"/>
        <color theme="1"/>
        <rFont val="Calibri"/>
        <family val="2"/>
      </rPr>
      <t>σ</t>
    </r>
    <r>
      <rPr>
        <vertAlign val="subscript"/>
        <sz val="11"/>
        <color theme="1"/>
        <rFont val="Calibri"/>
        <family val="2"/>
      </rPr>
      <t>A</t>
    </r>
    <r>
      <rPr>
        <sz val="11"/>
        <color theme="1"/>
        <rFont val="Calibri"/>
        <family val="2"/>
        <scheme val="minor"/>
      </rPr>
      <t xml:space="preserve"> &lt;= S</t>
    </r>
    <r>
      <rPr>
        <vertAlign val="subscript"/>
        <sz val="11"/>
        <color theme="1"/>
        <rFont val="Calibri"/>
        <family val="2"/>
        <scheme val="minor"/>
      </rPr>
      <t>y</t>
    </r>
  </si>
  <si>
    <r>
      <rPr>
        <sz val="11"/>
        <color theme="1"/>
        <rFont val="Calibri"/>
        <family val="2"/>
      </rPr>
      <t>σ</t>
    </r>
    <r>
      <rPr>
        <vertAlign val="subscript"/>
        <sz val="11"/>
        <color theme="1"/>
        <rFont val="Calibri"/>
        <family val="2"/>
      </rPr>
      <t>B</t>
    </r>
    <r>
      <rPr>
        <sz val="11"/>
        <color theme="1"/>
        <rFont val="Calibri"/>
        <family val="2"/>
        <scheme val="minor"/>
      </rPr>
      <t xml:space="preserve"> &gt;= -S</t>
    </r>
    <r>
      <rPr>
        <vertAlign val="subscript"/>
        <sz val="11"/>
        <color theme="1"/>
        <rFont val="Calibri"/>
        <family val="2"/>
        <scheme val="minor"/>
      </rPr>
      <t>y</t>
    </r>
  </si>
  <si>
    <r>
      <rPr>
        <sz val="11"/>
        <color theme="1"/>
        <rFont val="Calibri"/>
        <family val="2"/>
      </rPr>
      <t>σ</t>
    </r>
    <r>
      <rPr>
        <vertAlign val="subscript"/>
        <sz val="11"/>
        <color theme="1"/>
        <rFont val="Calibri"/>
        <family val="2"/>
      </rPr>
      <t>A</t>
    </r>
    <r>
      <rPr>
        <sz val="11"/>
        <color theme="1"/>
        <rFont val="Calibri"/>
        <family val="2"/>
        <scheme val="minor"/>
      </rPr>
      <t xml:space="preserve"> &lt;= </t>
    </r>
    <r>
      <rPr>
        <sz val="11"/>
        <color theme="1"/>
        <rFont val="Calibri"/>
        <family val="2"/>
      </rPr>
      <t>σ</t>
    </r>
    <r>
      <rPr>
        <vertAlign val="subscript"/>
        <sz val="11"/>
        <color theme="1"/>
        <rFont val="Calibri"/>
        <family val="2"/>
      </rPr>
      <t>B</t>
    </r>
    <r>
      <rPr>
        <sz val="11"/>
        <color theme="1"/>
        <rFont val="Calibri"/>
        <family val="2"/>
      </rPr>
      <t xml:space="preserve"> + </t>
    </r>
    <r>
      <rPr>
        <sz val="11"/>
        <color theme="1"/>
        <rFont val="Calibri"/>
        <family val="2"/>
        <scheme val="minor"/>
      </rPr>
      <t>S</t>
    </r>
    <r>
      <rPr>
        <vertAlign val="subscript"/>
        <sz val="11"/>
        <color theme="1"/>
        <rFont val="Calibri"/>
        <family val="2"/>
        <scheme val="minor"/>
      </rPr>
      <t>y</t>
    </r>
  </si>
  <si>
    <t>Recommend to set Chart Axis close to this initially (uses Chart Offset Input):</t>
  </si>
  <si>
    <t>x-axis</t>
  </si>
  <si>
    <t>Min</t>
  </si>
  <si>
    <t>Max</t>
  </si>
  <si>
    <t>Radius</t>
  </si>
  <si>
    <t>sigma</t>
  </si>
  <si>
    <t>tau</t>
  </si>
  <si>
    <t>original state</t>
  </si>
  <si>
    <t>Max Shear</t>
  </si>
  <si>
    <t>center</t>
  </si>
  <si>
    <t>180 deg state</t>
  </si>
  <si>
    <t>Data for MSS failure locus chart</t>
  </si>
  <si>
    <t>Load Line</t>
  </si>
  <si>
    <t>Point</t>
  </si>
  <si>
    <t>Sigma_A Direction</t>
  </si>
  <si>
    <t>Sigma_B Direction</t>
  </si>
  <si>
    <t>2D Von-Mises Stress</t>
  </si>
  <si>
    <t>Von Mises Stress</t>
  </si>
  <si>
    <t>σ'</t>
  </si>
  <si>
    <t>Von Mises Stress Check (without finding principal stresses)</t>
  </si>
  <si>
    <t>2D Von-Mises Stress Check (without finding principle stresses)</t>
  </si>
  <si>
    <t>Von Mises Chart Boundary</t>
  </si>
  <si>
    <t>Sigma A</t>
  </si>
  <si>
    <t>Sigma B Lower</t>
  </si>
  <si>
    <t>Sigma B Upper</t>
  </si>
  <si>
    <t>Sigma_B Lower</t>
  </si>
  <si>
    <t>Sigma_B Upper</t>
  </si>
  <si>
    <t>Mohr circle chart data</t>
  </si>
  <si>
    <t>Factor of Safety for Von Mises Stress</t>
  </si>
  <si>
    <t>n_von_mises</t>
  </si>
  <si>
    <t>n_MSS</t>
  </si>
  <si>
    <t>DE Criteria</t>
  </si>
  <si>
    <t>Distorion Energy Criteria Test Result (Von Mises)</t>
  </si>
  <si>
    <r>
      <t>σ</t>
    </r>
    <r>
      <rPr>
        <vertAlign val="subscript"/>
        <sz val="11"/>
        <color rgb="FFC00000"/>
        <rFont val="Calibri"/>
        <family val="2"/>
      </rPr>
      <t>p,a</t>
    </r>
  </si>
  <si>
    <r>
      <t>σ</t>
    </r>
    <r>
      <rPr>
        <vertAlign val="subscript"/>
        <sz val="11"/>
        <color rgb="FFC00000"/>
        <rFont val="Calibri"/>
        <family val="2"/>
      </rPr>
      <t>p,b</t>
    </r>
  </si>
  <si>
    <r>
      <t>σ</t>
    </r>
    <r>
      <rPr>
        <vertAlign val="subscript"/>
        <sz val="11"/>
        <color rgb="FFC00000"/>
        <rFont val="Calibri"/>
        <family val="2"/>
      </rPr>
      <t>p,c</t>
    </r>
  </si>
  <si>
    <t>Max Normal Stress (Principal)</t>
  </si>
  <si>
    <t>Min Normal Stress (Principal)</t>
  </si>
  <si>
    <r>
      <t>Max Normal Stress (Principal)</t>
    </r>
    <r>
      <rPr>
        <sz val="8"/>
        <color theme="1"/>
        <rFont val="Calibri"/>
        <family val="2"/>
        <scheme val="minor"/>
      </rPr>
      <t xml:space="preserve"> (Absolute Value)</t>
    </r>
  </si>
  <si>
    <t>Max Shear Stress (Principal)</t>
  </si>
  <si>
    <t>Note: Equations past the invariants may not yield correct results if you do not update the sigma_p_a-c values!</t>
  </si>
  <si>
    <t>Distortion Energy Failure Theory (Von Mises)</t>
  </si>
  <si>
    <t>Taken from Shigley's and a lecture from Michael Swanbom.</t>
  </si>
  <si>
    <t>Maximum Shear-Stress (MSS) Failure Criteria</t>
  </si>
  <si>
    <t>In static loading of ductile materials, it is not as important to look at stress concentrations.</t>
  </si>
  <si>
    <t>As stress is increased, stress distribution becomes more uniform for ductile materials, which is why we typically can disregard stress concentrations in ductile materials. See 5-4 in Shigley's.</t>
  </si>
  <si>
    <t>Typical Ductile Stress-Strain Diagram</t>
  </si>
  <si>
    <t>The MSS Failure Theory predicts that yielding begins whenever the maximum shear stress in any element equals or exceeds the amaximum shear stress in a tension-test specimen of the same material when that specimen begins to yield. Also called the Tresca or Guest Theory</t>
  </si>
  <si>
    <t xml:space="preserve">Slip/Luder lines form at approximately 45 deg angles to the axis of the test specimen. This is often a good indication of the beginning of yielding. When loaded to fracture, fracutre lines are also seen at these same angles. </t>
  </si>
  <si>
    <t>Since the shear stress is maximum at 45 degrees from the axis of tension, it makes sense to think of this as the mechanicsm of failure. However, this is a conservative approach, but engineers are typically conservative so this theory is often used.</t>
  </si>
  <si>
    <t>When the maximum shearing stress on a part in service reachesd the amount of shearing stress in a tensile speciment that causes it to fail, we predict the part will fail.</t>
  </si>
  <si>
    <t>Where stresses are typically the highest, is on a 'free surface' of a part (e.g., the OD of a shaft, for instance), and so there is typically one plane that has no normal stress acting on it.</t>
  </si>
  <si>
    <t>In this case, one of the principal stresses is zero.</t>
  </si>
  <si>
    <t>There are three cases that are possible for this.</t>
  </si>
  <si>
    <t>1) Both principle stresses are positive.</t>
  </si>
  <si>
    <t>2) Both principle stresses are negative.</t>
  </si>
  <si>
    <t>3) One principle stress is positive, one is negative.</t>
  </si>
  <si>
    <t>For the 2nd scenario, the part is in compression. Typically for most ductile metals (and many other materials), it is safe to assume that the compressive yielding strength is equal to the tensile yielding strength.</t>
  </si>
  <si>
    <t>If we let sigma_A and sigma_B represent principle stresses (not using numbers here since this is a special case where one principle stress is at zero).</t>
  </si>
  <si>
    <t>From the first case, we see that if the principle stress is taken as the yield point (we are looking at the mohr's circle when the part is about to fail), this would mean that the radius (of the largest circle) would be sigma_p/2 or Sy/2.</t>
  </si>
  <si>
    <t>This means that in this failure case, max shear is experienced at (t_max=S_y/2)</t>
  </si>
  <si>
    <t>From the second case, it is similar to case 1, but with negative S_y. (sigma_b = -S_y)</t>
  </si>
  <si>
    <t>From the third case, (sigma_a-sigma_b)/2 = t_max=S_y/2</t>
  </si>
  <si>
    <t>This means sigma_A=sigma_B+S_y</t>
  </si>
  <si>
    <t>Failure Predictions</t>
  </si>
  <si>
    <t>Case 1)   Sigma_A &gt;= S_y (Principle Stress is greater than the Yield Stength)</t>
  </si>
  <si>
    <t>Case 2)   Sigma_B &lt;= -S_y</t>
  </si>
  <si>
    <t>Case 3)   Sigma_A &gt;= Sigma_B + S_y</t>
  </si>
  <si>
    <t>We can then plot the principle stresses against one another. This is often called the failure locus for the MSS criterion, or the Tresca hexagon.</t>
  </si>
  <si>
    <t>There are a few charts shown to the right to demonstrate this.</t>
  </si>
  <si>
    <t>Note that if we have pure shear, the mohr's circle shows that one principle stress is the negative of the other.</t>
  </si>
  <si>
    <t>So if we plot this same scenario on the Tresca hex, it is a negative slope of 1.</t>
  </si>
  <si>
    <t>MSS Shear Strength Prediction</t>
  </si>
  <si>
    <t>Distortion-Energy Shear Strength Prediction</t>
  </si>
  <si>
    <t>Materials typically classified as ductile if strain at fracture/failure is at least 5% elongation, and have identifiable ield strength, which is often the same as in compression.</t>
  </si>
  <si>
    <t>Materials typicall classified as brittle have less than 5% elongation at fracture/failure, and are usually classified by ultimate tensile and compressive strengths.</t>
  </si>
  <si>
    <t>For a material that has different strengths for compressive vs tensile, we need to find a way to relate the two.</t>
  </si>
  <si>
    <t>An example of why materials may behave differently in compressive vs tensile condition, is that of ductile iron vs cast iron. Something like graphite in the iron may become 'flaky', and not adhere to materials around it, and thus not contribute much in a tensile condition, but will be utilized in compressive. Think of stacking broken cardboard boxes between two plates with springs around the perimeter of the plates. in tension, the springs would be only thing resisting, but in compression, you must also resist the cardboard.</t>
  </si>
  <si>
    <t>Have notmade a spreadsheet with calcs for this yet</t>
  </si>
  <si>
    <t>F</t>
  </si>
  <si>
    <t>N</t>
  </si>
  <si>
    <t>M</t>
  </si>
  <si>
    <t>N*mm</t>
  </si>
  <si>
    <t>c</t>
  </si>
  <si>
    <t>I</t>
  </si>
  <si>
    <t>sigma_flex</t>
  </si>
  <si>
    <t>mm^4</t>
  </si>
  <si>
    <t>mm</t>
  </si>
  <si>
    <t>normal stress due to bending</t>
  </si>
  <si>
    <t>since tension strength usually worse, evaluate at top side of end of shaft</t>
  </si>
  <si>
    <t>Torsional stress</t>
  </si>
  <si>
    <t>T</t>
  </si>
  <si>
    <t>rad of shaft</t>
  </si>
  <si>
    <t>torque</t>
  </si>
  <si>
    <t>equivalent force</t>
  </si>
  <si>
    <t>moment</t>
  </si>
  <si>
    <t>moment of inertia</t>
  </si>
  <si>
    <t>polar second moment area of shaft</t>
  </si>
  <si>
    <t>sigma_x</t>
  </si>
  <si>
    <t>sigma_y</t>
  </si>
  <si>
    <t>tau_xy</t>
  </si>
  <si>
    <t>sigma_a</t>
  </si>
  <si>
    <t>principal stress</t>
  </si>
  <si>
    <t>sigma_b</t>
  </si>
  <si>
    <t>S_y,t</t>
  </si>
  <si>
    <t>S_y,c</t>
  </si>
  <si>
    <t>yield strength, tensile</t>
  </si>
  <si>
    <t>yield strength, compressive</t>
  </si>
  <si>
    <t>Coulomb-Mohr Factor of Safety</t>
  </si>
  <si>
    <t>point</t>
  </si>
  <si>
    <r>
      <t>S</t>
    </r>
    <r>
      <rPr>
        <vertAlign val="subscript"/>
        <sz val="11"/>
        <color theme="1"/>
        <rFont val="Calibri"/>
        <family val="2"/>
        <scheme val="minor"/>
      </rPr>
      <t>y,c</t>
    </r>
  </si>
  <si>
    <t>Yield Strength (Compressive)</t>
  </si>
  <si>
    <t>Yield Strength (Tensile)</t>
  </si>
  <si>
    <t>Data for Coulomb-Mohr failure locus chart</t>
  </si>
  <si>
    <t>n_CM</t>
  </si>
  <si>
    <r>
      <rPr>
        <sz val="11"/>
        <color theme="1"/>
        <rFont val="Calibri"/>
        <family val="2"/>
      </rPr>
      <t>ϵ</t>
    </r>
    <r>
      <rPr>
        <vertAlign val="subscript"/>
        <sz val="11"/>
        <color theme="1"/>
        <rFont val="Calibri"/>
        <family val="2"/>
      </rPr>
      <t>f</t>
    </r>
  </si>
  <si>
    <t>Typical Elongation at fracture</t>
  </si>
  <si>
    <t>Material Type</t>
  </si>
  <si>
    <t>Brittle / Ductile</t>
  </si>
  <si>
    <t>Conservative or Match Data</t>
  </si>
  <si>
    <t>Conservative</t>
  </si>
  <si>
    <t>Non-Conservative (Matches data better)</t>
  </si>
  <si>
    <t>Conservative / Data Match</t>
  </si>
  <si>
    <t>Compressive Yield Strength samse as Tensile Yield Strength</t>
  </si>
  <si>
    <t>Yes</t>
  </si>
  <si>
    <t>No</t>
  </si>
  <si>
    <t>Yes / No</t>
  </si>
  <si>
    <t>Static Failure Theory Most Applicable</t>
  </si>
  <si>
    <t>Static Failure Theory</t>
  </si>
  <si>
    <t>Use this to find what static loading failure theory is most applicable of the BCM,MM, DCM, MSS, and DE theories.</t>
  </si>
  <si>
    <r>
      <t xml:space="preserve">Factor of Safety for Coulomb-Mohr  </t>
    </r>
    <r>
      <rPr>
        <b/>
        <sz val="11"/>
        <color theme="1"/>
        <rFont val="Calibri"/>
        <family val="2"/>
        <scheme val="minor"/>
      </rPr>
      <t>DO not think this is right</t>
    </r>
  </si>
  <si>
    <t>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</si>
</sst>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
  </numFmts>
  <fonts count="1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sz val="11"/>
      <color theme="0" tint="-0.499984740745262"/>
      <name val="Calibri"/>
      <family val="2"/>
    </font>
    <font>
      <vertAlign val="subscript"/>
      <sz val="11"/>
      <color theme="0" tint="-0.499984740745262"/>
      <name val="Calibri"/>
      <family val="2"/>
    </font>
    <font>
      <vertAlign val="subscript"/>
      <sz val="11"/>
      <color theme="1"/>
      <name val="Calibri"/>
      <family val="2"/>
    </font>
    <font>
      <sz val="8"/>
      <color theme="1"/>
      <name val="Calibri"/>
      <family val="2"/>
      <scheme val="minor"/>
    </font>
    <font>
      <vertAlign val="subscript"/>
      <sz val="11"/>
      <color theme="1"/>
      <name val="Calibri"/>
      <family val="2"/>
      <scheme val="minor"/>
    </font>
    <font>
      <sz val="11"/>
      <name val="Calibri"/>
      <family val="2"/>
      <scheme val="minor"/>
    </font>
    <font>
      <sz val="10"/>
      <color theme="1"/>
      <name val="Calibri"/>
      <family val="2"/>
      <scheme val="minor"/>
    </font>
    <font>
      <sz val="12"/>
      <color theme="1"/>
      <name val="Calibri"/>
      <family val="2"/>
      <scheme val="minor"/>
    </font>
    <font>
      <sz val="11"/>
      <color rgb="FFC00000"/>
      <name val="Calibri"/>
      <family val="2"/>
      <scheme val="minor"/>
    </font>
    <font>
      <sz val="8"/>
      <color rgb="FFC00000"/>
      <name val="Calibri"/>
      <family val="2"/>
    </font>
    <font>
      <sz val="11"/>
      <color rgb="FFC00000"/>
      <name val="Calibri"/>
      <family val="2"/>
    </font>
    <font>
      <vertAlign val="subscript"/>
      <sz val="11"/>
      <color rgb="FFC00000"/>
      <name val="Calibri"/>
      <family val="2"/>
    </font>
    <font>
      <sz val="9"/>
      <color indexed="81"/>
      <name val="Tahoma"/>
      <family val="2"/>
    </font>
    <font>
      <b/>
      <sz val="9"/>
      <color indexed="81"/>
      <name val="Tahoma"/>
      <family val="2"/>
    </font>
  </fonts>
  <fills count="8">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7" tint="0.39997558519241921"/>
        <bgColor indexed="64"/>
      </patternFill>
    </fill>
  </fills>
  <borders count="39">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right/>
      <top/>
      <bottom style="thin">
        <color indexed="64"/>
      </bottom>
      <diagonal/>
    </border>
  </borders>
  <cellStyleXfs count="1">
    <xf numFmtId="0" fontId="0" fillId="0" borderId="0"/>
  </cellStyleXfs>
  <cellXfs count="202">
    <xf numFmtId="0" fontId="0" fillId="0" borderId="0" xfId="0"/>
    <xf numFmtId="0" fontId="0" fillId="2" borderId="0" xfId="0" applyFill="1"/>
    <xf numFmtId="0" fontId="0" fillId="4" borderId="0" xfId="0" applyFill="1"/>
    <xf numFmtId="0" fontId="0" fillId="5" borderId="0" xfId="0" applyFill="1"/>
    <xf numFmtId="0" fontId="0" fillId="0" borderId="0" xfId="0" applyAlignment="1">
      <alignment horizontal="center"/>
    </xf>
    <xf numFmtId="0" fontId="1" fillId="0" borderId="38" xfId="0" applyFont="1" applyBorder="1" applyAlignment="1" applyProtection="1">
      <alignment horizontal="center"/>
      <protection locked="0"/>
    </xf>
    <xf numFmtId="0" fontId="0" fillId="0" borderId="0" xfId="0" applyProtection="1">
      <protection locked="0"/>
    </xf>
    <xf numFmtId="0" fontId="3" fillId="0" borderId="11" xfId="0" applyFont="1" applyBorder="1" applyProtection="1">
      <protection locked="0"/>
    </xf>
    <xf numFmtId="0" fontId="0" fillId="2" borderId="11" xfId="0" applyFill="1" applyBorder="1" applyProtection="1">
      <protection locked="0"/>
    </xf>
    <xf numFmtId="0" fontId="0" fillId="0" borderId="11" xfId="0" applyBorder="1" applyProtection="1">
      <protection locked="0"/>
    </xf>
    <xf numFmtId="0" fontId="0" fillId="2" borderId="0" xfId="0" applyFill="1" applyProtection="1">
      <protection locked="0"/>
    </xf>
    <xf numFmtId="0" fontId="0" fillId="3" borderId="0" xfId="0" applyFill="1" applyProtection="1">
      <protection locked="0"/>
    </xf>
    <xf numFmtId="0" fontId="0" fillId="0" borderId="11" xfId="0" applyFill="1" applyBorder="1" applyProtection="1">
      <protection hidden="1"/>
    </xf>
    <xf numFmtId="0" fontId="0" fillId="3" borderId="11" xfId="0" applyFill="1" applyBorder="1" applyProtection="1">
      <protection hidden="1"/>
    </xf>
    <xf numFmtId="0" fontId="0" fillId="0" borderId="0" xfId="0" applyProtection="1">
      <protection hidden="1"/>
    </xf>
    <xf numFmtId="0" fontId="2" fillId="0" borderId="1" xfId="0" applyFont="1" applyBorder="1" applyAlignment="1" applyProtection="1">
      <alignment horizontal="center"/>
      <protection hidden="1"/>
    </xf>
    <xf numFmtId="0" fontId="2" fillId="0" borderId="2" xfId="0" applyFont="1" applyBorder="1" applyAlignment="1" applyProtection="1">
      <alignment horizontal="center"/>
      <protection hidden="1"/>
    </xf>
    <xf numFmtId="0" fontId="2" fillId="0" borderId="3" xfId="0" applyFont="1" applyBorder="1" applyAlignment="1" applyProtection="1">
      <alignment horizontal="center"/>
      <protection hidden="1"/>
    </xf>
    <xf numFmtId="0" fontId="1" fillId="0" borderId="23" xfId="0" applyFont="1" applyBorder="1" applyProtection="1">
      <protection hidden="1"/>
    </xf>
    <xf numFmtId="0" fontId="1" fillId="0" borderId="24" xfId="0" applyFont="1" applyBorder="1" applyProtection="1">
      <protection hidden="1"/>
    </xf>
    <xf numFmtId="0" fontId="1" fillId="0" borderId="25" xfId="0" applyFont="1" applyBorder="1" applyProtection="1">
      <protection hidden="1"/>
    </xf>
    <xf numFmtId="0" fontId="3" fillId="0" borderId="1" xfId="0" applyFont="1" applyBorder="1" applyAlignment="1" applyProtection="1">
      <alignment horizontal="right"/>
      <protection hidden="1"/>
    </xf>
    <xf numFmtId="165" fontId="0" fillId="5" borderId="2" xfId="0" applyNumberFormat="1" applyFill="1" applyBorder="1" applyAlignment="1" applyProtection="1">
      <alignment horizontal="right"/>
      <protection hidden="1"/>
    </xf>
    <xf numFmtId="2" fontId="0" fillId="0" borderId="2" xfId="0" applyNumberFormat="1" applyBorder="1" applyAlignment="1" applyProtection="1">
      <alignment horizontal="center"/>
      <protection hidden="1"/>
    </xf>
    <xf numFmtId="0" fontId="0" fillId="0" borderId="3" xfId="0" applyFill="1" applyBorder="1" applyProtection="1">
      <protection hidden="1"/>
    </xf>
    <xf numFmtId="0" fontId="3" fillId="0" borderId="10" xfId="0" applyFont="1" applyBorder="1" applyAlignment="1" applyProtection="1">
      <alignment horizontal="right"/>
      <protection hidden="1"/>
    </xf>
    <xf numFmtId="2" fontId="0" fillId="5" borderId="11" xfId="0" applyNumberFormat="1" applyFill="1" applyBorder="1" applyAlignment="1" applyProtection="1">
      <alignment horizontal="right"/>
      <protection hidden="1"/>
    </xf>
    <xf numFmtId="2" fontId="0" fillId="0" borderId="11" xfId="0" applyNumberFormat="1" applyBorder="1" applyAlignment="1" applyProtection="1">
      <alignment horizontal="center"/>
      <protection hidden="1"/>
    </xf>
    <xf numFmtId="0" fontId="0" fillId="0" borderId="12" xfId="0" applyFill="1" applyBorder="1" applyProtection="1">
      <protection hidden="1"/>
    </xf>
    <xf numFmtId="0" fontId="0" fillId="5" borderId="11" xfId="0" applyFill="1" applyBorder="1" applyAlignment="1" applyProtection="1">
      <alignment horizontal="right"/>
      <protection hidden="1"/>
    </xf>
    <xf numFmtId="0" fontId="0" fillId="0" borderId="11" xfId="0" applyBorder="1" applyAlignment="1" applyProtection="1">
      <alignment horizontal="center"/>
      <protection hidden="1"/>
    </xf>
    <xf numFmtId="0" fontId="0" fillId="0" borderId="12" xfId="0" applyBorder="1" applyProtection="1">
      <protection hidden="1"/>
    </xf>
    <xf numFmtId="2" fontId="0" fillId="3" borderId="11" xfId="0" applyNumberFormat="1" applyFill="1" applyBorder="1" applyAlignment="1" applyProtection="1">
      <alignment horizontal="right"/>
      <protection hidden="1"/>
    </xf>
    <xf numFmtId="2" fontId="11" fillId="7" borderId="11" xfId="0" applyNumberFormat="1" applyFont="1" applyFill="1" applyBorder="1" applyAlignment="1" applyProtection="1">
      <alignment horizontal="center" vertical="center"/>
      <protection hidden="1"/>
    </xf>
    <xf numFmtId="165" fontId="0" fillId="3" borderId="11" xfId="0" applyNumberFormat="1" applyFill="1" applyBorder="1" applyAlignment="1" applyProtection="1">
      <alignment horizontal="right"/>
      <protection hidden="1"/>
    </xf>
    <xf numFmtId="0" fontId="0" fillId="3" borderId="11" xfId="0" applyFill="1" applyBorder="1" applyAlignment="1" applyProtection="1">
      <alignment horizontal="right"/>
      <protection hidden="1"/>
    </xf>
    <xf numFmtId="0" fontId="11" fillId="7" borderId="11" xfId="0" applyFont="1" applyFill="1" applyBorder="1" applyAlignment="1" applyProtection="1">
      <alignment horizontal="center" vertical="center"/>
      <protection hidden="1"/>
    </xf>
    <xf numFmtId="0" fontId="3" fillId="0" borderId="7" xfId="0" applyFont="1" applyBorder="1" applyAlignment="1" applyProtection="1">
      <alignment horizontal="right"/>
      <protection hidden="1"/>
    </xf>
    <xf numFmtId="165" fontId="0" fillId="3" borderId="8" xfId="0" applyNumberFormat="1" applyFill="1" applyBorder="1" applyAlignment="1" applyProtection="1">
      <alignment horizontal="right"/>
      <protection hidden="1"/>
    </xf>
    <xf numFmtId="2" fontId="0" fillId="0" borderId="8" xfId="0" applyNumberFormat="1" applyBorder="1" applyAlignment="1" applyProtection="1">
      <alignment horizontal="center"/>
      <protection hidden="1"/>
    </xf>
    <xf numFmtId="0" fontId="0" fillId="0" borderId="9" xfId="0" applyFill="1" applyBorder="1" applyProtection="1">
      <protection hidden="1"/>
    </xf>
    <xf numFmtId="0" fontId="2" fillId="0" borderId="1" xfId="0" applyFont="1" applyBorder="1" applyAlignment="1" applyProtection="1">
      <alignment horizontal="center" vertical="center"/>
      <protection hidden="1"/>
    </xf>
    <xf numFmtId="0" fontId="2" fillId="0" borderId="2" xfId="0" applyFont="1" applyBorder="1" applyAlignment="1" applyProtection="1">
      <alignment horizontal="center" vertical="center"/>
      <protection hidden="1"/>
    </xf>
    <xf numFmtId="0" fontId="2" fillId="0" borderId="3" xfId="0" applyFont="1" applyBorder="1" applyAlignment="1" applyProtection="1">
      <alignment horizontal="center" vertical="center"/>
      <protection hidden="1"/>
    </xf>
    <xf numFmtId="0" fontId="0" fillId="0" borderId="23" xfId="0" applyBorder="1" applyAlignment="1" applyProtection="1">
      <alignment horizontal="right"/>
      <protection hidden="1"/>
    </xf>
    <xf numFmtId="0" fontId="0" fillId="0" borderId="24" xfId="0" applyBorder="1" applyProtection="1">
      <protection hidden="1"/>
    </xf>
    <xf numFmtId="2" fontId="0" fillId="0" borderId="25" xfId="0" applyNumberFormat="1" applyBorder="1" applyProtection="1">
      <protection hidden="1"/>
    </xf>
    <xf numFmtId="0" fontId="0" fillId="0" borderId="1" xfId="0" applyBorder="1" applyProtection="1">
      <protection hidden="1"/>
    </xf>
    <xf numFmtId="0" fontId="0" fillId="0" borderId="2" xfId="0" applyBorder="1" applyProtection="1">
      <protection hidden="1"/>
    </xf>
    <xf numFmtId="0" fontId="0" fillId="5" borderId="3" xfId="0" applyFill="1" applyBorder="1" applyProtection="1">
      <protection hidden="1"/>
    </xf>
    <xf numFmtId="0" fontId="0" fillId="0" borderId="10" xfId="0" applyBorder="1" applyProtection="1">
      <protection hidden="1"/>
    </xf>
    <xf numFmtId="0" fontId="0" fillId="0" borderId="11" xfId="0" applyBorder="1" applyProtection="1">
      <protection hidden="1"/>
    </xf>
    <xf numFmtId="0" fontId="0" fillId="5" borderId="12" xfId="0" applyFill="1" applyBorder="1" applyProtection="1">
      <protection hidden="1"/>
    </xf>
    <xf numFmtId="0" fontId="0" fillId="0" borderId="7" xfId="0" applyBorder="1" applyProtection="1">
      <protection hidden="1"/>
    </xf>
    <xf numFmtId="0" fontId="0" fillId="0" borderId="8" xfId="0" applyBorder="1" applyProtection="1">
      <protection hidden="1"/>
    </xf>
    <xf numFmtId="0" fontId="0" fillId="5" borderId="9" xfId="0" applyFill="1" applyBorder="1" applyProtection="1">
      <protection hidden="1"/>
    </xf>
    <xf numFmtId="0" fontId="7" fillId="0" borderId="1" xfId="0" applyFont="1" applyBorder="1" applyAlignment="1" applyProtection="1">
      <alignment horizontal="center" wrapText="1"/>
      <protection hidden="1"/>
    </xf>
    <xf numFmtId="0" fontId="7" fillId="0" borderId="2" xfId="0" applyFont="1" applyBorder="1" applyAlignment="1" applyProtection="1">
      <alignment horizontal="center" wrapText="1"/>
      <protection hidden="1"/>
    </xf>
    <xf numFmtId="0" fontId="7" fillId="0" borderId="3" xfId="0" applyFont="1" applyBorder="1" applyAlignment="1" applyProtection="1">
      <alignment horizontal="center" wrapText="1"/>
      <protection hidden="1"/>
    </xf>
    <xf numFmtId="2" fontId="0" fillId="0" borderId="12" xfId="0" applyNumberFormat="1" applyBorder="1" applyProtection="1">
      <protection hidden="1"/>
    </xf>
    <xf numFmtId="2" fontId="0" fillId="6" borderId="11" xfId="0" applyNumberFormat="1" applyFill="1" applyBorder="1" applyProtection="1">
      <protection hidden="1"/>
    </xf>
    <xf numFmtId="2" fontId="0" fillId="6" borderId="12" xfId="0" applyNumberFormat="1" applyFill="1" applyBorder="1" applyProtection="1">
      <protection hidden="1"/>
    </xf>
    <xf numFmtId="2" fontId="0" fillId="6" borderId="8" xfId="0" applyNumberFormat="1" applyFill="1" applyBorder="1" applyProtection="1">
      <protection hidden="1"/>
    </xf>
    <xf numFmtId="2" fontId="0" fillId="6" borderId="9" xfId="0" applyNumberFormat="1" applyFill="1" applyBorder="1" applyProtection="1">
      <protection hidden="1"/>
    </xf>
    <xf numFmtId="0" fontId="0" fillId="0" borderId="38" xfId="0" applyBorder="1" applyAlignment="1" applyProtection="1">
      <alignment horizontal="center"/>
      <protection hidden="1"/>
    </xf>
    <xf numFmtId="0" fontId="0" fillId="0" borderId="37" xfId="0" applyFill="1" applyBorder="1" applyProtection="1">
      <protection hidden="1"/>
    </xf>
    <xf numFmtId="165" fontId="0" fillId="0" borderId="11" xfId="0" applyNumberFormat="1" applyBorder="1" applyProtection="1">
      <protection hidden="1"/>
    </xf>
    <xf numFmtId="165" fontId="0" fillId="0" borderId="0" xfId="0" applyNumberFormat="1" applyProtection="1">
      <protection hidden="1"/>
    </xf>
    <xf numFmtId="0" fontId="0" fillId="0" borderId="11" xfId="0"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2" xfId="0" applyBorder="1" applyAlignment="1" applyProtection="1">
      <alignment horizontal="center"/>
      <protection hidden="1"/>
    </xf>
    <xf numFmtId="0" fontId="0" fillId="0" borderId="3" xfId="0" applyBorder="1" applyProtection="1">
      <protection hidden="1"/>
    </xf>
    <xf numFmtId="0" fontId="0" fillId="0" borderId="24" xfId="0" applyBorder="1" applyAlignment="1" applyProtection="1">
      <alignment horizontal="center"/>
      <protection hidden="1"/>
    </xf>
    <xf numFmtId="0" fontId="0" fillId="0" borderId="25" xfId="0" applyBorder="1" applyProtection="1">
      <protection hidden="1"/>
    </xf>
    <xf numFmtId="0" fontId="0" fillId="0" borderId="8" xfId="0" applyBorder="1" applyAlignment="1" applyProtection="1">
      <alignment horizontal="center"/>
      <protection hidden="1"/>
    </xf>
    <xf numFmtId="0" fontId="7" fillId="0" borderId="9" xfId="0" applyFont="1" applyBorder="1" applyProtection="1">
      <protection hidden="1"/>
    </xf>
    <xf numFmtId="0" fontId="0" fillId="0" borderId="10" xfId="0" applyBorder="1" applyAlignment="1" applyProtection="1">
      <alignment horizontal="right"/>
      <protection hidden="1"/>
    </xf>
    <xf numFmtId="0" fontId="10" fillId="0" borderId="7" xfId="0" applyFont="1" applyBorder="1" applyAlignment="1" applyProtection="1">
      <alignment horizontal="center" vertical="center" wrapText="1"/>
      <protection hidden="1"/>
    </xf>
    <xf numFmtId="0" fontId="2" fillId="0" borderId="0" xfId="0" applyFont="1" applyProtection="1">
      <protection hidden="1"/>
    </xf>
    <xf numFmtId="0" fontId="1" fillId="0" borderId="16" xfId="0" applyFont="1" applyBorder="1" applyAlignment="1" applyProtection="1">
      <alignment horizontal="center" vertical="center"/>
      <protection hidden="1"/>
    </xf>
    <xf numFmtId="0" fontId="0" fillId="2" borderId="17" xfId="0" applyFill="1" applyBorder="1" applyAlignment="1" applyProtection="1">
      <alignment horizontal="center" vertical="center"/>
      <protection hidden="1"/>
    </xf>
    <xf numFmtId="0" fontId="0" fillId="5" borderId="17" xfId="0" applyFill="1" applyBorder="1" applyAlignment="1" applyProtection="1">
      <alignment horizontal="center" vertical="center"/>
      <protection hidden="1"/>
    </xf>
    <xf numFmtId="0" fontId="0" fillId="3" borderId="18" xfId="0" applyFill="1" applyBorder="1" applyAlignment="1" applyProtection="1">
      <alignment horizontal="center" vertical="center"/>
      <protection hidden="1"/>
    </xf>
    <xf numFmtId="0" fontId="0" fillId="2" borderId="2" xfId="0" applyFill="1" applyBorder="1" applyAlignment="1" applyProtection="1">
      <alignment horizontal="center"/>
      <protection locked="0"/>
    </xf>
    <xf numFmtId="0" fontId="0" fillId="2" borderId="11" xfId="0" applyFill="1" applyBorder="1" applyAlignment="1" applyProtection="1">
      <alignment horizontal="center"/>
      <protection locked="0"/>
    </xf>
    <xf numFmtId="0" fontId="0" fillId="2" borderId="24" xfId="0" applyFill="1" applyBorder="1" applyAlignment="1" applyProtection="1">
      <alignment horizontal="center"/>
      <protection locked="0"/>
    </xf>
    <xf numFmtId="0" fontId="0" fillId="2" borderId="8" xfId="0" applyFill="1" applyBorder="1" applyAlignment="1" applyProtection="1">
      <alignment horizontal="center"/>
      <protection locked="0"/>
    </xf>
    <xf numFmtId="0" fontId="12" fillId="0" borderId="0" xfId="0" applyFont="1" applyFill="1" applyProtection="1">
      <protection hidden="1"/>
    </xf>
    <xf numFmtId="0" fontId="3" fillId="0" borderId="4" xfId="0" applyFont="1" applyBorder="1" applyAlignment="1" applyProtection="1">
      <alignment horizontal="center"/>
      <protection hidden="1"/>
    </xf>
    <xf numFmtId="0" fontId="3" fillId="0" borderId="5" xfId="0" applyFont="1" applyBorder="1" applyAlignment="1" applyProtection="1">
      <alignment horizontal="center"/>
      <protection hidden="1"/>
    </xf>
    <xf numFmtId="0" fontId="3" fillId="0" borderId="6" xfId="0" applyFont="1" applyBorder="1" applyAlignment="1" applyProtection="1">
      <alignment horizontal="center"/>
      <protection hidden="1"/>
    </xf>
    <xf numFmtId="0" fontId="1" fillId="0" borderId="7" xfId="0" applyFont="1" applyBorder="1" applyProtection="1">
      <protection hidden="1"/>
    </xf>
    <xf numFmtId="0" fontId="1" fillId="0" borderId="8" xfId="0" applyFont="1" applyBorder="1" applyProtection="1">
      <protection hidden="1"/>
    </xf>
    <xf numFmtId="0" fontId="1" fillId="0" borderId="9" xfId="0" applyFont="1" applyBorder="1" applyProtection="1">
      <protection hidden="1"/>
    </xf>
    <xf numFmtId="0" fontId="4" fillId="0" borderId="1" xfId="0" applyFont="1" applyBorder="1" applyAlignment="1" applyProtection="1">
      <alignment horizontal="right"/>
      <protection hidden="1"/>
    </xf>
    <xf numFmtId="0" fontId="4" fillId="0" borderId="2" xfId="0" applyFont="1" applyBorder="1" applyAlignment="1" applyProtection="1">
      <alignment horizontal="right"/>
      <protection hidden="1"/>
    </xf>
    <xf numFmtId="0" fontId="4" fillId="0" borderId="3" xfId="0" applyFont="1" applyBorder="1" applyAlignment="1" applyProtection="1">
      <alignment horizontal="right"/>
      <protection hidden="1"/>
    </xf>
    <xf numFmtId="0" fontId="4" fillId="0" borderId="10" xfId="0" applyFont="1" applyBorder="1" applyAlignment="1" applyProtection="1">
      <alignment horizontal="right"/>
      <protection hidden="1"/>
    </xf>
    <xf numFmtId="0" fontId="4" fillId="0" borderId="11" xfId="0" applyFont="1" applyBorder="1" applyAlignment="1" applyProtection="1">
      <alignment horizontal="right"/>
      <protection hidden="1"/>
    </xf>
    <xf numFmtId="0" fontId="4" fillId="0" borderId="12" xfId="0" applyFont="1" applyBorder="1" applyAlignment="1" applyProtection="1">
      <alignment horizontal="right"/>
      <protection hidden="1"/>
    </xf>
    <xf numFmtId="0" fontId="4" fillId="0" borderId="7" xfId="0" applyFont="1" applyBorder="1" applyAlignment="1" applyProtection="1">
      <alignment horizontal="right"/>
      <protection hidden="1"/>
    </xf>
    <xf numFmtId="0" fontId="4" fillId="0" borderId="8" xfId="0" applyFont="1" applyBorder="1" applyAlignment="1" applyProtection="1">
      <alignment horizontal="right"/>
      <protection hidden="1"/>
    </xf>
    <xf numFmtId="0" fontId="4" fillId="0" borderId="9" xfId="0" applyFont="1" applyBorder="1" applyAlignment="1" applyProtection="1">
      <alignment horizontal="right"/>
      <protection hidden="1"/>
    </xf>
    <xf numFmtId="0" fontId="0" fillId="0" borderId="13" xfId="0" applyBorder="1" applyProtection="1">
      <protection hidden="1"/>
    </xf>
    <xf numFmtId="0" fontId="0" fillId="0" borderId="14" xfId="0" applyBorder="1" applyProtection="1">
      <protection hidden="1"/>
    </xf>
    <xf numFmtId="0" fontId="0" fillId="0" borderId="15" xfId="0" applyBorder="1" applyProtection="1">
      <protection hidden="1"/>
    </xf>
    <xf numFmtId="0" fontId="3" fillId="0" borderId="13" xfId="0" applyFont="1" applyBorder="1" applyAlignment="1" applyProtection="1">
      <alignment horizontal="right"/>
      <protection hidden="1"/>
    </xf>
    <xf numFmtId="0" fontId="0" fillId="0" borderId="9" xfId="0" applyBorder="1" applyProtection="1">
      <protection hidden="1"/>
    </xf>
    <xf numFmtId="0" fontId="3" fillId="0" borderId="23" xfId="0" applyFont="1" applyBorder="1" applyAlignment="1" applyProtection="1">
      <alignment horizontal="right"/>
      <protection hidden="1"/>
    </xf>
    <xf numFmtId="0" fontId="0" fillId="0" borderId="20" xfId="0" applyBorder="1" applyAlignment="1" applyProtection="1">
      <alignment horizontal="right"/>
      <protection hidden="1"/>
    </xf>
    <xf numFmtId="0" fontId="0" fillId="0" borderId="21" xfId="0" applyBorder="1" applyAlignment="1" applyProtection="1">
      <alignment horizontal="center"/>
      <protection hidden="1"/>
    </xf>
    <xf numFmtId="0" fontId="0" fillId="0" borderId="22" xfId="0" applyFill="1" applyBorder="1" applyProtection="1">
      <protection hidden="1"/>
    </xf>
    <xf numFmtId="0" fontId="0" fillId="0" borderId="1" xfId="0" applyBorder="1" applyAlignment="1" applyProtection="1">
      <alignment horizontal="right"/>
      <protection hidden="1"/>
    </xf>
    <xf numFmtId="0" fontId="0" fillId="0" borderId="7" xfId="0" applyBorder="1" applyAlignment="1" applyProtection="1">
      <alignment horizontal="right"/>
      <protection hidden="1"/>
    </xf>
    <xf numFmtId="0" fontId="1" fillId="0" borderId="1" xfId="0" applyFont="1" applyBorder="1" applyAlignment="1" applyProtection="1">
      <alignment horizontal="center"/>
      <protection hidden="1"/>
    </xf>
    <xf numFmtId="0" fontId="1" fillId="0" borderId="2" xfId="0" applyFont="1" applyBorder="1" applyAlignment="1" applyProtection="1">
      <alignment horizontal="center"/>
      <protection hidden="1"/>
    </xf>
    <xf numFmtId="0" fontId="1" fillId="0" borderId="3" xfId="0" applyFont="1" applyBorder="1" applyAlignment="1" applyProtection="1">
      <alignment horizontal="center"/>
      <protection hidden="1"/>
    </xf>
    <xf numFmtId="0" fontId="0" fillId="0" borderId="10" xfId="0" applyBorder="1" applyAlignment="1" applyProtection="1">
      <alignment horizontal="center"/>
      <protection hidden="1"/>
    </xf>
    <xf numFmtId="0" fontId="9" fillId="0" borderId="7" xfId="0" applyFont="1" applyBorder="1" applyAlignment="1" applyProtection="1">
      <alignment horizontal="center"/>
      <protection hidden="1"/>
    </xf>
    <xf numFmtId="0" fontId="9" fillId="0" borderId="8" xfId="0" applyFont="1" applyBorder="1" applyAlignment="1" applyProtection="1">
      <alignment horizontal="center"/>
      <protection hidden="1"/>
    </xf>
    <xf numFmtId="0" fontId="9" fillId="0" borderId="9" xfId="0" applyFont="1" applyBorder="1" applyAlignment="1" applyProtection="1">
      <alignment horizontal="center"/>
      <protection hidden="1"/>
    </xf>
    <xf numFmtId="0" fontId="0" fillId="0" borderId="4" xfId="0" applyBorder="1" applyAlignment="1" applyProtection="1">
      <alignment horizontal="center"/>
      <protection hidden="1"/>
    </xf>
    <xf numFmtId="0" fontId="0" fillId="0" borderId="5" xfId="0" applyBorder="1" applyAlignment="1" applyProtection="1">
      <alignment horizontal="center"/>
      <protection hidden="1"/>
    </xf>
    <xf numFmtId="0" fontId="0" fillId="0" borderId="6" xfId="0" applyBorder="1" applyAlignment="1" applyProtection="1">
      <alignment horizontal="center"/>
      <protection hidden="1"/>
    </xf>
    <xf numFmtId="0" fontId="3" fillId="0" borderId="16" xfId="0" applyFont="1" applyBorder="1" applyAlignment="1" applyProtection="1">
      <alignment horizontal="right"/>
      <protection hidden="1"/>
    </xf>
    <xf numFmtId="2" fontId="0" fillId="0" borderId="17" xfId="0" applyNumberFormat="1" applyBorder="1" applyProtection="1">
      <protection hidden="1"/>
    </xf>
    <xf numFmtId="0" fontId="0" fillId="0" borderId="18" xfId="0" applyBorder="1" applyAlignment="1" applyProtection="1">
      <alignment horizontal="center"/>
      <protection hidden="1"/>
    </xf>
    <xf numFmtId="0" fontId="12" fillId="0" borderId="19" xfId="0" applyFont="1" applyBorder="1" applyAlignment="1" applyProtection="1">
      <alignment horizontal="center" vertical="center" wrapText="1"/>
      <protection hidden="1"/>
    </xf>
    <xf numFmtId="0" fontId="3" fillId="0" borderId="20" xfId="0" applyFont="1" applyBorder="1" applyAlignment="1" applyProtection="1">
      <alignment horizontal="right"/>
      <protection hidden="1"/>
    </xf>
    <xf numFmtId="2" fontId="0" fillId="0" borderId="21" xfId="0" applyNumberFormat="1" applyBorder="1" applyProtection="1">
      <protection hidden="1"/>
    </xf>
    <xf numFmtId="0" fontId="0" fillId="0" borderId="22" xfId="0" applyBorder="1" applyAlignment="1" applyProtection="1">
      <alignment horizontal="center"/>
      <protection hidden="1"/>
    </xf>
    <xf numFmtId="2" fontId="3" fillId="0" borderId="17" xfId="0" applyNumberFormat="1" applyFont="1" applyBorder="1" applyProtection="1">
      <protection hidden="1"/>
    </xf>
    <xf numFmtId="0" fontId="3" fillId="0" borderId="18" xfId="0" applyFont="1" applyBorder="1" applyAlignment="1" applyProtection="1">
      <alignment horizontal="center"/>
      <protection hidden="1"/>
    </xf>
    <xf numFmtId="0" fontId="3" fillId="0" borderId="0" xfId="0" applyFont="1" applyProtection="1">
      <protection hidden="1"/>
    </xf>
    <xf numFmtId="0" fontId="13" fillId="0" borderId="1" xfId="0" applyFont="1" applyBorder="1" applyAlignment="1" applyProtection="1">
      <alignment horizontal="center" vertical="center" wrapText="1"/>
      <protection hidden="1"/>
    </xf>
    <xf numFmtId="0" fontId="13" fillId="0" borderId="2" xfId="0" applyFont="1" applyBorder="1" applyAlignment="1" applyProtection="1">
      <alignment horizontal="center" vertical="center" wrapText="1"/>
      <protection hidden="1"/>
    </xf>
    <xf numFmtId="0" fontId="13" fillId="0" borderId="3" xfId="0" applyFont="1" applyBorder="1" applyAlignment="1" applyProtection="1">
      <alignment horizontal="center" vertical="center" wrapText="1"/>
      <protection hidden="1"/>
    </xf>
    <xf numFmtId="0" fontId="13" fillId="0" borderId="10" xfId="0" applyFont="1" applyBorder="1" applyAlignment="1" applyProtection="1">
      <alignment horizontal="center" vertical="center" wrapText="1"/>
      <protection hidden="1"/>
    </xf>
    <xf numFmtId="0" fontId="13" fillId="0" borderId="11" xfId="0" applyFont="1" applyBorder="1" applyAlignment="1" applyProtection="1">
      <alignment horizontal="center" vertical="center" wrapText="1"/>
      <protection hidden="1"/>
    </xf>
    <xf numFmtId="0" fontId="13" fillId="0" borderId="12" xfId="0" applyFont="1" applyBorder="1" applyAlignment="1" applyProtection="1">
      <alignment horizontal="center" vertical="center" wrapText="1"/>
      <protection hidden="1"/>
    </xf>
    <xf numFmtId="0" fontId="3" fillId="0" borderId="7" xfId="0" applyFont="1" applyBorder="1" applyAlignment="1" applyProtection="1">
      <alignment horizontal="center"/>
      <protection hidden="1"/>
    </xf>
    <xf numFmtId="0" fontId="3" fillId="0" borderId="8" xfId="0" applyFont="1" applyBorder="1" applyAlignment="1" applyProtection="1">
      <alignment horizontal="center"/>
      <protection hidden="1"/>
    </xf>
    <xf numFmtId="0" fontId="3" fillId="0" borderId="9" xfId="0" applyFont="1" applyBorder="1" applyAlignment="1" applyProtection="1">
      <alignment horizontal="center"/>
      <protection hidden="1"/>
    </xf>
    <xf numFmtId="0" fontId="14" fillId="0" borderId="13" xfId="0" applyFont="1" applyBorder="1" applyAlignment="1" applyProtection="1">
      <alignment horizontal="right"/>
      <protection hidden="1"/>
    </xf>
    <xf numFmtId="0" fontId="3" fillId="0" borderId="14" xfId="0" applyFont="1" applyBorder="1" applyAlignment="1" applyProtection="1">
      <alignment horizontal="center" vertical="center"/>
      <protection hidden="1"/>
    </xf>
    <xf numFmtId="0" fontId="9" fillId="0" borderId="15" xfId="0" applyFont="1" applyBorder="1" applyProtection="1">
      <protection hidden="1"/>
    </xf>
    <xf numFmtId="0" fontId="14" fillId="0" borderId="10" xfId="0" applyFont="1" applyBorder="1" applyAlignment="1" applyProtection="1">
      <alignment horizontal="right"/>
      <protection hidden="1"/>
    </xf>
    <xf numFmtId="0" fontId="3" fillId="0" borderId="11" xfId="0" applyFont="1" applyBorder="1" applyAlignment="1" applyProtection="1">
      <alignment horizontal="center" vertical="center"/>
      <protection hidden="1"/>
    </xf>
    <xf numFmtId="0" fontId="9" fillId="0" borderId="12" xfId="0" applyFont="1" applyBorder="1" applyProtection="1">
      <protection hidden="1"/>
    </xf>
    <xf numFmtId="0" fontId="14" fillId="0" borderId="23" xfId="0" applyFont="1" applyBorder="1" applyAlignment="1" applyProtection="1">
      <alignment horizontal="right"/>
      <protection hidden="1"/>
    </xf>
    <xf numFmtId="0" fontId="3" fillId="0" borderId="24" xfId="0" applyFont="1" applyBorder="1" applyAlignment="1" applyProtection="1">
      <alignment horizontal="center" vertical="center"/>
      <protection hidden="1"/>
    </xf>
    <xf numFmtId="0" fontId="9" fillId="0" borderId="25" xfId="0" applyFont="1" applyBorder="1" applyProtection="1">
      <protection hidden="1"/>
    </xf>
    <xf numFmtId="165" fontId="3" fillId="3" borderId="2" xfId="0" applyNumberFormat="1" applyFont="1" applyFill="1" applyBorder="1" applyProtection="1">
      <protection hidden="1"/>
    </xf>
    <xf numFmtId="0" fontId="0" fillId="0" borderId="2" xfId="0" applyBorder="1" applyAlignment="1" applyProtection="1">
      <alignment horizontal="center" vertical="center"/>
      <protection hidden="1"/>
    </xf>
    <xf numFmtId="165" fontId="3" fillId="3" borderId="11" xfId="0" applyNumberFormat="1" applyFont="1" applyFill="1" applyBorder="1" applyProtection="1">
      <protection hidden="1"/>
    </xf>
    <xf numFmtId="0" fontId="0" fillId="0" borderId="11" xfId="0" applyBorder="1" applyAlignment="1" applyProtection="1">
      <alignment horizontal="center" vertical="center"/>
      <protection hidden="1"/>
    </xf>
    <xf numFmtId="165" fontId="3" fillId="3" borderId="8" xfId="0" applyNumberFormat="1" applyFont="1" applyFill="1" applyBorder="1" applyProtection="1">
      <protection hidden="1"/>
    </xf>
    <xf numFmtId="0" fontId="0" fillId="0" borderId="8" xfId="0" applyBorder="1" applyAlignment="1" applyProtection="1">
      <alignment horizontal="center" vertical="center"/>
      <protection hidden="1"/>
    </xf>
    <xf numFmtId="0" fontId="2" fillId="0" borderId="26" xfId="0" applyFont="1" applyBorder="1" applyAlignment="1" applyProtection="1">
      <alignment horizontal="center"/>
      <protection hidden="1"/>
    </xf>
    <xf numFmtId="0" fontId="2" fillId="0" borderId="27" xfId="0" applyFont="1" applyBorder="1" applyAlignment="1" applyProtection="1">
      <alignment horizontal="center"/>
      <protection hidden="1"/>
    </xf>
    <xf numFmtId="0" fontId="2" fillId="0" borderId="28" xfId="0" applyFont="1" applyBorder="1" applyAlignment="1" applyProtection="1">
      <alignment horizontal="center"/>
      <protection hidden="1"/>
    </xf>
    <xf numFmtId="2" fontId="0" fillId="0" borderId="11" xfId="0" applyNumberFormat="1" applyBorder="1" applyProtection="1">
      <protection hidden="1"/>
    </xf>
    <xf numFmtId="2" fontId="0" fillId="4" borderId="11" xfId="0" applyNumberFormat="1" applyFill="1" applyBorder="1" applyProtection="1">
      <protection hidden="1"/>
    </xf>
    <xf numFmtId="2" fontId="0" fillId="4" borderId="24" xfId="0" applyNumberFormat="1" applyFill="1" applyBorder="1" applyProtection="1">
      <protection hidden="1"/>
    </xf>
    <xf numFmtId="0" fontId="0" fillId="0" borderId="24" xfId="0" applyBorder="1" applyAlignment="1" applyProtection="1">
      <alignment horizontal="center" vertical="center"/>
      <protection hidden="1"/>
    </xf>
    <xf numFmtId="0" fontId="0" fillId="0" borderId="2" xfId="0" applyFill="1" applyBorder="1" applyProtection="1">
      <protection hidden="1"/>
    </xf>
    <xf numFmtId="0" fontId="3" fillId="0" borderId="10" xfId="0" applyFont="1" applyBorder="1" applyProtection="1">
      <protection hidden="1"/>
    </xf>
    <xf numFmtId="0" fontId="3" fillId="0" borderId="7" xfId="0" applyFont="1" applyBorder="1" applyProtection="1">
      <protection hidden="1"/>
    </xf>
    <xf numFmtId="0" fontId="0" fillId="4" borderId="8" xfId="0" applyFill="1" applyBorder="1" applyProtection="1">
      <protection hidden="1"/>
    </xf>
    <xf numFmtId="0" fontId="3" fillId="0" borderId="0" xfId="0" applyFont="1" applyFill="1" applyBorder="1" applyProtection="1">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0" borderId="1" xfId="0" applyBorder="1" applyAlignment="1" applyProtection="1">
      <alignment horizontal="center" vertical="center" wrapText="1"/>
      <protection hidden="1"/>
    </xf>
    <xf numFmtId="0" fontId="0" fillId="0" borderId="2" xfId="0" applyBorder="1" applyAlignment="1" applyProtection="1">
      <alignment horizontal="center" vertical="center" wrapText="1"/>
      <protection hidden="1"/>
    </xf>
    <xf numFmtId="0" fontId="0" fillId="0" borderId="3" xfId="0" applyBorder="1" applyAlignment="1" applyProtection="1">
      <alignment horizontal="center" vertical="center" wrapText="1"/>
      <protection hidden="1"/>
    </xf>
    <xf numFmtId="0" fontId="0" fillId="0" borderId="29" xfId="0" applyBorder="1" applyAlignment="1" applyProtection="1">
      <alignment horizontal="center" vertical="center" wrapText="1"/>
      <protection hidden="1"/>
    </xf>
    <xf numFmtId="0" fontId="0" fillId="0" borderId="30" xfId="0" applyBorder="1" applyAlignment="1" applyProtection="1">
      <alignment horizontal="center" vertical="center" wrapText="1"/>
      <protection hidden="1"/>
    </xf>
    <xf numFmtId="0" fontId="0" fillId="0" borderId="7" xfId="0" applyBorder="1" applyAlignment="1" applyProtection="1">
      <alignment vertical="center" wrapText="1"/>
      <protection hidden="1"/>
    </xf>
    <xf numFmtId="0" fontId="0" fillId="0" borderId="8" xfId="0" applyBorder="1" applyAlignment="1" applyProtection="1">
      <alignment vertical="center" wrapText="1"/>
      <protection hidden="1"/>
    </xf>
    <xf numFmtId="0" fontId="0" fillId="0" borderId="9" xfId="0" applyBorder="1" applyAlignment="1" applyProtection="1">
      <alignment vertical="center" wrapText="1"/>
      <protection hidden="1"/>
    </xf>
    <xf numFmtId="0" fontId="0" fillId="0" borderId="31" xfId="0" applyBorder="1" applyAlignment="1" applyProtection="1">
      <alignment vertical="center" wrapText="1"/>
      <protection hidden="1"/>
    </xf>
    <xf numFmtId="0" fontId="0" fillId="0" borderId="32" xfId="0" applyBorder="1" applyAlignment="1" applyProtection="1">
      <alignment vertical="center" wrapText="1"/>
      <protection hidden="1"/>
    </xf>
    <xf numFmtId="165" fontId="0" fillId="0" borderId="13" xfId="0" applyNumberFormat="1" applyBorder="1" applyProtection="1">
      <protection hidden="1"/>
    </xf>
    <xf numFmtId="165" fontId="0" fillId="0" borderId="14" xfId="0" applyNumberFormat="1" applyBorder="1" applyProtection="1">
      <protection hidden="1"/>
    </xf>
    <xf numFmtId="165" fontId="0" fillId="0" borderId="15" xfId="0" applyNumberFormat="1" applyBorder="1" applyProtection="1">
      <protection hidden="1"/>
    </xf>
    <xf numFmtId="165" fontId="0" fillId="0" borderId="33" xfId="0" applyNumberFormat="1" applyBorder="1" applyProtection="1">
      <protection hidden="1"/>
    </xf>
    <xf numFmtId="0" fontId="0" fillId="0" borderId="34" xfId="0" applyBorder="1" applyProtection="1">
      <protection hidden="1"/>
    </xf>
    <xf numFmtId="165" fontId="0" fillId="0" borderId="10" xfId="0" applyNumberFormat="1" applyBorder="1" applyProtection="1">
      <protection hidden="1"/>
    </xf>
    <xf numFmtId="165" fontId="0" fillId="0" borderId="12" xfId="0" applyNumberFormat="1" applyBorder="1" applyProtection="1">
      <protection hidden="1"/>
    </xf>
    <xf numFmtId="165" fontId="0" fillId="0" borderId="35" xfId="0" applyNumberFormat="1" applyBorder="1" applyProtection="1">
      <protection hidden="1"/>
    </xf>
    <xf numFmtId="0" fontId="0" fillId="0" borderId="36" xfId="0" applyBorder="1" applyProtection="1">
      <protection hidden="1"/>
    </xf>
    <xf numFmtId="165" fontId="0" fillId="0" borderId="7" xfId="0" applyNumberFormat="1" applyBorder="1" applyProtection="1">
      <protection hidden="1"/>
    </xf>
    <xf numFmtId="165" fontId="0" fillId="0" borderId="8" xfId="0" applyNumberFormat="1" applyBorder="1" applyProtection="1">
      <protection hidden="1"/>
    </xf>
    <xf numFmtId="165" fontId="0" fillId="0" borderId="9" xfId="0" applyNumberFormat="1" applyBorder="1" applyProtection="1">
      <protection hidden="1"/>
    </xf>
    <xf numFmtId="165" fontId="0" fillId="0" borderId="31" xfId="0" applyNumberFormat="1" applyBorder="1" applyProtection="1">
      <protection hidden="1"/>
    </xf>
    <xf numFmtId="0" fontId="0" fillId="0" borderId="32" xfId="0" applyBorder="1" applyProtection="1">
      <protection hidden="1"/>
    </xf>
    <xf numFmtId="0" fontId="0" fillId="2" borderId="21" xfId="0" applyFill="1" applyBorder="1" applyAlignment="1" applyProtection="1">
      <alignment horizontal="center"/>
      <protection locked="0"/>
    </xf>
    <xf numFmtId="0" fontId="0" fillId="2" borderId="2" xfId="0" applyFill="1" applyBorder="1" applyProtection="1">
      <protection locked="0"/>
    </xf>
    <xf numFmtId="0" fontId="0" fillId="2" borderId="8" xfId="0" applyFill="1" applyBorder="1" applyProtection="1">
      <protection locked="0"/>
    </xf>
    <xf numFmtId="164" fontId="3" fillId="2" borderId="14" xfId="0" applyNumberFormat="1" applyFont="1" applyFill="1" applyBorder="1" applyProtection="1">
      <protection locked="0"/>
    </xf>
    <xf numFmtId="164" fontId="3" fillId="2" borderId="11" xfId="0" applyNumberFormat="1" applyFont="1" applyFill="1" applyBorder="1" applyProtection="1">
      <protection locked="0"/>
    </xf>
    <xf numFmtId="164" fontId="3" fillId="2" borderId="24" xfId="0" applyNumberFormat="1" applyFont="1" applyFill="1" applyBorder="1" applyProtection="1">
      <protection locked="0"/>
    </xf>
  </cellXfs>
  <cellStyles count="1">
    <cellStyle name="Normal" xfId="0" builtinId="0"/>
  </cellStyles>
  <dxfs count="5">
    <dxf>
      <font>
        <color rgb="FFFF0000"/>
      </font>
    </dxf>
    <dxf>
      <font>
        <color rgb="FF00B050"/>
      </font>
    </dxf>
    <dxf>
      <font>
        <strike val="0"/>
        <color rgb="FFFF0000"/>
      </font>
    </dxf>
    <dxf>
      <font>
        <b/>
        <i val="0"/>
        <strike val="0"/>
        <color rgb="FF00B050"/>
      </font>
    </dxf>
    <dxf>
      <font>
        <b/>
        <i val="0"/>
        <strike val="0"/>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Mohr's</a:t>
            </a:r>
            <a:r>
              <a:rPr lang="en-US" baseline="0"/>
              <a:t> Circle</a:t>
            </a:r>
          </a:p>
          <a:p>
            <a:pPr>
              <a:defRPr/>
            </a:pPr>
            <a:r>
              <a:rPr lang="en-US" sz="1000" baseline="0"/>
              <a:t>Recall that angles shown on mohr's circle are halved in real life.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9642659346480775E-2"/>
          <c:y val="0.11490685167850523"/>
          <c:w val="0.90493119266055044"/>
          <c:h val="0.8240091404658334"/>
        </c:manualLayout>
      </c:layout>
      <c:scatterChart>
        <c:scatterStyle val="smoothMarker"/>
        <c:varyColors val="0"/>
        <c:ser>
          <c:idx val="0"/>
          <c:order val="0"/>
          <c:tx>
            <c:strRef>
              <c:f>'Plane Stress'!$C$264</c:f>
              <c:strCache>
                <c:ptCount val="1"/>
                <c:pt idx="0">
                  <c:v>Tau &gt;0 (Top Arc)</c:v>
                </c:pt>
              </c:strCache>
            </c:strRef>
          </c:tx>
          <c:spPr>
            <a:ln w="19050" cap="rnd">
              <a:solidFill>
                <a:schemeClr val="accent1"/>
              </a:solidFill>
              <a:round/>
            </a:ln>
            <a:effectLst/>
          </c:spPr>
          <c:marker>
            <c:symbol val="none"/>
          </c:marker>
          <c:xVal>
            <c:numRef>
              <c:f>'Plane Stress'!$B$265:$B$365</c:f>
              <c:numCache>
                <c:formatCode>0.000</c:formatCode>
                <c:ptCount val="101"/>
                <c:pt idx="0">
                  <c:v>-4.8639583636476686</c:v>
                </c:pt>
                <c:pt idx="1">
                  <c:v>-3.7354391963747151</c:v>
                </c:pt>
                <c:pt idx="2">
                  <c:v>-2.6069200291017616</c:v>
                </c:pt>
                <c:pt idx="3">
                  <c:v>-1.4784008618288083</c:v>
                </c:pt>
                <c:pt idx="4">
                  <c:v>-0.34988169455585494</c:v>
                </c:pt>
                <c:pt idx="5">
                  <c:v>0.77863747271709838</c:v>
                </c:pt>
                <c:pt idx="6">
                  <c:v>1.9071566399900517</c:v>
                </c:pt>
                <c:pt idx="7">
                  <c:v>3.0356758072630052</c:v>
                </c:pt>
                <c:pt idx="8">
                  <c:v>4.1641949745359588</c:v>
                </c:pt>
                <c:pt idx="9">
                  <c:v>5.2927141418089123</c:v>
                </c:pt>
                <c:pt idx="10">
                  <c:v>6.4212333090818658</c:v>
                </c:pt>
                <c:pt idx="11">
                  <c:v>7.5497524763548194</c:v>
                </c:pt>
                <c:pt idx="12">
                  <c:v>8.678271643627772</c:v>
                </c:pt>
                <c:pt idx="13">
                  <c:v>9.8067908109007256</c:v>
                </c:pt>
                <c:pt idx="14">
                  <c:v>10.935309978173679</c:v>
                </c:pt>
                <c:pt idx="15">
                  <c:v>12.063829145446633</c:v>
                </c:pt>
                <c:pt idx="16">
                  <c:v>13.192348312719586</c:v>
                </c:pt>
                <c:pt idx="17">
                  <c:v>14.32086747999254</c:v>
                </c:pt>
                <c:pt idx="18">
                  <c:v>15.449386647265493</c:v>
                </c:pt>
                <c:pt idx="19">
                  <c:v>16.577905814538447</c:v>
                </c:pt>
                <c:pt idx="20">
                  <c:v>17.706424981811399</c:v>
                </c:pt>
                <c:pt idx="21">
                  <c:v>18.83494414908435</c:v>
                </c:pt>
                <c:pt idx="22">
                  <c:v>19.963463316357302</c:v>
                </c:pt>
                <c:pt idx="23">
                  <c:v>21.091982483630254</c:v>
                </c:pt>
                <c:pt idx="24">
                  <c:v>22.220501650903206</c:v>
                </c:pt>
                <c:pt idx="25">
                  <c:v>23.349020818176157</c:v>
                </c:pt>
                <c:pt idx="26">
                  <c:v>24.477539985449109</c:v>
                </c:pt>
                <c:pt idx="27">
                  <c:v>25.606059152722061</c:v>
                </c:pt>
                <c:pt idx="28">
                  <c:v>26.734578319995013</c:v>
                </c:pt>
                <c:pt idx="29">
                  <c:v>27.863097487267964</c:v>
                </c:pt>
                <c:pt idx="30">
                  <c:v>28.991616654540916</c:v>
                </c:pt>
                <c:pt idx="31">
                  <c:v>30.120135821813868</c:v>
                </c:pt>
                <c:pt idx="32">
                  <c:v>31.24865498908682</c:v>
                </c:pt>
                <c:pt idx="33">
                  <c:v>32.377174156359771</c:v>
                </c:pt>
                <c:pt idx="34">
                  <c:v>33.505693323632727</c:v>
                </c:pt>
                <c:pt idx="35">
                  <c:v>34.634212490905682</c:v>
                </c:pt>
                <c:pt idx="36">
                  <c:v>35.762731658178637</c:v>
                </c:pt>
                <c:pt idx="37">
                  <c:v>36.891250825451593</c:v>
                </c:pt>
                <c:pt idx="38">
                  <c:v>38.019769992724548</c:v>
                </c:pt>
                <c:pt idx="39">
                  <c:v>39.148289159997503</c:v>
                </c:pt>
                <c:pt idx="40">
                  <c:v>40.276808327270459</c:v>
                </c:pt>
                <c:pt idx="41">
                  <c:v>41.405327494543414</c:v>
                </c:pt>
                <c:pt idx="42">
                  <c:v>42.533846661816369</c:v>
                </c:pt>
                <c:pt idx="43">
                  <c:v>43.662365829089325</c:v>
                </c:pt>
                <c:pt idx="44">
                  <c:v>44.79088499636228</c:v>
                </c:pt>
                <c:pt idx="45">
                  <c:v>45.919404163635235</c:v>
                </c:pt>
                <c:pt idx="46">
                  <c:v>47.047923330908191</c:v>
                </c:pt>
                <c:pt idx="47">
                  <c:v>48.176442498181146</c:v>
                </c:pt>
                <c:pt idx="48">
                  <c:v>49.304961665454101</c:v>
                </c:pt>
                <c:pt idx="49">
                  <c:v>50.433480832727057</c:v>
                </c:pt>
                <c:pt idx="50">
                  <c:v>51.562000000000012</c:v>
                </c:pt>
                <c:pt idx="51">
                  <c:v>52.690519167272967</c:v>
                </c:pt>
                <c:pt idx="52">
                  <c:v>53.819038334545922</c:v>
                </c:pt>
                <c:pt idx="53">
                  <c:v>54.947557501818878</c:v>
                </c:pt>
                <c:pt idx="54">
                  <c:v>56.076076669091833</c:v>
                </c:pt>
                <c:pt idx="55">
                  <c:v>57.204595836364788</c:v>
                </c:pt>
                <c:pt idx="56">
                  <c:v>58.333115003637744</c:v>
                </c:pt>
                <c:pt idx="57">
                  <c:v>59.461634170910699</c:v>
                </c:pt>
                <c:pt idx="58">
                  <c:v>60.590153338183654</c:v>
                </c:pt>
                <c:pt idx="59">
                  <c:v>61.71867250545661</c:v>
                </c:pt>
                <c:pt idx="60">
                  <c:v>62.847191672729565</c:v>
                </c:pt>
                <c:pt idx="61">
                  <c:v>63.97571084000252</c:v>
                </c:pt>
                <c:pt idx="62">
                  <c:v>65.104230007275476</c:v>
                </c:pt>
                <c:pt idx="63">
                  <c:v>66.232749174548431</c:v>
                </c:pt>
                <c:pt idx="64">
                  <c:v>67.361268341821386</c:v>
                </c:pt>
                <c:pt idx="65">
                  <c:v>68.489787509094342</c:v>
                </c:pt>
                <c:pt idx="66">
                  <c:v>69.618306676367297</c:v>
                </c:pt>
                <c:pt idx="67">
                  <c:v>70.746825843640252</c:v>
                </c:pt>
                <c:pt idx="68">
                  <c:v>71.875345010913207</c:v>
                </c:pt>
                <c:pt idx="69">
                  <c:v>73.003864178186163</c:v>
                </c:pt>
                <c:pt idx="70">
                  <c:v>74.132383345459118</c:v>
                </c:pt>
                <c:pt idx="71">
                  <c:v>75.260902512732073</c:v>
                </c:pt>
                <c:pt idx="72">
                  <c:v>76.389421680005029</c:v>
                </c:pt>
                <c:pt idx="73">
                  <c:v>77.517940847277984</c:v>
                </c:pt>
                <c:pt idx="74">
                  <c:v>78.646460014550939</c:v>
                </c:pt>
                <c:pt idx="75">
                  <c:v>79.774979181823895</c:v>
                </c:pt>
                <c:pt idx="76">
                  <c:v>80.90349834909685</c:v>
                </c:pt>
                <c:pt idx="77">
                  <c:v>82.032017516369805</c:v>
                </c:pt>
                <c:pt idx="78">
                  <c:v>83.160536683642761</c:v>
                </c:pt>
                <c:pt idx="79">
                  <c:v>84.289055850915716</c:v>
                </c:pt>
                <c:pt idx="80">
                  <c:v>85.417575018188671</c:v>
                </c:pt>
                <c:pt idx="81">
                  <c:v>86.546094185461627</c:v>
                </c:pt>
                <c:pt idx="82">
                  <c:v>87.674613352734582</c:v>
                </c:pt>
                <c:pt idx="83">
                  <c:v>88.803132520007537</c:v>
                </c:pt>
                <c:pt idx="84">
                  <c:v>89.931651687280493</c:v>
                </c:pt>
                <c:pt idx="85">
                  <c:v>91.060170854553448</c:v>
                </c:pt>
                <c:pt idx="86">
                  <c:v>92.188690021826403</c:v>
                </c:pt>
                <c:pt idx="87">
                  <c:v>93.317209189099358</c:v>
                </c:pt>
                <c:pt idx="88">
                  <c:v>94.445728356372314</c:v>
                </c:pt>
                <c:pt idx="89">
                  <c:v>95.574247523645269</c:v>
                </c:pt>
                <c:pt idx="90">
                  <c:v>96.702766690918224</c:v>
                </c:pt>
                <c:pt idx="91">
                  <c:v>97.83128585819118</c:v>
                </c:pt>
                <c:pt idx="92">
                  <c:v>98.959805025464135</c:v>
                </c:pt>
                <c:pt idx="93">
                  <c:v>100.08832419273709</c:v>
                </c:pt>
                <c:pt idx="94">
                  <c:v>101.21684336001005</c:v>
                </c:pt>
                <c:pt idx="95">
                  <c:v>102.345362527283</c:v>
                </c:pt>
                <c:pt idx="96">
                  <c:v>103.47388169455596</c:v>
                </c:pt>
                <c:pt idx="97">
                  <c:v>104.60240086182891</c:v>
                </c:pt>
                <c:pt idx="98">
                  <c:v>105.73092002910187</c:v>
                </c:pt>
                <c:pt idx="99">
                  <c:v>106.85943919637482</c:v>
                </c:pt>
                <c:pt idx="100">
                  <c:v>107.98795836364778</c:v>
                </c:pt>
              </c:numCache>
            </c:numRef>
          </c:xVal>
          <c:yVal>
            <c:numRef>
              <c:f>'Plane Stress'!$C$265:$C$365</c:f>
              <c:numCache>
                <c:formatCode>0.000</c:formatCode>
                <c:ptCount val="101"/>
                <c:pt idx="0">
                  <c:v>0</c:v>
                </c:pt>
                <c:pt idx="1">
                  <c:v>11.228623939706138</c:v>
                </c:pt>
                <c:pt idx="2">
                  <c:v>15.799268341821371</c:v>
                </c:pt>
                <c:pt idx="3">
                  <c:v>19.251094869451201</c:v>
                </c:pt>
                <c:pt idx="4">
                  <c:v>22.114368998154504</c:v>
                </c:pt>
                <c:pt idx="5">
                  <c:v>24.595505029957391</c:v>
                </c:pt>
                <c:pt idx="6">
                  <c:v>26.800845287956424</c:v>
                </c:pt>
                <c:pt idx="7">
                  <c:v>28.793829852895367</c:v>
                </c:pt>
                <c:pt idx="8">
                  <c:v>30.615957538907647</c:v>
                </c:pt>
                <c:pt idx="9">
                  <c:v>32.296160196362337</c:v>
                </c:pt>
                <c:pt idx="10">
                  <c:v>33.855575018188603</c:v>
                </c:pt>
                <c:pt idx="11">
                  <c:v>35.310208795382238</c:v>
                </c:pt>
                <c:pt idx="12">
                  <c:v>36.672532221173071</c:v>
                </c:pt>
                <c:pt idx="13">
                  <c:v>37.952487175818391</c:v>
                </c:pt>
                <c:pt idx="14">
                  <c:v>39.158151579543919</c:v>
                </c:pt>
                <c:pt idx="15">
                  <c:v>40.296194316592867</c:v>
                </c:pt>
                <c:pt idx="16">
                  <c:v>41.372196057894726</c:v>
                </c:pt>
                <c:pt idx="17">
                  <c:v>42.390881400170763</c:v>
                </c:pt>
                <c:pt idx="18">
                  <c:v>43.356290594237898</c:v>
                </c:pt>
                <c:pt idx="19">
                  <c:v>44.271909053923295</c:v>
                </c:pt>
                <c:pt idx="20">
                  <c:v>45.140766690918134</c:v>
                </c:pt>
                <c:pt idx="21">
                  <c:v>45.965515254233232</c:v>
                </c:pt>
                <c:pt idx="22">
                  <c:v>46.748489352155403</c:v>
                </c:pt>
                <c:pt idx="23">
                  <c:v>47.491755177169658</c:v>
                </c:pt>
                <c:pt idx="24">
                  <c:v>48.197149831562136</c:v>
                </c:pt>
                <c:pt idx="25">
                  <c:v>48.866313375801894</c:v>
                </c:pt>
                <c:pt idx="26">
                  <c:v>49.500715176412292</c:v>
                </c:pt>
                <c:pt idx="27">
                  <c:v>50.101675740325383</c:v>
                </c:pt>
                <c:pt idx="28">
                  <c:v>50.670384940113877</c:v>
                </c:pt>
                <c:pt idx="29">
                  <c:v>51.207917326797457</c:v>
                </c:pt>
                <c:pt idx="30">
                  <c:v>51.715245072368397</c:v>
                </c:pt>
                <c:pt idx="31">
                  <c:v>52.193248967853293</c:v>
                </c:pt>
                <c:pt idx="32">
                  <c:v>52.642727814235734</c:v>
                </c:pt>
                <c:pt idx="33">
                  <c:v>53.064406475577343</c:v>
                </c:pt>
                <c:pt idx="34">
                  <c:v>53.458942810956103</c:v>
                </c:pt>
                <c:pt idx="35">
                  <c:v>53.826933660603878</c:v>
                </c:pt>
                <c:pt idx="36">
                  <c:v>54.168920029101756</c:v>
                </c:pt>
                <c:pt idx="37">
                  <c:v>54.485391582639721</c:v>
                </c:pt>
                <c:pt idx="38">
                  <c:v>54.776790556641309</c:v>
                </c:pt>
                <c:pt idx="39">
                  <c:v>55.043515153348487</c:v>
                </c:pt>
                <c:pt idx="40">
                  <c:v>55.285922495386252</c:v>
                </c:pt>
                <c:pt idx="41">
                  <c:v>55.504331190214359</c:v>
                </c:pt>
                <c:pt idx="42">
                  <c:v>55.699023551210878</c:v>
                </c:pt>
                <c:pt idx="43">
                  <c:v>55.87024751351904</c:v>
                </c:pt>
                <c:pt idx="44">
                  <c:v>56.01821827641087</c:v>
                </c:pt>
                <c:pt idx="45">
                  <c:v>56.14311969853064</c:v>
                </c:pt>
                <c:pt idx="46">
                  <c:v>56.245105467779695</c:v>
                </c:pt>
                <c:pt idx="47">
                  <c:v>56.324300063631313</c:v>
                </c:pt>
                <c:pt idx="48">
                  <c:v>56.380799526190572</c:v>
                </c:pt>
                <c:pt idx="49">
                  <c:v>56.414672043230013</c:v>
                </c:pt>
                <c:pt idx="50">
                  <c:v>56.425958363647666</c:v>
                </c:pt>
                <c:pt idx="51">
                  <c:v>56.414672043230013</c:v>
                </c:pt>
                <c:pt idx="52">
                  <c:v>56.380799526190565</c:v>
                </c:pt>
                <c:pt idx="53">
                  <c:v>56.324300063631313</c:v>
                </c:pt>
                <c:pt idx="54">
                  <c:v>56.245105467779695</c:v>
                </c:pt>
                <c:pt idx="55">
                  <c:v>56.14311969853064</c:v>
                </c:pt>
                <c:pt idx="56">
                  <c:v>56.018218276410863</c:v>
                </c:pt>
                <c:pt idx="57">
                  <c:v>55.87024751351904</c:v>
                </c:pt>
                <c:pt idx="58">
                  <c:v>55.699023551210871</c:v>
                </c:pt>
                <c:pt idx="59">
                  <c:v>55.504331190214351</c:v>
                </c:pt>
                <c:pt idx="60">
                  <c:v>55.285922495386252</c:v>
                </c:pt>
                <c:pt idx="61">
                  <c:v>55.04351515334848</c:v>
                </c:pt>
                <c:pt idx="62">
                  <c:v>54.776790556641302</c:v>
                </c:pt>
                <c:pt idx="63">
                  <c:v>54.485391582639714</c:v>
                </c:pt>
                <c:pt idx="64">
                  <c:v>54.168920029101749</c:v>
                </c:pt>
                <c:pt idx="65">
                  <c:v>53.826933660603871</c:v>
                </c:pt>
                <c:pt idx="66">
                  <c:v>53.458942810956088</c:v>
                </c:pt>
                <c:pt idx="67">
                  <c:v>53.064406475577329</c:v>
                </c:pt>
                <c:pt idx="68">
                  <c:v>52.642727814235727</c:v>
                </c:pt>
                <c:pt idx="69">
                  <c:v>52.193248967853279</c:v>
                </c:pt>
                <c:pt idx="70">
                  <c:v>51.715245072368376</c:v>
                </c:pt>
                <c:pt idx="71">
                  <c:v>51.207917326797435</c:v>
                </c:pt>
                <c:pt idx="72">
                  <c:v>50.670384940113848</c:v>
                </c:pt>
                <c:pt idx="73">
                  <c:v>50.101675740325355</c:v>
                </c:pt>
                <c:pt idx="74">
                  <c:v>49.500715176412264</c:v>
                </c:pt>
                <c:pt idx="75">
                  <c:v>48.866313375801859</c:v>
                </c:pt>
                <c:pt idx="76">
                  <c:v>48.197149831562101</c:v>
                </c:pt>
                <c:pt idx="77">
                  <c:v>47.491755177169622</c:v>
                </c:pt>
                <c:pt idx="78">
                  <c:v>46.74848935215536</c:v>
                </c:pt>
                <c:pt idx="79">
                  <c:v>45.965515254233182</c:v>
                </c:pt>
                <c:pt idx="80">
                  <c:v>45.140766690918078</c:v>
                </c:pt>
                <c:pt idx="81">
                  <c:v>44.271909053923231</c:v>
                </c:pt>
                <c:pt idx="82">
                  <c:v>43.356290594237834</c:v>
                </c:pt>
                <c:pt idx="83">
                  <c:v>42.390881400170684</c:v>
                </c:pt>
                <c:pt idx="84">
                  <c:v>41.372196057894648</c:v>
                </c:pt>
                <c:pt idx="85">
                  <c:v>40.296194316592782</c:v>
                </c:pt>
                <c:pt idx="86">
                  <c:v>39.158151579543826</c:v>
                </c:pt>
                <c:pt idx="87">
                  <c:v>37.952487175818298</c:v>
                </c:pt>
                <c:pt idx="88">
                  <c:v>36.672532221172965</c:v>
                </c:pt>
                <c:pt idx="89">
                  <c:v>35.310208795382124</c:v>
                </c:pt>
                <c:pt idx="90">
                  <c:v>33.855575018188475</c:v>
                </c:pt>
                <c:pt idx="91">
                  <c:v>32.296160196362194</c:v>
                </c:pt>
                <c:pt idx="92">
                  <c:v>30.615957538907494</c:v>
                </c:pt>
                <c:pt idx="93">
                  <c:v>28.7938298528952</c:v>
                </c:pt>
                <c:pt idx="94">
                  <c:v>26.800845287956239</c:v>
                </c:pt>
                <c:pt idx="95">
                  <c:v>24.59550502995717</c:v>
                </c:pt>
                <c:pt idx="96">
                  <c:v>22.114368998154259</c:v>
                </c:pt>
                <c:pt idx="97">
                  <c:v>19.251094869450906</c:v>
                </c:pt>
                <c:pt idx="98">
                  <c:v>15.799268341820982</c:v>
                </c:pt>
                <c:pt idx="99">
                  <c:v>11.22862393970559</c:v>
                </c:pt>
                <c:pt idx="100">
                  <c:v>0</c:v>
                </c:pt>
              </c:numCache>
            </c:numRef>
          </c:yVal>
          <c:smooth val="1"/>
          <c:extLst>
            <c:ext xmlns:c16="http://schemas.microsoft.com/office/drawing/2014/chart" uri="{C3380CC4-5D6E-409C-BE32-E72D297353CC}">
              <c16:uniqueId val="{00000000-AD16-442D-A606-4F7FE4B35336}"/>
            </c:ext>
          </c:extLst>
        </c:ser>
        <c:ser>
          <c:idx val="1"/>
          <c:order val="1"/>
          <c:tx>
            <c:strRef>
              <c:f>'Plane Stress'!$D$264</c:f>
              <c:strCache>
                <c:ptCount val="1"/>
                <c:pt idx="0">
                  <c:v>Tau&lt;0 (Bottom Arc)</c:v>
                </c:pt>
              </c:strCache>
            </c:strRef>
          </c:tx>
          <c:spPr>
            <a:ln w="19050" cap="rnd">
              <a:solidFill>
                <a:schemeClr val="accent1"/>
              </a:solidFill>
              <a:round/>
            </a:ln>
            <a:effectLst/>
          </c:spPr>
          <c:marker>
            <c:symbol val="none"/>
          </c:marker>
          <c:dPt>
            <c:idx val="0"/>
            <c:marker>
              <c:symbol val="circle"/>
              <c:size val="5"/>
              <c:spPr>
                <a:solidFill>
                  <a:schemeClr val="bg1"/>
                </a:solidFill>
                <a:ln w="9525">
                  <a:solidFill>
                    <a:schemeClr val="tx1"/>
                  </a:solidFill>
                </a:ln>
                <a:effectLst/>
              </c:spPr>
            </c:marker>
            <c:bubble3D val="0"/>
            <c:extLst>
              <c:ext xmlns:c16="http://schemas.microsoft.com/office/drawing/2014/chart" uri="{C3380CC4-5D6E-409C-BE32-E72D297353CC}">
                <c16:uniqueId val="{00000001-AD16-442D-A606-4F7FE4B35336}"/>
              </c:ext>
            </c:extLst>
          </c:dPt>
          <c:dPt>
            <c:idx val="100"/>
            <c:marker>
              <c:symbol val="circle"/>
              <c:size val="5"/>
              <c:spPr>
                <a:solidFill>
                  <a:schemeClr val="bg1"/>
                </a:solidFill>
                <a:ln w="9525">
                  <a:solidFill>
                    <a:schemeClr val="tx1"/>
                  </a:solidFill>
                </a:ln>
                <a:effectLst/>
              </c:spPr>
            </c:marker>
            <c:bubble3D val="0"/>
            <c:extLst>
              <c:ext xmlns:c16="http://schemas.microsoft.com/office/drawing/2014/chart" uri="{C3380CC4-5D6E-409C-BE32-E72D297353CC}">
                <c16:uniqueId val="{00000002-AD16-442D-A606-4F7FE4B35336}"/>
              </c:ext>
            </c:extLst>
          </c:dPt>
          <c:dLbls>
            <c:dLbl>
              <c:idx val="0"/>
              <c:layout>
                <c:manualLayout>
                  <c:x val="4.3960244648318027E-2"/>
                  <c:y val="-0.1082543978349121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16-442D-A606-4F7FE4B35336}"/>
                </c:ext>
              </c:extLst>
            </c:dLbl>
            <c:dLbl>
              <c:idx val="50"/>
              <c:layout>
                <c:manualLayout>
                  <c:x val="1.5553611354136288E-2"/>
                  <c:y val="6.389776357827471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D16-442D-A606-4F7FE4B35336}"/>
                </c:ext>
              </c:extLst>
            </c:dLbl>
            <c:dLbl>
              <c:idx val="100"/>
              <c:layout>
                <c:manualLayout>
                  <c:x val="-0.16246177370030582"/>
                  <c:y val="-6.7658998646820109E-2"/>
                </c:manualLayout>
              </c:layout>
              <c:tx>
                <c:rich>
                  <a:bodyPr/>
                  <a:lstStyle/>
                  <a:p>
                    <a:fld id="{1424C191-746D-42F3-B161-5DE594876C93}" type="XVALUE">
                      <a:rPr lang="el-GR"/>
                      <a:pPr/>
                      <a:t>[X VALUE]</a:t>
                    </a:fld>
                    <a:r>
                      <a:rPr lang="el-GR" baseline="0"/>
                      <a:t>, </a:t>
                    </a:r>
                    <a:fld id="{DDC64EC2-2B5C-4CB5-B11A-3BE3484315CA}" type="YVALUE">
                      <a:rPr lang="el-GR" baseline="0"/>
                      <a:pPr/>
                      <a:t>[Y VALUE]</a:t>
                    </a:fld>
                    <a:fld id="{3E1EB7F0-5EBE-46F9-8368-E4571E318430}" type="CELLREF">
                      <a:rPr lang="en-US" baseline="0"/>
                      <a:pPr/>
                      <a:t>[CELLREF]</a:t>
                    </a:fld>
                    <a:endParaRPr lang="el-GR"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{3E1EB7F0-5EBE-46F9-8368-E4571E318430}</c15:txfldGUID>
                      <c15:f>'Plane Stress'!$B$21</c15:f>
                      <c15:dlblFieldTableCache>
                        <c:ptCount val="1"/>
                        <c:pt idx="0">
                          <c:v>σmax</c:v>
                        </c:pt>
                      </c15:dlblFieldTableCache>
                    </c15:dlblFTEntry>
                  </c15:dlblFieldTable>
                  <c15:showDataLabelsRange val="0"/>
                </c:ext>
                <c:ext xmlns:c16="http://schemas.microsoft.com/office/drawing/2014/chart" uri="{C3380CC4-5D6E-409C-BE32-E72D297353CC}">
                  <c16:uniqueId val="{00000002-AD16-442D-A606-4F7FE4B35336}"/>
                </c:ext>
              </c:extLst>
            </c:dLbl>
            <c:numFmt formatCode="#,##0.00" sourceLinked="0"/>
            <c:spPr>
              <a:noFill/>
              <a:ln>
                <a:solidFill>
                  <a:schemeClr val="tx1"/>
                </a:solidFill>
                <a:prstDash val="sysDot"/>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'Plane Stress'!$B$265:$B$365</c:f>
              <c:numCache>
                <c:formatCode>0.000</c:formatCode>
                <c:ptCount val="101"/>
                <c:pt idx="0">
                  <c:v>-4.8639583636476686</c:v>
                </c:pt>
                <c:pt idx="1">
                  <c:v>-3.7354391963747151</c:v>
                </c:pt>
                <c:pt idx="2">
                  <c:v>-2.6069200291017616</c:v>
                </c:pt>
                <c:pt idx="3">
                  <c:v>-1.4784008618288083</c:v>
                </c:pt>
                <c:pt idx="4">
                  <c:v>-0.34988169455585494</c:v>
                </c:pt>
                <c:pt idx="5">
                  <c:v>0.77863747271709838</c:v>
                </c:pt>
                <c:pt idx="6">
                  <c:v>1.9071566399900517</c:v>
                </c:pt>
                <c:pt idx="7">
                  <c:v>3.0356758072630052</c:v>
                </c:pt>
                <c:pt idx="8">
                  <c:v>4.1641949745359588</c:v>
                </c:pt>
                <c:pt idx="9">
                  <c:v>5.2927141418089123</c:v>
                </c:pt>
                <c:pt idx="10">
                  <c:v>6.4212333090818658</c:v>
                </c:pt>
                <c:pt idx="11">
                  <c:v>7.5497524763548194</c:v>
                </c:pt>
                <c:pt idx="12">
                  <c:v>8.678271643627772</c:v>
                </c:pt>
                <c:pt idx="13">
                  <c:v>9.8067908109007256</c:v>
                </c:pt>
                <c:pt idx="14">
                  <c:v>10.935309978173679</c:v>
                </c:pt>
                <c:pt idx="15">
                  <c:v>12.063829145446633</c:v>
                </c:pt>
                <c:pt idx="16">
                  <c:v>13.192348312719586</c:v>
                </c:pt>
                <c:pt idx="17">
                  <c:v>14.32086747999254</c:v>
                </c:pt>
                <c:pt idx="18">
                  <c:v>15.449386647265493</c:v>
                </c:pt>
                <c:pt idx="19">
                  <c:v>16.577905814538447</c:v>
                </c:pt>
                <c:pt idx="20">
                  <c:v>17.706424981811399</c:v>
                </c:pt>
                <c:pt idx="21">
                  <c:v>18.83494414908435</c:v>
                </c:pt>
                <c:pt idx="22">
                  <c:v>19.963463316357302</c:v>
                </c:pt>
                <c:pt idx="23">
                  <c:v>21.091982483630254</c:v>
                </c:pt>
                <c:pt idx="24">
                  <c:v>22.220501650903206</c:v>
                </c:pt>
                <c:pt idx="25">
                  <c:v>23.349020818176157</c:v>
                </c:pt>
                <c:pt idx="26">
                  <c:v>24.477539985449109</c:v>
                </c:pt>
                <c:pt idx="27">
                  <c:v>25.606059152722061</c:v>
                </c:pt>
                <c:pt idx="28">
                  <c:v>26.734578319995013</c:v>
                </c:pt>
                <c:pt idx="29">
                  <c:v>27.863097487267964</c:v>
                </c:pt>
                <c:pt idx="30">
                  <c:v>28.991616654540916</c:v>
                </c:pt>
                <c:pt idx="31">
                  <c:v>30.120135821813868</c:v>
                </c:pt>
                <c:pt idx="32">
                  <c:v>31.24865498908682</c:v>
                </c:pt>
                <c:pt idx="33">
                  <c:v>32.377174156359771</c:v>
                </c:pt>
                <c:pt idx="34">
                  <c:v>33.505693323632727</c:v>
                </c:pt>
                <c:pt idx="35">
                  <c:v>34.634212490905682</c:v>
                </c:pt>
                <c:pt idx="36">
                  <c:v>35.762731658178637</c:v>
                </c:pt>
                <c:pt idx="37">
                  <c:v>36.891250825451593</c:v>
                </c:pt>
                <c:pt idx="38">
                  <c:v>38.019769992724548</c:v>
                </c:pt>
                <c:pt idx="39">
                  <c:v>39.148289159997503</c:v>
                </c:pt>
                <c:pt idx="40">
                  <c:v>40.276808327270459</c:v>
                </c:pt>
                <c:pt idx="41">
                  <c:v>41.405327494543414</c:v>
                </c:pt>
                <c:pt idx="42">
                  <c:v>42.533846661816369</c:v>
                </c:pt>
                <c:pt idx="43">
                  <c:v>43.662365829089325</c:v>
                </c:pt>
                <c:pt idx="44">
                  <c:v>44.79088499636228</c:v>
                </c:pt>
                <c:pt idx="45">
                  <c:v>45.919404163635235</c:v>
                </c:pt>
                <c:pt idx="46">
                  <c:v>47.047923330908191</c:v>
                </c:pt>
                <c:pt idx="47">
                  <c:v>48.176442498181146</c:v>
                </c:pt>
                <c:pt idx="48">
                  <c:v>49.304961665454101</c:v>
                </c:pt>
                <c:pt idx="49">
                  <c:v>50.433480832727057</c:v>
                </c:pt>
                <c:pt idx="50">
                  <c:v>51.562000000000012</c:v>
                </c:pt>
                <c:pt idx="51">
                  <c:v>52.690519167272967</c:v>
                </c:pt>
                <c:pt idx="52">
                  <c:v>53.819038334545922</c:v>
                </c:pt>
                <c:pt idx="53">
                  <c:v>54.947557501818878</c:v>
                </c:pt>
                <c:pt idx="54">
                  <c:v>56.076076669091833</c:v>
                </c:pt>
                <c:pt idx="55">
                  <c:v>57.204595836364788</c:v>
                </c:pt>
                <c:pt idx="56">
                  <c:v>58.333115003637744</c:v>
                </c:pt>
                <c:pt idx="57">
                  <c:v>59.461634170910699</c:v>
                </c:pt>
                <c:pt idx="58">
                  <c:v>60.590153338183654</c:v>
                </c:pt>
                <c:pt idx="59">
                  <c:v>61.71867250545661</c:v>
                </c:pt>
                <c:pt idx="60">
                  <c:v>62.847191672729565</c:v>
                </c:pt>
                <c:pt idx="61">
                  <c:v>63.97571084000252</c:v>
                </c:pt>
                <c:pt idx="62">
                  <c:v>65.104230007275476</c:v>
                </c:pt>
                <c:pt idx="63">
                  <c:v>66.232749174548431</c:v>
                </c:pt>
                <c:pt idx="64">
                  <c:v>67.361268341821386</c:v>
                </c:pt>
                <c:pt idx="65">
                  <c:v>68.489787509094342</c:v>
                </c:pt>
                <c:pt idx="66">
                  <c:v>69.618306676367297</c:v>
                </c:pt>
                <c:pt idx="67">
                  <c:v>70.746825843640252</c:v>
                </c:pt>
                <c:pt idx="68">
                  <c:v>71.875345010913207</c:v>
                </c:pt>
                <c:pt idx="69">
                  <c:v>73.003864178186163</c:v>
                </c:pt>
                <c:pt idx="70">
                  <c:v>74.132383345459118</c:v>
                </c:pt>
                <c:pt idx="71">
                  <c:v>75.260902512732073</c:v>
                </c:pt>
                <c:pt idx="72">
                  <c:v>76.389421680005029</c:v>
                </c:pt>
                <c:pt idx="73">
                  <c:v>77.517940847277984</c:v>
                </c:pt>
                <c:pt idx="74">
                  <c:v>78.646460014550939</c:v>
                </c:pt>
                <c:pt idx="75">
                  <c:v>79.774979181823895</c:v>
                </c:pt>
                <c:pt idx="76">
                  <c:v>80.90349834909685</c:v>
                </c:pt>
                <c:pt idx="77">
                  <c:v>82.032017516369805</c:v>
                </c:pt>
                <c:pt idx="78">
                  <c:v>83.160536683642761</c:v>
                </c:pt>
                <c:pt idx="79">
                  <c:v>84.289055850915716</c:v>
                </c:pt>
                <c:pt idx="80">
                  <c:v>85.417575018188671</c:v>
                </c:pt>
                <c:pt idx="81">
                  <c:v>86.546094185461627</c:v>
                </c:pt>
                <c:pt idx="82">
                  <c:v>87.674613352734582</c:v>
                </c:pt>
                <c:pt idx="83">
                  <c:v>88.803132520007537</c:v>
                </c:pt>
                <c:pt idx="84">
                  <c:v>89.931651687280493</c:v>
                </c:pt>
                <c:pt idx="85">
                  <c:v>91.060170854553448</c:v>
                </c:pt>
                <c:pt idx="86">
                  <c:v>92.188690021826403</c:v>
                </c:pt>
                <c:pt idx="87">
                  <c:v>93.317209189099358</c:v>
                </c:pt>
                <c:pt idx="88">
                  <c:v>94.445728356372314</c:v>
                </c:pt>
                <c:pt idx="89">
                  <c:v>95.574247523645269</c:v>
                </c:pt>
                <c:pt idx="90">
                  <c:v>96.702766690918224</c:v>
                </c:pt>
                <c:pt idx="91">
                  <c:v>97.83128585819118</c:v>
                </c:pt>
                <c:pt idx="92">
                  <c:v>98.959805025464135</c:v>
                </c:pt>
                <c:pt idx="93">
                  <c:v>100.08832419273709</c:v>
                </c:pt>
                <c:pt idx="94">
                  <c:v>101.21684336001005</c:v>
                </c:pt>
                <c:pt idx="95">
                  <c:v>102.345362527283</c:v>
                </c:pt>
                <c:pt idx="96">
                  <c:v>103.47388169455596</c:v>
                </c:pt>
                <c:pt idx="97">
                  <c:v>104.60240086182891</c:v>
                </c:pt>
                <c:pt idx="98">
                  <c:v>105.73092002910187</c:v>
                </c:pt>
                <c:pt idx="99">
                  <c:v>106.85943919637482</c:v>
                </c:pt>
                <c:pt idx="100">
                  <c:v>107.98795836364778</c:v>
                </c:pt>
              </c:numCache>
            </c:numRef>
          </c:xVal>
          <c:yVal>
            <c:numRef>
              <c:f>'Plane Stress'!$D$265:$D$365</c:f>
              <c:numCache>
                <c:formatCode>0.000</c:formatCode>
                <c:ptCount val="101"/>
                <c:pt idx="0">
                  <c:v>0</c:v>
                </c:pt>
                <c:pt idx="1">
                  <c:v>-11.228623939706138</c:v>
                </c:pt>
                <c:pt idx="2">
                  <c:v>-15.799268341821371</c:v>
                </c:pt>
                <c:pt idx="3">
                  <c:v>-19.251094869451201</c:v>
                </c:pt>
                <c:pt idx="4">
                  <c:v>-22.114368998154504</c:v>
                </c:pt>
                <c:pt idx="5">
                  <c:v>-24.595505029957391</c:v>
                </c:pt>
                <c:pt idx="6">
                  <c:v>-26.800845287956424</c:v>
                </c:pt>
                <c:pt idx="7">
                  <c:v>-28.793829852895367</c:v>
                </c:pt>
                <c:pt idx="8">
                  <c:v>-30.615957538907647</c:v>
                </c:pt>
                <c:pt idx="9">
                  <c:v>-32.296160196362337</c:v>
                </c:pt>
                <c:pt idx="10">
                  <c:v>-33.855575018188603</c:v>
                </c:pt>
                <c:pt idx="11">
                  <c:v>-35.310208795382238</c:v>
                </c:pt>
                <c:pt idx="12">
                  <c:v>-36.672532221173071</c:v>
                </c:pt>
                <c:pt idx="13">
                  <c:v>-37.952487175818391</c:v>
                </c:pt>
                <c:pt idx="14">
                  <c:v>-39.158151579543919</c:v>
                </c:pt>
                <c:pt idx="15">
                  <c:v>-40.296194316592867</c:v>
                </c:pt>
                <c:pt idx="16">
                  <c:v>-41.372196057894726</c:v>
                </c:pt>
                <c:pt idx="17">
                  <c:v>-42.390881400170763</c:v>
                </c:pt>
                <c:pt idx="18">
                  <c:v>-43.356290594237898</c:v>
                </c:pt>
                <c:pt idx="19">
                  <c:v>-44.271909053923295</c:v>
                </c:pt>
                <c:pt idx="20">
                  <c:v>-45.140766690918134</c:v>
                </c:pt>
                <c:pt idx="21">
                  <c:v>-45.965515254233232</c:v>
                </c:pt>
                <c:pt idx="22">
                  <c:v>-46.748489352155403</c:v>
                </c:pt>
                <c:pt idx="23">
                  <c:v>-47.491755177169658</c:v>
                </c:pt>
                <c:pt idx="24">
                  <c:v>-48.197149831562136</c:v>
                </c:pt>
                <c:pt idx="25">
                  <c:v>-48.866313375801894</c:v>
                </c:pt>
                <c:pt idx="26">
                  <c:v>-49.500715176412292</c:v>
                </c:pt>
                <c:pt idx="27">
                  <c:v>-50.101675740325383</c:v>
                </c:pt>
                <c:pt idx="28">
                  <c:v>-50.670384940113877</c:v>
                </c:pt>
                <c:pt idx="29">
                  <c:v>-51.207917326797457</c:v>
                </c:pt>
                <c:pt idx="30">
                  <c:v>-51.715245072368397</c:v>
                </c:pt>
                <c:pt idx="31">
                  <c:v>-52.193248967853293</c:v>
                </c:pt>
                <c:pt idx="32">
                  <c:v>-52.642727814235734</c:v>
                </c:pt>
                <c:pt idx="33">
                  <c:v>-53.064406475577343</c:v>
                </c:pt>
                <c:pt idx="34">
                  <c:v>-53.458942810956103</c:v>
                </c:pt>
                <c:pt idx="35">
                  <c:v>-53.826933660603878</c:v>
                </c:pt>
                <c:pt idx="36">
                  <c:v>-54.168920029101756</c:v>
                </c:pt>
                <c:pt idx="37">
                  <c:v>-54.485391582639721</c:v>
                </c:pt>
                <c:pt idx="38">
                  <c:v>-54.776790556641309</c:v>
                </c:pt>
                <c:pt idx="39">
                  <c:v>-55.043515153348487</c:v>
                </c:pt>
                <c:pt idx="40">
                  <c:v>-55.285922495386252</c:v>
                </c:pt>
                <c:pt idx="41">
                  <c:v>-55.504331190214359</c:v>
                </c:pt>
                <c:pt idx="42">
                  <c:v>-55.699023551210878</c:v>
                </c:pt>
                <c:pt idx="43">
                  <c:v>-55.87024751351904</c:v>
                </c:pt>
                <c:pt idx="44">
                  <c:v>-56.01821827641087</c:v>
                </c:pt>
                <c:pt idx="45">
                  <c:v>-56.14311969853064</c:v>
                </c:pt>
                <c:pt idx="46">
                  <c:v>-56.245105467779695</c:v>
                </c:pt>
                <c:pt idx="47">
                  <c:v>-56.324300063631313</c:v>
                </c:pt>
                <c:pt idx="48">
                  <c:v>-56.380799526190572</c:v>
                </c:pt>
                <c:pt idx="49">
                  <c:v>-56.414672043230013</c:v>
                </c:pt>
                <c:pt idx="50">
                  <c:v>-56.425958363647666</c:v>
                </c:pt>
                <c:pt idx="51">
                  <c:v>-56.414672043230013</c:v>
                </c:pt>
                <c:pt idx="52">
                  <c:v>-56.380799526190565</c:v>
                </c:pt>
                <c:pt idx="53">
                  <c:v>-56.324300063631313</c:v>
                </c:pt>
                <c:pt idx="54">
                  <c:v>-56.245105467779695</c:v>
                </c:pt>
                <c:pt idx="55">
                  <c:v>-56.14311969853064</c:v>
                </c:pt>
                <c:pt idx="56">
                  <c:v>-56.018218276410863</c:v>
                </c:pt>
                <c:pt idx="57">
                  <c:v>-55.87024751351904</c:v>
                </c:pt>
                <c:pt idx="58">
                  <c:v>-55.699023551210871</c:v>
                </c:pt>
                <c:pt idx="59">
                  <c:v>-55.504331190214351</c:v>
                </c:pt>
                <c:pt idx="60">
                  <c:v>-55.285922495386252</c:v>
                </c:pt>
                <c:pt idx="61">
                  <c:v>-55.04351515334848</c:v>
                </c:pt>
                <c:pt idx="62">
                  <c:v>-54.776790556641302</c:v>
                </c:pt>
                <c:pt idx="63">
                  <c:v>-54.485391582639714</c:v>
                </c:pt>
                <c:pt idx="64">
                  <c:v>-54.168920029101749</c:v>
                </c:pt>
                <c:pt idx="65">
                  <c:v>-53.826933660603871</c:v>
                </c:pt>
                <c:pt idx="66">
                  <c:v>-53.458942810956088</c:v>
                </c:pt>
                <c:pt idx="67">
                  <c:v>-53.064406475577329</c:v>
                </c:pt>
                <c:pt idx="68">
                  <c:v>-52.642727814235727</c:v>
                </c:pt>
                <c:pt idx="69">
                  <c:v>-52.193248967853279</c:v>
                </c:pt>
                <c:pt idx="70">
                  <c:v>-51.715245072368376</c:v>
                </c:pt>
                <c:pt idx="71">
                  <c:v>-51.207917326797435</c:v>
                </c:pt>
                <c:pt idx="72">
                  <c:v>-50.670384940113848</c:v>
                </c:pt>
                <c:pt idx="73">
                  <c:v>-50.101675740325355</c:v>
                </c:pt>
                <c:pt idx="74">
                  <c:v>-49.500715176412264</c:v>
                </c:pt>
                <c:pt idx="75">
                  <c:v>-48.866313375801859</c:v>
                </c:pt>
                <c:pt idx="76">
                  <c:v>-48.197149831562101</c:v>
                </c:pt>
                <c:pt idx="77">
                  <c:v>-47.491755177169622</c:v>
                </c:pt>
                <c:pt idx="78">
                  <c:v>-46.74848935215536</c:v>
                </c:pt>
                <c:pt idx="79">
                  <c:v>-45.965515254233182</c:v>
                </c:pt>
                <c:pt idx="80">
                  <c:v>-45.140766690918078</c:v>
                </c:pt>
                <c:pt idx="81">
                  <c:v>-44.271909053923231</c:v>
                </c:pt>
                <c:pt idx="82">
                  <c:v>-43.356290594237834</c:v>
                </c:pt>
                <c:pt idx="83">
                  <c:v>-42.390881400170684</c:v>
                </c:pt>
                <c:pt idx="84">
                  <c:v>-41.372196057894648</c:v>
                </c:pt>
                <c:pt idx="85">
                  <c:v>-40.296194316592782</c:v>
                </c:pt>
                <c:pt idx="86">
                  <c:v>-39.158151579543826</c:v>
                </c:pt>
                <c:pt idx="87">
                  <c:v>-37.952487175818298</c:v>
                </c:pt>
                <c:pt idx="88">
                  <c:v>-36.672532221172965</c:v>
                </c:pt>
                <c:pt idx="89">
                  <c:v>-35.310208795382124</c:v>
                </c:pt>
                <c:pt idx="90">
                  <c:v>-33.855575018188475</c:v>
                </c:pt>
                <c:pt idx="91">
                  <c:v>-32.296160196362194</c:v>
                </c:pt>
                <c:pt idx="92">
                  <c:v>-30.615957538907494</c:v>
                </c:pt>
                <c:pt idx="93">
                  <c:v>-28.7938298528952</c:v>
                </c:pt>
                <c:pt idx="94">
                  <c:v>-26.800845287956239</c:v>
                </c:pt>
                <c:pt idx="95">
                  <c:v>-24.59550502995717</c:v>
                </c:pt>
                <c:pt idx="96">
                  <c:v>-22.114368998154259</c:v>
                </c:pt>
                <c:pt idx="97">
                  <c:v>-19.251094869450906</c:v>
                </c:pt>
                <c:pt idx="98">
                  <c:v>-15.799268341820982</c:v>
                </c:pt>
                <c:pt idx="99">
                  <c:v>-11.22862393970559</c:v>
                </c:pt>
                <c:pt idx="100">
                  <c:v>0</c:v>
                </c:pt>
              </c:numCache>
            </c:numRef>
          </c:yVal>
          <c:smooth val="1"/>
          <c:extLst>
            <c:ext xmlns:c16="http://schemas.microsoft.com/office/drawing/2014/chart" uri="{C3380CC4-5D6E-409C-BE32-E72D297353CC}">
              <c16:uniqueId val="{00000004-AD16-442D-A606-4F7FE4B35336}"/>
            </c:ext>
          </c:extLst>
        </c:ser>
        <c:ser>
          <c:idx val="2"/>
          <c:order val="2"/>
          <c:tx>
            <c:v>Initial State Line</c:v>
          </c:tx>
          <c:spPr>
            <a:ln w="19050" cap="rnd">
              <a:solidFill>
                <a:schemeClr val="accent3"/>
              </a:solidFill>
              <a:round/>
            </a:ln>
            <a:effectLst/>
          </c:spPr>
          <c:marker>
            <c:symbol val="none"/>
          </c:marker>
          <c:dPt>
            <c:idx val="0"/>
            <c:marker>
              <c:symbol val="circle"/>
              <c:size val="5"/>
              <c:spPr>
                <a:solidFill>
                  <a:schemeClr val="accent2"/>
                </a:solidFill>
                <a:ln w="19050">
                  <a:solidFill>
                    <a:schemeClr val="tx1"/>
                  </a:solidFill>
                </a:ln>
                <a:effectLst/>
              </c:spPr>
            </c:marker>
            <c:bubble3D val="0"/>
            <c:extLst>
              <c:ext xmlns:c16="http://schemas.microsoft.com/office/drawing/2014/chart" uri="{C3380CC4-5D6E-409C-BE32-E72D297353CC}">
                <c16:uniqueId val="{00000005-AD16-442D-A606-4F7FE4B35336}"/>
              </c:ext>
            </c:extLst>
          </c:dPt>
          <c:dPt>
            <c:idx val="1"/>
            <c:marker>
              <c:symbol val="circle"/>
              <c:size val="5"/>
              <c:spPr>
                <a:solidFill>
                  <a:schemeClr val="accent2"/>
                </a:solidFill>
                <a:ln w="9525">
                  <a:solidFill>
                    <a:schemeClr val="tx1"/>
                  </a:solidFill>
                </a:ln>
                <a:effectLst/>
              </c:spPr>
            </c:marker>
            <c:bubble3D val="0"/>
            <c:spPr>
              <a:ln w="19050" cap="rnd">
                <a:solidFill>
                  <a:schemeClr val="accent2"/>
                </a:solidFill>
                <a:round/>
              </a:ln>
              <a:effectLst/>
            </c:spPr>
            <c:extLst>
              <c:ext xmlns:c16="http://schemas.microsoft.com/office/drawing/2014/chart" uri="{C3380CC4-5D6E-409C-BE32-E72D297353CC}">
                <c16:uniqueId val="{00000007-AD16-442D-A606-4F7FE4B35336}"/>
              </c:ext>
            </c:extLst>
          </c:dPt>
          <c:dPt>
            <c:idx val="2"/>
            <c:marker>
              <c:symbol val="circle"/>
              <c:size val="5"/>
              <c:spPr>
                <a:solidFill>
                  <a:srgbClr val="FF0000"/>
                </a:solidFill>
                <a:ln w="9525">
                  <a:solidFill>
                    <a:schemeClr val="tx1"/>
                  </a:solidFill>
                </a:ln>
                <a:effectLst/>
              </c:spPr>
            </c:marker>
            <c:bubble3D val="0"/>
            <c:spPr>
              <a:ln w="19050" cap="rnd">
                <a:solidFill>
                  <a:schemeClr val="accent2"/>
                </a:solidFill>
                <a:round/>
              </a:ln>
              <a:effectLst/>
            </c:spPr>
            <c:extLst>
              <c:ext xmlns:c16="http://schemas.microsoft.com/office/drawing/2014/chart" uri="{C3380CC4-5D6E-409C-BE32-E72D297353CC}">
                <c16:uniqueId val="{00000009-AD16-442D-A606-4F7FE4B35336}"/>
              </c:ext>
            </c:extLst>
          </c:dPt>
          <c:dLbls>
            <c:dLbl>
              <c:idx val="0"/>
              <c:layout>
                <c:manualLayout>
                  <c:x val="5.1988864471556102E-2"/>
                  <c:y val="-0.19206040938173463"/>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16-442D-A606-4F7FE4B35336}"/>
                </c:ext>
              </c:extLst>
            </c:dLbl>
            <c:dLbl>
              <c:idx val="1"/>
              <c:layout>
                <c:manualLayout>
                  <c:x val="2.7006880733944885E-2"/>
                  <c:y val="-6.4259178360485725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16-442D-A606-4F7FE4B35336}"/>
                </c:ext>
              </c:extLst>
            </c:dLbl>
            <c:dLbl>
              <c:idx val="2"/>
              <c:layout>
                <c:manualLayout>
                  <c:x val="-0.29560833995521207"/>
                  <c:y val="-6.651447831537972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D16-442D-A606-4F7FE4B35336}"/>
                </c:ext>
              </c:extLst>
            </c:dLbl>
            <c:numFmt formatCode="#,##0.00" sourceLinked="0"/>
            <c:spPr>
              <a:noFill/>
              <a:ln>
                <a:solidFill>
                  <a:schemeClr val="tx1"/>
                </a:solidFill>
                <a:prstDash val="sysDot"/>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'Plane Stress'!$C$260:$C$262</c:f>
              <c:numCache>
                <c:formatCode>General</c:formatCode>
                <c:ptCount val="3"/>
                <c:pt idx="0">
                  <c:v>103.124</c:v>
                </c:pt>
                <c:pt idx="1">
                  <c:v>51.561999999999998</c:v>
                </c:pt>
                <c:pt idx="2">
                  <c:v>0</c:v>
                </c:pt>
              </c:numCache>
            </c:numRef>
          </c:xVal>
          <c:yVal>
            <c:numRef>
              <c:f>'Plane Stress'!$D$260:$D$262</c:f>
              <c:numCache>
                <c:formatCode>General</c:formatCode>
                <c:ptCount val="3"/>
                <c:pt idx="0">
                  <c:v>-22.918310000000002</c:v>
                </c:pt>
                <c:pt idx="1">
                  <c:v>0</c:v>
                </c:pt>
                <c:pt idx="2">
                  <c:v>22.918310000000002</c:v>
                </c:pt>
              </c:numCache>
            </c:numRef>
          </c:yVal>
          <c:smooth val="1"/>
          <c:extLst>
            <c:ext xmlns:c16="http://schemas.microsoft.com/office/drawing/2014/chart" uri="{C3380CC4-5D6E-409C-BE32-E72D297353CC}">
              <c16:uniqueId val="{0000000A-AD16-442D-A606-4F7FE4B35336}"/>
            </c:ext>
          </c:extLst>
        </c:ser>
        <c:ser>
          <c:idx val="3"/>
          <c:order val="3"/>
          <c:tx>
            <c:v>Max Shear</c:v>
          </c:tx>
          <c:spPr>
            <a:ln w="19050" cap="rnd">
              <a:solidFill>
                <a:schemeClr val="accent4"/>
              </a:solidFill>
              <a:round/>
            </a:ln>
            <a:effectLst/>
          </c:spPr>
          <c:marker>
            <c:symbol val="none"/>
          </c:marker>
          <c:dLbls>
            <c:dLbl>
              <c:idx val="0"/>
              <c:layout>
                <c:manualLayout>
                  <c:x val="-0.1341498979294255"/>
                  <c:y val="-0.11236815845303683"/>
                </c:manualLayout>
              </c:layout>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B-AD16-442D-A606-4F7FE4B3533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xVal>
            <c:numRef>
              <c:f>'Plane Stress'!$C$261</c:f>
              <c:numCache>
                <c:formatCode>General</c:formatCode>
                <c:ptCount val="1"/>
                <c:pt idx="0">
                  <c:v>51.561999999999998</c:v>
                </c:pt>
              </c:numCache>
            </c:numRef>
          </c:xVal>
          <c:yVal>
            <c:numRef>
              <c:f>'Plane Stress'!$E$261</c:f>
              <c:numCache>
                <c:formatCode>General</c:formatCode>
                <c:ptCount val="1"/>
                <c:pt idx="0">
                  <c:v>56.425958363647666</c:v>
                </c:pt>
              </c:numCache>
            </c:numRef>
          </c:yVal>
          <c:smooth val="1"/>
          <c:extLst>
            <c:ext xmlns:c16="http://schemas.microsoft.com/office/drawing/2014/chart" uri="{C3380CC4-5D6E-409C-BE32-E72D297353CC}">
              <c16:uniqueId val="{0000000C-AD16-442D-A606-4F7FE4B35336}"/>
            </c:ext>
          </c:extLst>
        </c:ser>
        <c:dLbls>
          <c:showLegendKey val="0"/>
          <c:showVal val="0"/>
          <c:showCatName val="0"/>
          <c:showSerName val="0"/>
          <c:showPercent val="0"/>
          <c:showBubbleSize val="0"/>
        </c:dLbls>
        <c:axId val="452095871"/>
        <c:axId val="452093791"/>
      </c:scatterChart>
      <c:valAx>
        <c:axId val="452095871"/>
        <c:scaling>
          <c:orientation val="minMax"/>
        </c:scaling>
        <c:delete val="0"/>
        <c:axPos val="t"/>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093791"/>
        <c:crosses val="autoZero"/>
        <c:crossBetween val="midCat"/>
      </c:valAx>
      <c:valAx>
        <c:axId val="452093791"/>
        <c:scaling>
          <c:orientation val="maxMin"/>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a:t>τ</a:t>
                </a:r>
                <a:r>
                  <a:rPr lang="en-US" baseline="0"/>
                  <a:t> (MPa)</a:t>
                </a:r>
                <a:endParaRPr lang="en-US"/>
              </a:p>
            </c:rich>
          </c:tx>
          <c:layout>
            <c:manualLayout>
              <c:xMode val="edge"/>
              <c:yMode val="edge"/>
              <c:x val="1.91131498470948E-2"/>
              <c:y val="0.400227226841400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095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MSS Failure Locus</a:t>
            </a:r>
          </a:p>
          <a:p>
            <a:pPr>
              <a:defRPr/>
            </a:pPr>
            <a:r>
              <a:rPr lang="en-US" sz="1000"/>
              <a:t>If outside of MSS hex, fails MSS criteria</a:t>
            </a:r>
          </a:p>
          <a:p>
            <a:pPr>
              <a:defRPr/>
            </a:pPr>
            <a:r>
              <a:rPr lang="en-US" sz="1000"/>
              <a:t>Load</a:t>
            </a:r>
            <a:r>
              <a:rPr lang="en-US" sz="1000" baseline="0"/>
              <a:t> line useful to show direction stress state will travel IF stress in planes stay proprtional to one another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MSS Safe/Failure Boundary</c:v>
          </c:tx>
          <c:spPr>
            <a:ln w="12700" cap="rnd">
              <a:solidFill>
                <a:schemeClr val="tx1">
                  <a:lumMod val="85000"/>
                  <a:lumOff val="15000"/>
                </a:schemeClr>
              </a:solidFill>
              <a:round/>
            </a:ln>
            <a:effectLst/>
          </c:spPr>
          <c:marker>
            <c:symbol val="none"/>
          </c:marker>
          <c:xVal>
            <c:numRef>
              <c:f>'Plane Stress'!$I$271:$I$277</c:f>
              <c:numCache>
                <c:formatCode>General</c:formatCode>
                <c:ptCount val="7"/>
                <c:pt idx="0">
                  <c:v>329</c:v>
                </c:pt>
                <c:pt idx="1">
                  <c:v>329</c:v>
                </c:pt>
                <c:pt idx="2">
                  <c:v>0</c:v>
                </c:pt>
                <c:pt idx="3">
                  <c:v>-329</c:v>
                </c:pt>
                <c:pt idx="4">
                  <c:v>-329</c:v>
                </c:pt>
                <c:pt idx="5">
                  <c:v>0</c:v>
                </c:pt>
                <c:pt idx="6">
                  <c:v>329</c:v>
                </c:pt>
              </c:numCache>
            </c:numRef>
          </c:xVal>
          <c:yVal>
            <c:numRef>
              <c:f>'Plane Stress'!$J$271:$J$277</c:f>
              <c:numCache>
                <c:formatCode>General</c:formatCode>
                <c:ptCount val="7"/>
                <c:pt idx="0">
                  <c:v>0</c:v>
                </c:pt>
                <c:pt idx="1">
                  <c:v>329</c:v>
                </c:pt>
                <c:pt idx="2">
                  <c:v>329</c:v>
                </c:pt>
                <c:pt idx="3">
                  <c:v>0</c:v>
                </c:pt>
                <c:pt idx="4">
                  <c:v>-329</c:v>
                </c:pt>
                <c:pt idx="5">
                  <c:v>-329</c:v>
                </c:pt>
                <c:pt idx="6">
                  <c:v>0</c:v>
                </c:pt>
              </c:numCache>
            </c:numRef>
          </c:yVal>
          <c:smooth val="0"/>
          <c:extLst>
            <c:ext xmlns:c16="http://schemas.microsoft.com/office/drawing/2014/chart" uri="{C3380CC4-5D6E-409C-BE32-E72D297353CC}">
              <c16:uniqueId val="{00000000-DCA0-4154-952E-0EF98D27EA1E}"/>
            </c:ext>
          </c:extLst>
        </c:ser>
        <c:ser>
          <c:idx val="1"/>
          <c:order val="1"/>
          <c:tx>
            <c:v>Stress State</c:v>
          </c:tx>
          <c:spPr>
            <a:ln w="25400" cap="rnd">
              <a:noFill/>
              <a:round/>
            </a:ln>
            <a:effectLst/>
          </c:spPr>
          <c:marker>
            <c:symbol val="circle"/>
            <c:size val="5"/>
            <c:spPr>
              <a:solidFill>
                <a:schemeClr val="tx1"/>
              </a:solidFill>
              <a:ln w="25400">
                <a:solidFill>
                  <a:srgbClr val="FF0000"/>
                </a:solidFill>
              </a:ln>
              <a:effectLst/>
            </c:spPr>
          </c:marker>
          <c:xVal>
            <c:numRef>
              <c:f>'Plane Stress'!$C$21</c:f>
              <c:numCache>
                <c:formatCode>0.00</c:formatCode>
                <c:ptCount val="1"/>
                <c:pt idx="0">
                  <c:v>107.98795836364766</c:v>
                </c:pt>
              </c:numCache>
            </c:numRef>
          </c:xVal>
          <c:yVal>
            <c:numRef>
              <c:f>'Plane Stress'!$C$22</c:f>
              <c:numCache>
                <c:formatCode>0.00</c:formatCode>
                <c:ptCount val="1"/>
                <c:pt idx="0">
                  <c:v>-4.8639583636476686</c:v>
                </c:pt>
              </c:numCache>
            </c:numRef>
          </c:yVal>
          <c:smooth val="0"/>
          <c:extLst>
            <c:ext xmlns:c16="http://schemas.microsoft.com/office/drawing/2014/chart" uri="{C3380CC4-5D6E-409C-BE32-E72D297353CC}">
              <c16:uniqueId val="{00000001-DCA0-4154-952E-0EF98D27EA1E}"/>
            </c:ext>
          </c:extLst>
        </c:ser>
        <c:ser>
          <c:idx val="2"/>
          <c:order val="2"/>
          <c:tx>
            <c:v>Stress State Load Line</c:v>
          </c:tx>
          <c:spPr>
            <a:ln w="12700" cap="rnd">
              <a:solidFill>
                <a:schemeClr val="tx1"/>
              </a:solidFill>
              <a:prstDash val="sysDash"/>
              <a:round/>
            </a:ln>
            <a:effectLst/>
          </c:spPr>
          <c:marker>
            <c:symbol val="none"/>
          </c:marker>
          <c:xVal>
            <c:numRef>
              <c:f>'Plane Stress'!$K$271:$K$272</c:f>
              <c:numCache>
                <c:formatCode>General</c:formatCode>
                <c:ptCount val="2"/>
                <c:pt idx="0">
                  <c:v>0</c:v>
                </c:pt>
                <c:pt idx="1">
                  <c:v>107.98795836364766</c:v>
                </c:pt>
              </c:numCache>
            </c:numRef>
          </c:xVal>
          <c:yVal>
            <c:numRef>
              <c:f>'Plane Stress'!$L$271:$L$272</c:f>
              <c:numCache>
                <c:formatCode>General</c:formatCode>
                <c:ptCount val="2"/>
                <c:pt idx="0">
                  <c:v>0</c:v>
                </c:pt>
                <c:pt idx="1">
                  <c:v>-4.8639583636476686</c:v>
                </c:pt>
              </c:numCache>
            </c:numRef>
          </c:yVal>
          <c:smooth val="0"/>
          <c:extLst>
            <c:ext xmlns:c16="http://schemas.microsoft.com/office/drawing/2014/chart" uri="{C3380CC4-5D6E-409C-BE32-E72D297353CC}">
              <c16:uniqueId val="{00000002-DCA0-4154-952E-0EF98D27EA1E}"/>
            </c:ext>
          </c:extLst>
        </c:ser>
        <c:ser>
          <c:idx val="3"/>
          <c:order val="3"/>
          <c:tx>
            <c:v>Von Mises Boundary Upper</c:v>
          </c:tx>
          <c:spPr>
            <a:ln w="12700" cap="rnd">
              <a:solidFill>
                <a:schemeClr val="tx1"/>
              </a:solidFill>
              <a:prstDash val="dash"/>
              <a:round/>
            </a:ln>
            <a:effectLst/>
          </c:spPr>
          <c:marker>
            <c:symbol val="none"/>
          </c:marker>
          <c:xVal>
            <c:numRef>
              <c:f>'Plane Stress'!$N$270:$N$470</c:f>
              <c:numCache>
                <c:formatCode>General</c:formatCode>
                <c:ptCount val="201"/>
                <c:pt idx="0">
                  <c:v>-411.25</c:v>
                </c:pt>
                <c:pt idx="1">
                  <c:v>-407.13749999999999</c:v>
                </c:pt>
                <c:pt idx="2">
                  <c:v>-403.02499999999998</c:v>
                </c:pt>
                <c:pt idx="3">
                  <c:v>-398.91249999999997</c:v>
                </c:pt>
                <c:pt idx="4">
                  <c:v>-394.79999999999995</c:v>
                </c:pt>
                <c:pt idx="5">
                  <c:v>-390.68749999999994</c:v>
                </c:pt>
                <c:pt idx="6">
                  <c:v>-386.57499999999993</c:v>
                </c:pt>
                <c:pt idx="7">
                  <c:v>-382.46249999999992</c:v>
                </c:pt>
                <c:pt idx="8">
                  <c:v>-378.34999999999991</c:v>
                </c:pt>
                <c:pt idx="9">
                  <c:v>-374.2374999999999</c:v>
                </c:pt>
                <c:pt idx="10">
                  <c:v>-370.12499999999989</c:v>
                </c:pt>
                <c:pt idx="11">
                  <c:v>-366.01249999999987</c:v>
                </c:pt>
                <c:pt idx="12">
                  <c:v>-361.89999999999986</c:v>
                </c:pt>
                <c:pt idx="13">
                  <c:v>-357.78749999999985</c:v>
                </c:pt>
                <c:pt idx="14">
                  <c:v>-353.67499999999984</c:v>
                </c:pt>
                <c:pt idx="15">
                  <c:v>-349.56249999999983</c:v>
                </c:pt>
                <c:pt idx="16">
                  <c:v>-345.44999999999982</c:v>
                </c:pt>
                <c:pt idx="17">
                  <c:v>-341.33749999999981</c:v>
                </c:pt>
                <c:pt idx="18">
                  <c:v>-337.2249999999998</c:v>
                </c:pt>
                <c:pt idx="19">
                  <c:v>-333.11249999999978</c:v>
                </c:pt>
                <c:pt idx="20">
                  <c:v>-328.99999999999977</c:v>
                </c:pt>
                <c:pt idx="21">
                  <c:v>-324.88749999999976</c:v>
                </c:pt>
                <c:pt idx="22">
                  <c:v>-320.77499999999975</c:v>
                </c:pt>
                <c:pt idx="23">
                  <c:v>-316.66249999999974</c:v>
                </c:pt>
                <c:pt idx="24">
                  <c:v>-312.54999999999973</c:v>
                </c:pt>
                <c:pt idx="25">
                  <c:v>-308.43749999999972</c:v>
                </c:pt>
                <c:pt idx="26">
                  <c:v>-304.3249999999997</c:v>
                </c:pt>
                <c:pt idx="27">
                  <c:v>-300.21249999999969</c:v>
                </c:pt>
                <c:pt idx="28">
                  <c:v>-296.09999999999968</c:v>
                </c:pt>
                <c:pt idx="29">
                  <c:v>-291.98749999999967</c:v>
                </c:pt>
                <c:pt idx="30">
                  <c:v>-287.87499999999966</c:v>
                </c:pt>
                <c:pt idx="31">
                  <c:v>-283.76249999999965</c:v>
                </c:pt>
                <c:pt idx="32">
                  <c:v>-279.64999999999964</c:v>
                </c:pt>
                <c:pt idx="33">
                  <c:v>-275.53749999999962</c:v>
                </c:pt>
                <c:pt idx="34">
                  <c:v>-271.42499999999961</c:v>
                </c:pt>
                <c:pt idx="35">
                  <c:v>-267.3124999999996</c:v>
                </c:pt>
                <c:pt idx="36">
                  <c:v>-263.19999999999959</c:v>
                </c:pt>
                <c:pt idx="37">
                  <c:v>-259.08749999999958</c:v>
                </c:pt>
                <c:pt idx="38">
                  <c:v>-254.97499999999957</c:v>
                </c:pt>
                <c:pt idx="39">
                  <c:v>-250.86249999999956</c:v>
                </c:pt>
                <c:pt idx="40">
                  <c:v>-246.74999999999955</c:v>
                </c:pt>
                <c:pt idx="41">
                  <c:v>-242.63749999999953</c:v>
                </c:pt>
                <c:pt idx="42">
                  <c:v>-238.52499999999952</c:v>
                </c:pt>
                <c:pt idx="43">
                  <c:v>-234.41249999999951</c:v>
                </c:pt>
                <c:pt idx="44">
                  <c:v>-230.2999999999995</c:v>
                </c:pt>
                <c:pt idx="45">
                  <c:v>-226.18749999999949</c:v>
                </c:pt>
                <c:pt idx="46">
                  <c:v>-222.07499999999948</c:v>
                </c:pt>
                <c:pt idx="47">
                  <c:v>-217.96249999999947</c:v>
                </c:pt>
                <c:pt idx="48">
                  <c:v>-213.84999999999945</c:v>
                </c:pt>
                <c:pt idx="49">
                  <c:v>-209.73749999999944</c:v>
                </c:pt>
                <c:pt idx="50">
                  <c:v>-205.62499999999943</c:v>
                </c:pt>
                <c:pt idx="51">
                  <c:v>-201.51249999999942</c:v>
                </c:pt>
                <c:pt idx="52">
                  <c:v>-197.39999999999941</c:v>
                </c:pt>
                <c:pt idx="53">
                  <c:v>-193.2874999999994</c:v>
                </c:pt>
                <c:pt idx="54">
                  <c:v>-189.17499999999939</c:v>
                </c:pt>
                <c:pt idx="55">
                  <c:v>-185.06249999999937</c:v>
                </c:pt>
                <c:pt idx="56">
                  <c:v>-180.94999999999936</c:v>
                </c:pt>
                <c:pt idx="57">
                  <c:v>-176.83749999999935</c:v>
                </c:pt>
                <c:pt idx="58">
                  <c:v>-172.72499999999934</c:v>
                </c:pt>
                <c:pt idx="59">
                  <c:v>-168.61249999999933</c:v>
                </c:pt>
                <c:pt idx="60">
                  <c:v>-164.49999999999932</c:v>
                </c:pt>
                <c:pt idx="61">
                  <c:v>-160.38749999999931</c:v>
                </c:pt>
                <c:pt idx="62">
                  <c:v>-156.2749999999993</c:v>
                </c:pt>
                <c:pt idx="63">
                  <c:v>-152.16249999999928</c:v>
                </c:pt>
                <c:pt idx="64">
                  <c:v>-148.04999999999927</c:v>
                </c:pt>
                <c:pt idx="65">
                  <c:v>-143.93749999999926</c:v>
                </c:pt>
                <c:pt idx="66">
                  <c:v>-139.82499999999925</c:v>
                </c:pt>
                <c:pt idx="67">
                  <c:v>-135.71249999999924</c:v>
                </c:pt>
                <c:pt idx="68">
                  <c:v>-131.59999999999923</c:v>
                </c:pt>
                <c:pt idx="69">
                  <c:v>-127.48749999999923</c:v>
                </c:pt>
                <c:pt idx="70">
                  <c:v>-123.37499999999923</c:v>
                </c:pt>
                <c:pt idx="71">
                  <c:v>-119.26249999999924</c:v>
                </c:pt>
                <c:pt idx="72">
                  <c:v>-115.14999999999924</c:v>
                </c:pt>
                <c:pt idx="73">
                  <c:v>-111.03749999999924</c:v>
                </c:pt>
                <c:pt idx="74">
                  <c:v>-106.92499999999924</c:v>
                </c:pt>
                <c:pt idx="75">
                  <c:v>-102.81249999999925</c:v>
                </c:pt>
                <c:pt idx="76">
                  <c:v>-98.69999999999925</c:v>
                </c:pt>
                <c:pt idx="77">
                  <c:v>-94.587499999999253</c:v>
                </c:pt>
                <c:pt idx="78">
                  <c:v>-90.474999999999255</c:v>
                </c:pt>
                <c:pt idx="79">
                  <c:v>-86.362499999999258</c:v>
                </c:pt>
                <c:pt idx="80">
                  <c:v>-82.249999999999261</c:v>
                </c:pt>
                <c:pt idx="81">
                  <c:v>-78.137499999999264</c:v>
                </c:pt>
                <c:pt idx="82">
                  <c:v>-74.024999999999267</c:v>
                </c:pt>
                <c:pt idx="83">
                  <c:v>-69.91249999999927</c:v>
                </c:pt>
                <c:pt idx="84">
                  <c:v>-65.799999999999272</c:v>
                </c:pt>
                <c:pt idx="85">
                  <c:v>-61.687499999999275</c:v>
                </c:pt>
                <c:pt idx="86">
                  <c:v>-57.574999999999278</c:v>
                </c:pt>
                <c:pt idx="87">
                  <c:v>-53.462499999999281</c:v>
                </c:pt>
                <c:pt idx="88">
                  <c:v>-49.349999999999284</c:v>
                </c:pt>
                <c:pt idx="89">
                  <c:v>-45.237499999999287</c:v>
                </c:pt>
                <c:pt idx="90">
                  <c:v>-41.124999999999289</c:v>
                </c:pt>
                <c:pt idx="91">
                  <c:v>-37.012499999999292</c:v>
                </c:pt>
                <c:pt idx="92">
                  <c:v>-32.899999999999295</c:v>
                </c:pt>
                <c:pt idx="93">
                  <c:v>-28.787499999999294</c:v>
                </c:pt>
                <c:pt idx="94">
                  <c:v>-24.674999999999294</c:v>
                </c:pt>
                <c:pt idx="95">
                  <c:v>-20.562499999999293</c:v>
                </c:pt>
                <c:pt idx="96">
                  <c:v>-16.449999999999292</c:v>
                </c:pt>
                <c:pt idx="97">
                  <c:v>-12.337499999999292</c:v>
                </c:pt>
                <c:pt idx="98">
                  <c:v>-8.2249999999992909</c:v>
                </c:pt>
                <c:pt idx="99">
                  <c:v>-4.1124999999992911</c:v>
                </c:pt>
                <c:pt idx="100">
                  <c:v>7.0876637892069994E-13</c:v>
                </c:pt>
                <c:pt idx="101">
                  <c:v>4.1125000000007086</c:v>
                </c:pt>
                <c:pt idx="102">
                  <c:v>8.2250000000007084</c:v>
                </c:pt>
                <c:pt idx="103">
                  <c:v>12.337500000000709</c:v>
                </c:pt>
                <c:pt idx="104">
                  <c:v>16.45000000000071</c:v>
                </c:pt>
                <c:pt idx="105">
                  <c:v>20.562500000000711</c:v>
                </c:pt>
                <c:pt idx="106">
                  <c:v>24.675000000000711</c:v>
                </c:pt>
                <c:pt idx="107">
                  <c:v>28.787500000000712</c:v>
                </c:pt>
                <c:pt idx="108">
                  <c:v>32.900000000000709</c:v>
                </c:pt>
                <c:pt idx="109">
                  <c:v>37.012500000000706</c:v>
                </c:pt>
                <c:pt idx="110">
                  <c:v>41.125000000000703</c:v>
                </c:pt>
                <c:pt idx="111">
                  <c:v>45.237500000000701</c:v>
                </c:pt>
                <c:pt idx="112">
                  <c:v>49.350000000000698</c:v>
                </c:pt>
                <c:pt idx="113">
                  <c:v>53.462500000000695</c:v>
                </c:pt>
                <c:pt idx="114">
                  <c:v>57.575000000000692</c:v>
                </c:pt>
                <c:pt idx="115">
                  <c:v>61.687500000000689</c:v>
                </c:pt>
                <c:pt idx="116">
                  <c:v>65.800000000000693</c:v>
                </c:pt>
                <c:pt idx="117">
                  <c:v>69.912500000000691</c:v>
                </c:pt>
                <c:pt idx="118">
                  <c:v>74.025000000000688</c:v>
                </c:pt>
                <c:pt idx="119">
                  <c:v>78.137500000000685</c:v>
                </c:pt>
                <c:pt idx="120">
                  <c:v>82.250000000000682</c:v>
                </c:pt>
                <c:pt idx="121">
                  <c:v>86.362500000000679</c:v>
                </c:pt>
                <c:pt idx="122">
                  <c:v>90.475000000000676</c:v>
                </c:pt>
                <c:pt idx="123">
                  <c:v>94.587500000000674</c:v>
                </c:pt>
                <c:pt idx="124">
                  <c:v>98.700000000000671</c:v>
                </c:pt>
                <c:pt idx="125">
                  <c:v>102.81250000000067</c:v>
                </c:pt>
                <c:pt idx="126">
                  <c:v>106.92500000000067</c:v>
                </c:pt>
                <c:pt idx="127">
                  <c:v>111.03750000000066</c:v>
                </c:pt>
                <c:pt idx="128">
                  <c:v>115.15000000000066</c:v>
                </c:pt>
                <c:pt idx="129">
                  <c:v>119.26250000000066</c:v>
                </c:pt>
                <c:pt idx="130">
                  <c:v>123.37500000000065</c:v>
                </c:pt>
                <c:pt idx="131">
                  <c:v>127.48750000000065</c:v>
                </c:pt>
                <c:pt idx="132">
                  <c:v>131.60000000000065</c:v>
                </c:pt>
                <c:pt idx="133">
                  <c:v>135.71250000000066</c:v>
                </c:pt>
                <c:pt idx="134">
                  <c:v>139.82500000000067</c:v>
                </c:pt>
                <c:pt idx="135">
                  <c:v>143.93750000000068</c:v>
                </c:pt>
                <c:pt idx="136">
                  <c:v>148.05000000000069</c:v>
                </c:pt>
                <c:pt idx="137">
                  <c:v>152.1625000000007</c:v>
                </c:pt>
                <c:pt idx="138">
                  <c:v>156.27500000000072</c:v>
                </c:pt>
                <c:pt idx="139">
                  <c:v>160.38750000000073</c:v>
                </c:pt>
                <c:pt idx="140">
                  <c:v>164.50000000000074</c:v>
                </c:pt>
                <c:pt idx="141">
                  <c:v>168.61250000000075</c:v>
                </c:pt>
                <c:pt idx="142">
                  <c:v>172.72500000000076</c:v>
                </c:pt>
                <c:pt idx="143">
                  <c:v>176.83750000000077</c:v>
                </c:pt>
                <c:pt idx="144">
                  <c:v>180.95000000000078</c:v>
                </c:pt>
                <c:pt idx="145">
                  <c:v>185.0625000000008</c:v>
                </c:pt>
                <c:pt idx="146">
                  <c:v>189.17500000000081</c:v>
                </c:pt>
                <c:pt idx="147">
                  <c:v>193.28750000000082</c:v>
                </c:pt>
                <c:pt idx="148">
                  <c:v>197.40000000000083</c:v>
                </c:pt>
                <c:pt idx="149">
                  <c:v>201.51250000000084</c:v>
                </c:pt>
                <c:pt idx="150">
                  <c:v>205.62500000000085</c:v>
                </c:pt>
                <c:pt idx="151">
                  <c:v>209.73750000000086</c:v>
                </c:pt>
                <c:pt idx="152">
                  <c:v>213.85000000000088</c:v>
                </c:pt>
                <c:pt idx="153">
                  <c:v>217.96250000000089</c:v>
                </c:pt>
                <c:pt idx="154">
                  <c:v>222.0750000000009</c:v>
                </c:pt>
                <c:pt idx="155">
                  <c:v>226.18750000000091</c:v>
                </c:pt>
                <c:pt idx="156">
                  <c:v>230.30000000000092</c:v>
                </c:pt>
                <c:pt idx="157">
                  <c:v>234.41250000000093</c:v>
                </c:pt>
                <c:pt idx="158">
                  <c:v>238.52500000000094</c:v>
                </c:pt>
                <c:pt idx="159">
                  <c:v>242.63750000000095</c:v>
                </c:pt>
                <c:pt idx="160">
                  <c:v>246.75000000000097</c:v>
                </c:pt>
                <c:pt idx="161">
                  <c:v>250.86250000000098</c:v>
                </c:pt>
                <c:pt idx="162">
                  <c:v>254.97500000000099</c:v>
                </c:pt>
                <c:pt idx="163">
                  <c:v>259.087500000001</c:v>
                </c:pt>
                <c:pt idx="164">
                  <c:v>263.20000000000101</c:v>
                </c:pt>
                <c:pt idx="165">
                  <c:v>267.31250000000102</c:v>
                </c:pt>
                <c:pt idx="166">
                  <c:v>271.42500000000103</c:v>
                </c:pt>
                <c:pt idx="167">
                  <c:v>275.53750000000105</c:v>
                </c:pt>
                <c:pt idx="168">
                  <c:v>279.65000000000106</c:v>
                </c:pt>
                <c:pt idx="169">
                  <c:v>283.76250000000107</c:v>
                </c:pt>
                <c:pt idx="170">
                  <c:v>287.87500000000108</c:v>
                </c:pt>
                <c:pt idx="171">
                  <c:v>291.98750000000109</c:v>
                </c:pt>
                <c:pt idx="172">
                  <c:v>296.1000000000011</c:v>
                </c:pt>
                <c:pt idx="173">
                  <c:v>300.21250000000111</c:v>
                </c:pt>
                <c:pt idx="174">
                  <c:v>304.32500000000113</c:v>
                </c:pt>
                <c:pt idx="175">
                  <c:v>308.43750000000114</c:v>
                </c:pt>
                <c:pt idx="176">
                  <c:v>312.55000000000115</c:v>
                </c:pt>
                <c:pt idx="177">
                  <c:v>316.66250000000116</c:v>
                </c:pt>
                <c:pt idx="178">
                  <c:v>320.77500000000117</c:v>
                </c:pt>
                <c:pt idx="179">
                  <c:v>324.88750000000118</c:v>
                </c:pt>
                <c:pt idx="180">
                  <c:v>329.00000000000119</c:v>
                </c:pt>
                <c:pt idx="181">
                  <c:v>333.11250000000121</c:v>
                </c:pt>
                <c:pt idx="182">
                  <c:v>337.22500000000122</c:v>
                </c:pt>
                <c:pt idx="183">
                  <c:v>341.33750000000123</c:v>
                </c:pt>
                <c:pt idx="184">
                  <c:v>345.45000000000124</c:v>
                </c:pt>
                <c:pt idx="185">
                  <c:v>349.56250000000125</c:v>
                </c:pt>
                <c:pt idx="186">
                  <c:v>353.67500000000126</c:v>
                </c:pt>
                <c:pt idx="187">
                  <c:v>357.78750000000127</c:v>
                </c:pt>
                <c:pt idx="188">
                  <c:v>361.90000000000128</c:v>
                </c:pt>
                <c:pt idx="189">
                  <c:v>366.0125000000013</c:v>
                </c:pt>
                <c:pt idx="190">
                  <c:v>370.12500000000131</c:v>
                </c:pt>
                <c:pt idx="191">
                  <c:v>374.23750000000132</c:v>
                </c:pt>
                <c:pt idx="192">
                  <c:v>378.35000000000133</c:v>
                </c:pt>
                <c:pt idx="193">
                  <c:v>382.46250000000134</c:v>
                </c:pt>
                <c:pt idx="194">
                  <c:v>386.57500000000135</c:v>
                </c:pt>
                <c:pt idx="195">
                  <c:v>390.68750000000136</c:v>
                </c:pt>
                <c:pt idx="196">
                  <c:v>394.80000000000138</c:v>
                </c:pt>
                <c:pt idx="197">
                  <c:v>398.91250000000139</c:v>
                </c:pt>
                <c:pt idx="198">
                  <c:v>403.0250000000014</c:v>
                </c:pt>
                <c:pt idx="199">
                  <c:v>407.13750000000141</c:v>
                </c:pt>
                <c:pt idx="200">
                  <c:v>411.25000000000142</c:v>
                </c:pt>
              </c:numCache>
            </c:numRef>
          </c:xVal>
          <c:yVal>
            <c:numRef>
              <c:f>'Plane Stress'!$R$270:$R$470</c:f>
              <c:numCache>
                <c:formatCode>General</c:formatCode>
                <c:ptCount val="201"/>
                <c:pt idx="0">
                  <c:v>#N/A</c:v>
                </c:pt>
                <c:pt idx="1">
                  <c:v>#N/A</c:v>
                </c:pt>
                <c:pt idx="2">
                  <c:v>#N/A</c:v>
                </c:pt>
                <c:pt idx="3">
                  <c:v>#N/A</c:v>
                </c:pt>
                <c:pt idx="4">
                  <c:v>#N/A</c:v>
                </c:pt>
                <c:pt idx="5">
                  <c:v>#N/A</c:v>
                </c:pt>
                <c:pt idx="6">
                  <c:v>#N/A</c:v>
                </c:pt>
                <c:pt idx="7">
                  <c:v>-191.23124999999996</c:v>
                </c:pt>
                <c:pt idx="8">
                  <c:v>-159.51934075930808</c:v>
                </c:pt>
                <c:pt idx="9">
                  <c:v>-130.54384217583689</c:v>
                </c:pt>
                <c:pt idx="10">
                  <c:v>-110.92335189827126</c:v>
                </c:pt>
                <c:pt idx="11">
                  <c:v>-94.874885646481815</c:v>
                </c:pt>
                <c:pt idx="12">
                  <c:v>-80.888556376593868</c:v>
                </c:pt>
                <c:pt idx="13">
                  <c:v>-68.295022010874447</c:v>
                </c:pt>
                <c:pt idx="14">
                  <c:v>-56.727151647952923</c:v>
                </c:pt>
                <c:pt idx="15">
                  <c:v>-45.957556739355567</c:v>
                </c:pt>
                <c:pt idx="16">
                  <c:v>-35.833717863407628</c:v>
                </c:pt>
                <c:pt idx="17">
                  <c:v>-26.247375819054668</c:v>
                </c:pt>
                <c:pt idx="18">
                  <c:v>-17.118359746160024</c:v>
                </c:pt>
                <c:pt idx="19">
                  <c:v>-8.3853084278748042</c:v>
                </c:pt>
                <c:pt idx="20">
                  <c:v>4.5474735088646412E-13</c:v>
                </c:pt>
                <c:pt idx="21">
                  <c:v>8.0762906339755034</c:v>
                </c:pt>
                <c:pt idx="22">
                  <c:v>15.875228707035973</c:v>
                </c:pt>
                <c:pt idx="23">
                  <c:v>23.42310571207824</c:v>
                </c:pt>
                <c:pt idx="24">
                  <c:v>30.742039664839581</c:v>
                </c:pt>
                <c:pt idx="25">
                  <c:v>37.850850523645306</c:v>
                </c:pt>
                <c:pt idx="26">
                  <c:v>44.765712253222375</c:v>
                </c:pt>
                <c:pt idx="27">
                  <c:v>51.50064753282922</c:v>
                </c:pt>
                <c:pt idx="28">
                  <c:v>58.067909217030945</c:v>
                </c:pt>
                <c:pt idx="29">
                  <c:v>64.478278742093693</c:v>
                </c:pt>
                <c:pt idx="30">
                  <c:v>70.74130258947369</c:v>
                </c:pt>
                <c:pt idx="31">
                  <c:v>76.865481850587287</c:v>
                </c:pt>
                <c:pt idx="32">
                  <c:v>82.858425797701074</c:v>
                </c:pt>
                <c:pt idx="33">
                  <c:v>88.726977487987597</c:v>
                </c:pt>
                <c:pt idx="34">
                  <c:v>94.477317392625423</c:v>
                </c:pt>
                <c:pt idx="35">
                  <c:v>100.11504958104942</c:v>
                </c:pt>
                <c:pt idx="36">
                  <c:v>105.64527392553103</c:v>
                </c:pt>
                <c:pt idx="37">
                  <c:v>111.07264700530129</c:v>
                </c:pt>
                <c:pt idx="38">
                  <c:v>116.40143380235656</c:v>
                </c:pt>
                <c:pt idx="39">
                  <c:v>121.635551837707</c:v>
                </c:pt>
                <c:pt idx="40">
                  <c:v>126.77860905851486</c:v>
                </c:pt>
                <c:pt idx="41">
                  <c:v>131.83393652596359</c:v>
                </c:pt>
                <c:pt idx="42">
                  <c:v>136.80461675115629</c:v>
                </c:pt>
                <c:pt idx="43">
                  <c:v>141.69350836762149</c:v>
                </c:pt>
                <c:pt idx="44">
                  <c:v>146.5032677036545</c:v>
                </c:pt>
                <c:pt idx="45">
                  <c:v>151.23636771800201</c:v>
                </c:pt>
                <c:pt idx="46">
                  <c:v>155.89511468252681</c:v>
                </c:pt>
                <c:pt idx="47">
                  <c:v>160.48166293109861</c:v>
                </c:pt>
                <c:pt idx="48">
                  <c:v>164.99802794173263</c:v>
                </c:pt>
                <c:pt idx="49">
                  <c:v>169.44609797639524</c:v>
                </c:pt>
                <c:pt idx="50">
                  <c:v>173.82764446795375</c:v>
                </c:pt>
                <c:pt idx="51">
                  <c:v>178.14433131494249</c:v>
                </c:pt>
                <c:pt idx="52">
                  <c:v>182.39772322094734</c:v>
                </c:pt>
                <c:pt idx="53">
                  <c:v>186.58929319555099</c:v>
                </c:pt>
                <c:pt idx="54">
                  <c:v>190.7204293171684</c:v>
                </c:pt>
                <c:pt idx="55">
                  <c:v>194.79244084416419</c:v>
                </c:pt>
                <c:pt idx="56">
                  <c:v>198.80656374888525</c:v>
                </c:pt>
                <c:pt idx="57">
                  <c:v>202.76396573929807</c:v>
                </c:pt>
                <c:pt idx="58">
                  <c:v>206.66575082447321</c:v>
                </c:pt>
                <c:pt idx="59">
                  <c:v>210.51296347295678</c:v>
                </c:pt>
                <c:pt idx="60">
                  <c:v>214.30659240691375</c:v>
                </c:pt>
                <c:pt idx="61">
                  <c:v>218.0475740696414</c:v>
                </c:pt>
                <c:pt idx="62">
                  <c:v>221.73679579950726</c:v>
                </c:pt>
                <c:pt idx="63">
                  <c:v>225.37509873943671</c:v>
                </c:pt>
                <c:pt idx="64">
                  <c:v>228.96328050767966</c:v>
                </c:pt>
                <c:pt idx="65">
                  <c:v>232.50209765263307</c:v>
                </c:pt>
                <c:pt idx="66">
                  <c:v>235.9922679119278</c:v>
                </c:pt>
                <c:pt idx="67">
                  <c:v>239.43447229374723</c:v>
                </c:pt>
                <c:pt idx="68">
                  <c:v>242.82935699638227</c:v>
                </c:pt>
                <c:pt idx="69">
                  <c:v>246.17753518030653</c:v>
                </c:pt>
                <c:pt idx="70">
                  <c:v>249.47958860554388</c:v>
                </c:pt>
                <c:pt idx="71">
                  <c:v>252.73606914576607</c:v>
                </c:pt>
                <c:pt idx="72">
                  <c:v>255.94750018938092</c:v>
                </c:pt>
                <c:pt idx="73">
                  <c:v>259.11437793682876</c:v>
                </c:pt>
                <c:pt idx="74">
                  <c:v>262.23717260238067</c:v>
                </c:pt>
                <c:pt idx="75">
                  <c:v>265.31632952790937</c:v>
                </c:pt>
                <c:pt idx="76">
                  <c:v>268.35227021537059</c:v>
                </c:pt>
                <c:pt idx="77">
                  <c:v>271.34539328408056</c:v>
                </c:pt>
                <c:pt idx="78">
                  <c:v>274.2960753582874</c:v>
                </c:pt>
                <c:pt idx="79">
                  <c:v>277.20467189001192</c:v>
                </c:pt>
                <c:pt idx="80">
                  <c:v>280.07151792166167</c:v>
                </c:pt>
                <c:pt idx="81">
                  <c:v>282.89692879249617</c:v>
                </c:pt>
                <c:pt idx="82">
                  <c:v>285.68120079264065</c:v>
                </c:pt>
                <c:pt idx="83">
                  <c:v>288.4246117679977</c:v>
                </c:pt>
                <c:pt idx="84">
                  <c:v>291.12742167909232</c:v>
                </c:pt>
                <c:pt idx="85">
                  <c:v>293.78987311660325</c:v>
                </c:pt>
                <c:pt idx="86">
                  <c:v>296.41219177606905</c:v>
                </c:pt>
                <c:pt idx="87">
                  <c:v>298.99458689402468</c:v>
                </c:pt>
                <c:pt idx="88">
                  <c:v>301.53725164760488</c:v>
                </c:pt>
                <c:pt idx="89">
                  <c:v>304.04036351944978</c:v>
                </c:pt>
                <c:pt idx="90">
                  <c:v>306.50408462956784</c:v>
                </c:pt>
                <c:pt idx="91">
                  <c:v>308.92856203563679</c:v>
                </c:pt>
                <c:pt idx="92">
                  <c:v>311.31392800306787</c:v>
                </c:pt>
                <c:pt idx="93">
                  <c:v>313.66030024601167</c:v>
                </c:pt>
                <c:pt idx="94">
                  <c:v>315.96778214034305</c:v>
                </c:pt>
                <c:pt idx="95">
                  <c:v>318.23646290953667</c:v>
                </c:pt>
                <c:pt idx="96">
                  <c:v>320.4664177842194</c:v>
                </c:pt>
                <c:pt idx="97">
                  <c:v>322.6577081360702</c:v>
                </c:pt>
                <c:pt idx="98">
                  <c:v>324.81038158662699</c:v>
                </c:pt>
                <c:pt idx="99">
                  <c:v>326.92447209145132</c:v>
                </c:pt>
                <c:pt idx="100">
                  <c:v>329.00000000000034</c:v>
                </c:pt>
                <c:pt idx="101">
                  <c:v>331.03697209145133</c:v>
                </c:pt>
                <c:pt idx="102">
                  <c:v>333.03538158662695</c:v>
                </c:pt>
                <c:pt idx="103">
                  <c:v>334.99520813607018</c:v>
                </c:pt>
                <c:pt idx="104">
                  <c:v>336.91641778421933</c:v>
                </c:pt>
                <c:pt idx="105">
                  <c:v>338.79896290953656</c:v>
                </c:pt>
                <c:pt idx="106">
                  <c:v>340.642782140343</c:v>
                </c:pt>
                <c:pt idx="107">
                  <c:v>342.44780024601158</c:v>
                </c:pt>
                <c:pt idx="108">
                  <c:v>344.21392800306774</c:v>
                </c:pt>
                <c:pt idx="109">
                  <c:v>345.94106203563666</c:v>
                </c:pt>
                <c:pt idx="110">
                  <c:v>347.62908462956773</c:v>
                </c:pt>
                <c:pt idx="111">
                  <c:v>349.27786351944962</c:v>
                </c:pt>
                <c:pt idx="112">
                  <c:v>350.88725164760473</c:v>
                </c:pt>
                <c:pt idx="113">
                  <c:v>352.45708689402448</c:v>
                </c:pt>
                <c:pt idx="114">
                  <c:v>353.98719177606881</c:v>
                </c:pt>
                <c:pt idx="115">
                  <c:v>355.47737311660302</c:v>
                </c:pt>
                <c:pt idx="116">
                  <c:v>356.92742167909205</c:v>
                </c:pt>
                <c:pt idx="117">
                  <c:v>358.33711176799744</c:v>
                </c:pt>
                <c:pt idx="118">
                  <c:v>359.7062007926404</c:v>
                </c:pt>
                <c:pt idx="119">
                  <c:v>361.03442879249593</c:v>
                </c:pt>
                <c:pt idx="120">
                  <c:v>362.32151792166138</c:v>
                </c:pt>
                <c:pt idx="121">
                  <c:v>363.56717189001159</c:v>
                </c:pt>
                <c:pt idx="122">
                  <c:v>364.77107535828708</c:v>
                </c:pt>
                <c:pt idx="123">
                  <c:v>365.93289328408025</c:v>
                </c:pt>
                <c:pt idx="124">
                  <c:v>367.05227021537019</c:v>
                </c:pt>
                <c:pt idx="125">
                  <c:v>368.12882952790898</c:v>
                </c:pt>
                <c:pt idx="126">
                  <c:v>369.16217260238028</c:v>
                </c:pt>
                <c:pt idx="127">
                  <c:v>370.15187793682838</c:v>
                </c:pt>
                <c:pt idx="128">
                  <c:v>371.09750018938047</c:v>
                </c:pt>
                <c:pt idx="129">
                  <c:v>371.9985691457656</c:v>
                </c:pt>
                <c:pt idx="130">
                  <c:v>372.85458860554337</c:v>
                </c:pt>
                <c:pt idx="131">
                  <c:v>373.66503518030601</c:v>
                </c:pt>
                <c:pt idx="132">
                  <c:v>374.42935699638178</c:v>
                </c:pt>
                <c:pt idx="133">
                  <c:v>375.14697229374673</c:v>
                </c:pt>
                <c:pt idx="134">
                  <c:v>375.81726791192727</c:v>
                </c:pt>
                <c:pt idx="135">
                  <c:v>376.43959765263253</c:v>
                </c:pt>
                <c:pt idx="136">
                  <c:v>377.01328050767916</c:v>
                </c:pt>
                <c:pt idx="137">
                  <c:v>377.53759873943613</c:v>
                </c:pt>
                <c:pt idx="138">
                  <c:v>378.01179579950667</c:v>
                </c:pt>
                <c:pt idx="139">
                  <c:v>378.43507406964085</c:v>
                </c:pt>
                <c:pt idx="140">
                  <c:v>378.80659240691318</c:v>
                </c:pt>
                <c:pt idx="141">
                  <c:v>379.12546347295626</c:v>
                </c:pt>
                <c:pt idx="142">
                  <c:v>379.39075082447255</c:v>
                </c:pt>
                <c:pt idx="143">
                  <c:v>379.60146573929751</c:v>
                </c:pt>
                <c:pt idx="144">
                  <c:v>379.75656374888467</c:v>
                </c:pt>
                <c:pt idx="145">
                  <c:v>379.85494084416359</c:v>
                </c:pt>
                <c:pt idx="146">
                  <c:v>379.89542931716778</c:v>
                </c:pt>
                <c:pt idx="147">
                  <c:v>379.87679319555036</c:v>
                </c:pt>
                <c:pt idx="148">
                  <c:v>379.79772322094675</c:v>
                </c:pt>
                <c:pt idx="149">
                  <c:v>379.65683131494183</c:v>
                </c:pt>
                <c:pt idx="150">
                  <c:v>379.45264446795318</c:v>
                </c:pt>
                <c:pt idx="151">
                  <c:v>379.18359797639454</c:v>
                </c:pt>
                <c:pt idx="152">
                  <c:v>378.84802794173197</c:v>
                </c:pt>
                <c:pt idx="153">
                  <c:v>378.44416293109788</c:v>
                </c:pt>
                <c:pt idx="154">
                  <c:v>377.97011468252606</c:v>
                </c:pt>
                <c:pt idx="155">
                  <c:v>377.4238677180013</c:v>
                </c:pt>
                <c:pt idx="156">
                  <c:v>376.80326770365377</c:v>
                </c:pt>
                <c:pt idx="157">
                  <c:v>376.10600836762075</c:v>
                </c:pt>
                <c:pt idx="158">
                  <c:v>375.32961675115553</c:v>
                </c:pt>
                <c:pt idx="159">
                  <c:v>374.47143652596282</c:v>
                </c:pt>
                <c:pt idx="160">
                  <c:v>373.52860905851401</c:v>
                </c:pt>
                <c:pt idx="161">
                  <c:v>372.49805183770616</c:v>
                </c:pt>
                <c:pt idx="162">
                  <c:v>371.37643380235579</c:v>
                </c:pt>
                <c:pt idx="163">
                  <c:v>370.16014700530042</c:v>
                </c:pt>
                <c:pt idx="164">
                  <c:v>368.84527392553014</c:v>
                </c:pt>
                <c:pt idx="165">
                  <c:v>367.42754958104848</c:v>
                </c:pt>
                <c:pt idx="166">
                  <c:v>365.90231739262447</c:v>
                </c:pt>
                <c:pt idx="167">
                  <c:v>364.2644774879866</c:v>
                </c:pt>
                <c:pt idx="168">
                  <c:v>362.50842579770006</c:v>
                </c:pt>
                <c:pt idx="169">
                  <c:v>360.62798185058625</c:v>
                </c:pt>
                <c:pt idx="170">
                  <c:v>358.61630258947264</c:v>
                </c:pt>
                <c:pt idx="171">
                  <c:v>356.4657787420926</c:v>
                </c:pt>
                <c:pt idx="172">
                  <c:v>354.16790921702983</c:v>
                </c:pt>
                <c:pt idx="173">
                  <c:v>351.71314753282803</c:v>
                </c:pt>
                <c:pt idx="174">
                  <c:v>349.09071225322111</c:v>
                </c:pt>
                <c:pt idx="175">
                  <c:v>346.288350523644</c:v>
                </c:pt>
                <c:pt idx="176">
                  <c:v>343.29203966483823</c:v>
                </c:pt>
                <c:pt idx="177">
                  <c:v>340.08560571207681</c:v>
                </c:pt>
                <c:pt idx="178">
                  <c:v>336.65022870703456</c:v>
                </c:pt>
                <c:pt idx="179">
                  <c:v>332.96379063397393</c:v>
                </c:pt>
                <c:pt idx="180">
                  <c:v>328.99999999999886</c:v>
                </c:pt>
                <c:pt idx="181">
                  <c:v>324.72719157212344</c:v>
                </c:pt>
                <c:pt idx="182">
                  <c:v>320.10664025383807</c:v>
                </c:pt>
                <c:pt idx="183">
                  <c:v>315.09012418094335</c:v>
                </c:pt>
                <c:pt idx="184">
                  <c:v>309.61628213659014</c:v>
                </c:pt>
                <c:pt idx="185">
                  <c:v>303.60494326064213</c:v>
                </c:pt>
                <c:pt idx="186">
                  <c:v>296.94784835204456</c:v>
                </c:pt>
                <c:pt idx="187">
                  <c:v>289.49247798912268</c:v>
                </c:pt>
                <c:pt idx="188">
                  <c:v>281.01144362340284</c:v>
                </c:pt>
                <c:pt idx="189">
                  <c:v>271.13761435351432</c:v>
                </c:pt>
                <c:pt idx="190">
                  <c:v>259.201648101724</c:v>
                </c:pt>
                <c:pt idx="191">
                  <c:v>243.69365782415679</c:v>
                </c:pt>
                <c:pt idx="192">
                  <c:v>218.8306592406793</c:v>
                </c:pt>
                <c:pt idx="193">
                  <c:v>191.23125000000067</c:v>
                </c:pt>
                <c:pt idx="194">
                  <c:v>#N/A</c:v>
                </c:pt>
                <c:pt idx="195">
                  <c:v>#N/A</c:v>
                </c:pt>
                <c:pt idx="196">
                  <c:v>#N/A</c:v>
                </c:pt>
                <c:pt idx="197">
                  <c:v>#N/A</c:v>
                </c:pt>
                <c:pt idx="198">
                  <c:v>#N/A</c:v>
                </c:pt>
                <c:pt idx="199">
                  <c:v>#N/A</c:v>
                </c:pt>
                <c:pt idx="200">
                  <c:v>#N/A</c:v>
                </c:pt>
              </c:numCache>
            </c:numRef>
          </c:yVal>
          <c:smooth val="0"/>
          <c:extLst>
            <c:ext xmlns:c16="http://schemas.microsoft.com/office/drawing/2014/chart" uri="{C3380CC4-5D6E-409C-BE32-E72D297353CC}">
              <c16:uniqueId val="{00000003-DCA0-4154-952E-0EF98D27EA1E}"/>
            </c:ext>
          </c:extLst>
        </c:ser>
        <c:ser>
          <c:idx val="4"/>
          <c:order val="4"/>
          <c:tx>
            <c:v>Von Mises Boundary Lower</c:v>
          </c:tx>
          <c:spPr>
            <a:ln w="12700" cap="rnd">
              <a:solidFill>
                <a:schemeClr val="tx1"/>
              </a:solidFill>
              <a:prstDash val="dash"/>
              <a:round/>
            </a:ln>
            <a:effectLst/>
          </c:spPr>
          <c:marker>
            <c:symbol val="none"/>
          </c:marker>
          <c:xVal>
            <c:numRef>
              <c:f>'Plane Stress'!$N$270:$N$470</c:f>
              <c:numCache>
                <c:formatCode>General</c:formatCode>
                <c:ptCount val="201"/>
                <c:pt idx="0">
                  <c:v>-411.25</c:v>
                </c:pt>
                <c:pt idx="1">
                  <c:v>-407.13749999999999</c:v>
                </c:pt>
                <c:pt idx="2">
                  <c:v>-403.02499999999998</c:v>
                </c:pt>
                <c:pt idx="3">
                  <c:v>-398.91249999999997</c:v>
                </c:pt>
                <c:pt idx="4">
                  <c:v>-394.79999999999995</c:v>
                </c:pt>
                <c:pt idx="5">
                  <c:v>-390.68749999999994</c:v>
                </c:pt>
                <c:pt idx="6">
                  <c:v>-386.57499999999993</c:v>
                </c:pt>
                <c:pt idx="7">
                  <c:v>-382.46249999999992</c:v>
                </c:pt>
                <c:pt idx="8">
                  <c:v>-378.34999999999991</c:v>
                </c:pt>
                <c:pt idx="9">
                  <c:v>-374.2374999999999</c:v>
                </c:pt>
                <c:pt idx="10">
                  <c:v>-370.12499999999989</c:v>
                </c:pt>
                <c:pt idx="11">
                  <c:v>-366.01249999999987</c:v>
                </c:pt>
                <c:pt idx="12">
                  <c:v>-361.89999999999986</c:v>
                </c:pt>
                <c:pt idx="13">
                  <c:v>-357.78749999999985</c:v>
                </c:pt>
                <c:pt idx="14">
                  <c:v>-353.67499999999984</c:v>
                </c:pt>
                <c:pt idx="15">
                  <c:v>-349.56249999999983</c:v>
                </c:pt>
                <c:pt idx="16">
                  <c:v>-345.44999999999982</c:v>
                </c:pt>
                <c:pt idx="17">
                  <c:v>-341.33749999999981</c:v>
                </c:pt>
                <c:pt idx="18">
                  <c:v>-337.2249999999998</c:v>
                </c:pt>
                <c:pt idx="19">
                  <c:v>-333.11249999999978</c:v>
                </c:pt>
                <c:pt idx="20">
                  <c:v>-328.99999999999977</c:v>
                </c:pt>
                <c:pt idx="21">
                  <c:v>-324.88749999999976</c:v>
                </c:pt>
                <c:pt idx="22">
                  <c:v>-320.77499999999975</c:v>
                </c:pt>
                <c:pt idx="23">
                  <c:v>-316.66249999999974</c:v>
                </c:pt>
                <c:pt idx="24">
                  <c:v>-312.54999999999973</c:v>
                </c:pt>
                <c:pt idx="25">
                  <c:v>-308.43749999999972</c:v>
                </c:pt>
                <c:pt idx="26">
                  <c:v>-304.3249999999997</c:v>
                </c:pt>
                <c:pt idx="27">
                  <c:v>-300.21249999999969</c:v>
                </c:pt>
                <c:pt idx="28">
                  <c:v>-296.09999999999968</c:v>
                </c:pt>
                <c:pt idx="29">
                  <c:v>-291.98749999999967</c:v>
                </c:pt>
                <c:pt idx="30">
                  <c:v>-287.87499999999966</c:v>
                </c:pt>
                <c:pt idx="31">
                  <c:v>-283.76249999999965</c:v>
                </c:pt>
                <c:pt idx="32">
                  <c:v>-279.64999999999964</c:v>
                </c:pt>
                <c:pt idx="33">
                  <c:v>-275.53749999999962</c:v>
                </c:pt>
                <c:pt idx="34">
                  <c:v>-271.42499999999961</c:v>
                </c:pt>
                <c:pt idx="35">
                  <c:v>-267.3124999999996</c:v>
                </c:pt>
                <c:pt idx="36">
                  <c:v>-263.19999999999959</c:v>
                </c:pt>
                <c:pt idx="37">
                  <c:v>-259.08749999999958</c:v>
                </c:pt>
                <c:pt idx="38">
                  <c:v>-254.97499999999957</c:v>
                </c:pt>
                <c:pt idx="39">
                  <c:v>-250.86249999999956</c:v>
                </c:pt>
                <c:pt idx="40">
                  <c:v>-246.74999999999955</c:v>
                </c:pt>
                <c:pt idx="41">
                  <c:v>-242.63749999999953</c:v>
                </c:pt>
                <c:pt idx="42">
                  <c:v>-238.52499999999952</c:v>
                </c:pt>
                <c:pt idx="43">
                  <c:v>-234.41249999999951</c:v>
                </c:pt>
                <c:pt idx="44">
                  <c:v>-230.2999999999995</c:v>
                </c:pt>
                <c:pt idx="45">
                  <c:v>-226.18749999999949</c:v>
                </c:pt>
                <c:pt idx="46">
                  <c:v>-222.07499999999948</c:v>
                </c:pt>
                <c:pt idx="47">
                  <c:v>-217.96249999999947</c:v>
                </c:pt>
                <c:pt idx="48">
                  <c:v>-213.84999999999945</c:v>
                </c:pt>
                <c:pt idx="49">
                  <c:v>-209.73749999999944</c:v>
                </c:pt>
                <c:pt idx="50">
                  <c:v>-205.62499999999943</c:v>
                </c:pt>
                <c:pt idx="51">
                  <c:v>-201.51249999999942</c:v>
                </c:pt>
                <c:pt idx="52">
                  <c:v>-197.39999999999941</c:v>
                </c:pt>
                <c:pt idx="53">
                  <c:v>-193.2874999999994</c:v>
                </c:pt>
                <c:pt idx="54">
                  <c:v>-189.17499999999939</c:v>
                </c:pt>
                <c:pt idx="55">
                  <c:v>-185.06249999999937</c:v>
                </c:pt>
                <c:pt idx="56">
                  <c:v>-180.94999999999936</c:v>
                </c:pt>
                <c:pt idx="57">
                  <c:v>-176.83749999999935</c:v>
                </c:pt>
                <c:pt idx="58">
                  <c:v>-172.72499999999934</c:v>
                </c:pt>
                <c:pt idx="59">
                  <c:v>-168.61249999999933</c:v>
                </c:pt>
                <c:pt idx="60">
                  <c:v>-164.49999999999932</c:v>
                </c:pt>
                <c:pt idx="61">
                  <c:v>-160.38749999999931</c:v>
                </c:pt>
                <c:pt idx="62">
                  <c:v>-156.2749999999993</c:v>
                </c:pt>
                <c:pt idx="63">
                  <c:v>-152.16249999999928</c:v>
                </c:pt>
                <c:pt idx="64">
                  <c:v>-148.04999999999927</c:v>
                </c:pt>
                <c:pt idx="65">
                  <c:v>-143.93749999999926</c:v>
                </c:pt>
                <c:pt idx="66">
                  <c:v>-139.82499999999925</c:v>
                </c:pt>
                <c:pt idx="67">
                  <c:v>-135.71249999999924</c:v>
                </c:pt>
                <c:pt idx="68">
                  <c:v>-131.59999999999923</c:v>
                </c:pt>
                <c:pt idx="69">
                  <c:v>-127.48749999999923</c:v>
                </c:pt>
                <c:pt idx="70">
                  <c:v>-123.37499999999923</c:v>
                </c:pt>
                <c:pt idx="71">
                  <c:v>-119.26249999999924</c:v>
                </c:pt>
                <c:pt idx="72">
                  <c:v>-115.14999999999924</c:v>
                </c:pt>
                <c:pt idx="73">
                  <c:v>-111.03749999999924</c:v>
                </c:pt>
                <c:pt idx="74">
                  <c:v>-106.92499999999924</c:v>
                </c:pt>
                <c:pt idx="75">
                  <c:v>-102.81249999999925</c:v>
                </c:pt>
                <c:pt idx="76">
                  <c:v>-98.69999999999925</c:v>
                </c:pt>
                <c:pt idx="77">
                  <c:v>-94.587499999999253</c:v>
                </c:pt>
                <c:pt idx="78">
                  <c:v>-90.474999999999255</c:v>
                </c:pt>
                <c:pt idx="79">
                  <c:v>-86.362499999999258</c:v>
                </c:pt>
                <c:pt idx="80">
                  <c:v>-82.249999999999261</c:v>
                </c:pt>
                <c:pt idx="81">
                  <c:v>-78.137499999999264</c:v>
                </c:pt>
                <c:pt idx="82">
                  <c:v>-74.024999999999267</c:v>
                </c:pt>
                <c:pt idx="83">
                  <c:v>-69.91249999999927</c:v>
                </c:pt>
                <c:pt idx="84">
                  <c:v>-65.799999999999272</c:v>
                </c:pt>
                <c:pt idx="85">
                  <c:v>-61.687499999999275</c:v>
                </c:pt>
                <c:pt idx="86">
                  <c:v>-57.574999999999278</c:v>
                </c:pt>
                <c:pt idx="87">
                  <c:v>-53.462499999999281</c:v>
                </c:pt>
                <c:pt idx="88">
                  <c:v>-49.349999999999284</c:v>
                </c:pt>
                <c:pt idx="89">
                  <c:v>-45.237499999999287</c:v>
                </c:pt>
                <c:pt idx="90">
                  <c:v>-41.124999999999289</c:v>
                </c:pt>
                <c:pt idx="91">
                  <c:v>-37.012499999999292</c:v>
                </c:pt>
                <c:pt idx="92">
                  <c:v>-32.899999999999295</c:v>
                </c:pt>
                <c:pt idx="93">
                  <c:v>-28.787499999999294</c:v>
                </c:pt>
                <c:pt idx="94">
                  <c:v>-24.674999999999294</c:v>
                </c:pt>
                <c:pt idx="95">
                  <c:v>-20.562499999999293</c:v>
                </c:pt>
                <c:pt idx="96">
                  <c:v>-16.449999999999292</c:v>
                </c:pt>
                <c:pt idx="97">
                  <c:v>-12.337499999999292</c:v>
                </c:pt>
                <c:pt idx="98">
                  <c:v>-8.2249999999992909</c:v>
                </c:pt>
                <c:pt idx="99">
                  <c:v>-4.1124999999992911</c:v>
                </c:pt>
                <c:pt idx="100">
                  <c:v>7.0876637892069994E-13</c:v>
                </c:pt>
                <c:pt idx="101">
                  <c:v>4.1125000000007086</c:v>
                </c:pt>
                <c:pt idx="102">
                  <c:v>8.2250000000007084</c:v>
                </c:pt>
                <c:pt idx="103">
                  <c:v>12.337500000000709</c:v>
                </c:pt>
                <c:pt idx="104">
                  <c:v>16.45000000000071</c:v>
                </c:pt>
                <c:pt idx="105">
                  <c:v>20.562500000000711</c:v>
                </c:pt>
                <c:pt idx="106">
                  <c:v>24.675000000000711</c:v>
                </c:pt>
                <c:pt idx="107">
                  <c:v>28.787500000000712</c:v>
                </c:pt>
                <c:pt idx="108">
                  <c:v>32.900000000000709</c:v>
                </c:pt>
                <c:pt idx="109">
                  <c:v>37.012500000000706</c:v>
                </c:pt>
                <c:pt idx="110">
                  <c:v>41.125000000000703</c:v>
                </c:pt>
                <c:pt idx="111">
                  <c:v>45.237500000000701</c:v>
                </c:pt>
                <c:pt idx="112">
                  <c:v>49.350000000000698</c:v>
                </c:pt>
                <c:pt idx="113">
                  <c:v>53.462500000000695</c:v>
                </c:pt>
                <c:pt idx="114">
                  <c:v>57.575000000000692</c:v>
                </c:pt>
                <c:pt idx="115">
                  <c:v>61.687500000000689</c:v>
                </c:pt>
                <c:pt idx="116">
                  <c:v>65.800000000000693</c:v>
                </c:pt>
                <c:pt idx="117">
                  <c:v>69.912500000000691</c:v>
                </c:pt>
                <c:pt idx="118">
                  <c:v>74.025000000000688</c:v>
                </c:pt>
                <c:pt idx="119">
                  <c:v>78.137500000000685</c:v>
                </c:pt>
                <c:pt idx="120">
                  <c:v>82.250000000000682</c:v>
                </c:pt>
                <c:pt idx="121">
                  <c:v>86.362500000000679</c:v>
                </c:pt>
                <c:pt idx="122">
                  <c:v>90.475000000000676</c:v>
                </c:pt>
                <c:pt idx="123">
                  <c:v>94.587500000000674</c:v>
                </c:pt>
                <c:pt idx="124">
                  <c:v>98.700000000000671</c:v>
                </c:pt>
                <c:pt idx="125">
                  <c:v>102.81250000000067</c:v>
                </c:pt>
                <c:pt idx="126">
                  <c:v>106.92500000000067</c:v>
                </c:pt>
                <c:pt idx="127">
                  <c:v>111.03750000000066</c:v>
                </c:pt>
                <c:pt idx="128">
                  <c:v>115.15000000000066</c:v>
                </c:pt>
                <c:pt idx="129">
                  <c:v>119.26250000000066</c:v>
                </c:pt>
                <c:pt idx="130">
                  <c:v>123.37500000000065</c:v>
                </c:pt>
                <c:pt idx="131">
                  <c:v>127.48750000000065</c:v>
                </c:pt>
                <c:pt idx="132">
                  <c:v>131.60000000000065</c:v>
                </c:pt>
                <c:pt idx="133">
                  <c:v>135.71250000000066</c:v>
                </c:pt>
                <c:pt idx="134">
                  <c:v>139.82500000000067</c:v>
                </c:pt>
                <c:pt idx="135">
                  <c:v>143.93750000000068</c:v>
                </c:pt>
                <c:pt idx="136">
                  <c:v>148.05000000000069</c:v>
                </c:pt>
                <c:pt idx="137">
                  <c:v>152.1625000000007</c:v>
                </c:pt>
                <c:pt idx="138">
                  <c:v>156.27500000000072</c:v>
                </c:pt>
                <c:pt idx="139">
                  <c:v>160.38750000000073</c:v>
                </c:pt>
                <c:pt idx="140">
                  <c:v>164.50000000000074</c:v>
                </c:pt>
                <c:pt idx="141">
                  <c:v>168.61250000000075</c:v>
                </c:pt>
                <c:pt idx="142">
                  <c:v>172.72500000000076</c:v>
                </c:pt>
                <c:pt idx="143">
                  <c:v>176.83750000000077</c:v>
                </c:pt>
                <c:pt idx="144">
                  <c:v>180.95000000000078</c:v>
                </c:pt>
                <c:pt idx="145">
                  <c:v>185.0625000000008</c:v>
                </c:pt>
                <c:pt idx="146">
                  <c:v>189.17500000000081</c:v>
                </c:pt>
                <c:pt idx="147">
                  <c:v>193.28750000000082</c:v>
                </c:pt>
                <c:pt idx="148">
                  <c:v>197.40000000000083</c:v>
                </c:pt>
                <c:pt idx="149">
                  <c:v>201.51250000000084</c:v>
                </c:pt>
                <c:pt idx="150">
                  <c:v>205.62500000000085</c:v>
                </c:pt>
                <c:pt idx="151">
                  <c:v>209.73750000000086</c:v>
                </c:pt>
                <c:pt idx="152">
                  <c:v>213.85000000000088</c:v>
                </c:pt>
                <c:pt idx="153">
                  <c:v>217.96250000000089</c:v>
                </c:pt>
                <c:pt idx="154">
                  <c:v>222.0750000000009</c:v>
                </c:pt>
                <c:pt idx="155">
                  <c:v>226.18750000000091</c:v>
                </c:pt>
                <c:pt idx="156">
                  <c:v>230.30000000000092</c:v>
                </c:pt>
                <c:pt idx="157">
                  <c:v>234.41250000000093</c:v>
                </c:pt>
                <c:pt idx="158">
                  <c:v>238.52500000000094</c:v>
                </c:pt>
                <c:pt idx="159">
                  <c:v>242.63750000000095</c:v>
                </c:pt>
                <c:pt idx="160">
                  <c:v>246.75000000000097</c:v>
                </c:pt>
                <c:pt idx="161">
                  <c:v>250.86250000000098</c:v>
                </c:pt>
                <c:pt idx="162">
                  <c:v>254.97500000000099</c:v>
                </c:pt>
                <c:pt idx="163">
                  <c:v>259.087500000001</c:v>
                </c:pt>
                <c:pt idx="164">
                  <c:v>263.20000000000101</c:v>
                </c:pt>
                <c:pt idx="165">
                  <c:v>267.31250000000102</c:v>
                </c:pt>
                <c:pt idx="166">
                  <c:v>271.42500000000103</c:v>
                </c:pt>
                <c:pt idx="167">
                  <c:v>275.53750000000105</c:v>
                </c:pt>
                <c:pt idx="168">
                  <c:v>279.65000000000106</c:v>
                </c:pt>
                <c:pt idx="169">
                  <c:v>283.76250000000107</c:v>
                </c:pt>
                <c:pt idx="170">
                  <c:v>287.87500000000108</c:v>
                </c:pt>
                <c:pt idx="171">
                  <c:v>291.98750000000109</c:v>
                </c:pt>
                <c:pt idx="172">
                  <c:v>296.1000000000011</c:v>
                </c:pt>
                <c:pt idx="173">
                  <c:v>300.21250000000111</c:v>
                </c:pt>
                <c:pt idx="174">
                  <c:v>304.32500000000113</c:v>
                </c:pt>
                <c:pt idx="175">
                  <c:v>308.43750000000114</c:v>
                </c:pt>
                <c:pt idx="176">
                  <c:v>312.55000000000115</c:v>
                </c:pt>
                <c:pt idx="177">
                  <c:v>316.66250000000116</c:v>
                </c:pt>
                <c:pt idx="178">
                  <c:v>320.77500000000117</c:v>
                </c:pt>
                <c:pt idx="179">
                  <c:v>324.88750000000118</c:v>
                </c:pt>
                <c:pt idx="180">
                  <c:v>329.00000000000119</c:v>
                </c:pt>
                <c:pt idx="181">
                  <c:v>333.11250000000121</c:v>
                </c:pt>
                <c:pt idx="182">
                  <c:v>337.22500000000122</c:v>
                </c:pt>
                <c:pt idx="183">
                  <c:v>341.33750000000123</c:v>
                </c:pt>
                <c:pt idx="184">
                  <c:v>345.45000000000124</c:v>
                </c:pt>
                <c:pt idx="185">
                  <c:v>349.56250000000125</c:v>
                </c:pt>
                <c:pt idx="186">
                  <c:v>353.67500000000126</c:v>
                </c:pt>
                <c:pt idx="187">
                  <c:v>357.78750000000127</c:v>
                </c:pt>
                <c:pt idx="188">
                  <c:v>361.90000000000128</c:v>
                </c:pt>
                <c:pt idx="189">
                  <c:v>366.0125000000013</c:v>
                </c:pt>
                <c:pt idx="190">
                  <c:v>370.12500000000131</c:v>
                </c:pt>
                <c:pt idx="191">
                  <c:v>374.23750000000132</c:v>
                </c:pt>
                <c:pt idx="192">
                  <c:v>378.35000000000133</c:v>
                </c:pt>
                <c:pt idx="193">
                  <c:v>382.46250000000134</c:v>
                </c:pt>
                <c:pt idx="194">
                  <c:v>386.57500000000135</c:v>
                </c:pt>
                <c:pt idx="195">
                  <c:v>390.68750000000136</c:v>
                </c:pt>
                <c:pt idx="196">
                  <c:v>394.80000000000138</c:v>
                </c:pt>
                <c:pt idx="197">
                  <c:v>398.91250000000139</c:v>
                </c:pt>
                <c:pt idx="198">
                  <c:v>403.0250000000014</c:v>
                </c:pt>
                <c:pt idx="199">
                  <c:v>407.13750000000141</c:v>
                </c:pt>
                <c:pt idx="200">
                  <c:v>411.25000000000142</c:v>
                </c:pt>
              </c:numCache>
            </c:numRef>
          </c:xVal>
          <c:yVal>
            <c:numRef>
              <c:f>'Plane Stress'!$Q$270:$Q$470</c:f>
              <c:numCache>
                <c:formatCode>General</c:formatCode>
                <c:ptCount val="201"/>
                <c:pt idx="0">
                  <c:v>#N/A</c:v>
                </c:pt>
                <c:pt idx="1">
                  <c:v>#N/A</c:v>
                </c:pt>
                <c:pt idx="2">
                  <c:v>#N/A</c:v>
                </c:pt>
                <c:pt idx="3">
                  <c:v>#N/A</c:v>
                </c:pt>
                <c:pt idx="4">
                  <c:v>#N/A</c:v>
                </c:pt>
                <c:pt idx="5">
                  <c:v>#N/A</c:v>
                </c:pt>
                <c:pt idx="6">
                  <c:v>#N/A</c:v>
                </c:pt>
                <c:pt idx="7">
                  <c:v>-191.23124999999996</c:v>
                </c:pt>
                <c:pt idx="8">
                  <c:v>-218.83065924069183</c:v>
                </c:pt>
                <c:pt idx="9">
                  <c:v>-243.69365782416301</c:v>
                </c:pt>
                <c:pt idx="10">
                  <c:v>-259.20164810172861</c:v>
                </c:pt>
                <c:pt idx="11">
                  <c:v>-271.13761435351807</c:v>
                </c:pt>
                <c:pt idx="12">
                  <c:v>-281.01144362340597</c:v>
                </c:pt>
                <c:pt idx="13">
                  <c:v>-289.4924779891254</c:v>
                </c:pt>
                <c:pt idx="14">
                  <c:v>-296.94784835204689</c:v>
                </c:pt>
                <c:pt idx="15">
                  <c:v>-303.60494326064429</c:v>
                </c:pt>
                <c:pt idx="16">
                  <c:v>-309.61628213659219</c:v>
                </c:pt>
                <c:pt idx="17">
                  <c:v>-315.09012418094517</c:v>
                </c:pt>
                <c:pt idx="18">
                  <c:v>-320.10664025383977</c:v>
                </c:pt>
                <c:pt idx="19">
                  <c:v>-324.72719157212498</c:v>
                </c:pt>
                <c:pt idx="20">
                  <c:v>-329.00000000000023</c:v>
                </c:pt>
                <c:pt idx="21">
                  <c:v>-332.96379063397524</c:v>
                </c:pt>
                <c:pt idx="22">
                  <c:v>-336.65022870703569</c:v>
                </c:pt>
                <c:pt idx="23">
                  <c:v>-340.08560571207795</c:v>
                </c:pt>
                <c:pt idx="24">
                  <c:v>-343.29203966483931</c:v>
                </c:pt>
                <c:pt idx="25">
                  <c:v>-346.28835052364502</c:v>
                </c:pt>
                <c:pt idx="26">
                  <c:v>-349.09071225322208</c:v>
                </c:pt>
                <c:pt idx="27">
                  <c:v>-351.71314753282888</c:v>
                </c:pt>
                <c:pt idx="28">
                  <c:v>-354.16790921703063</c:v>
                </c:pt>
                <c:pt idx="29">
                  <c:v>-356.46577874209333</c:v>
                </c:pt>
                <c:pt idx="30">
                  <c:v>-358.61630258947332</c:v>
                </c:pt>
                <c:pt idx="31">
                  <c:v>-360.62798185058693</c:v>
                </c:pt>
                <c:pt idx="32">
                  <c:v>-362.50842579770074</c:v>
                </c:pt>
                <c:pt idx="33">
                  <c:v>-364.26447748798722</c:v>
                </c:pt>
                <c:pt idx="34">
                  <c:v>-365.90231739262504</c:v>
                </c:pt>
                <c:pt idx="35">
                  <c:v>-367.42754958104899</c:v>
                </c:pt>
                <c:pt idx="36">
                  <c:v>-368.84527392553059</c:v>
                </c:pt>
                <c:pt idx="37">
                  <c:v>-370.16014700530087</c:v>
                </c:pt>
                <c:pt idx="38">
                  <c:v>-371.37643380235613</c:v>
                </c:pt>
                <c:pt idx="39">
                  <c:v>-372.49805183770656</c:v>
                </c:pt>
                <c:pt idx="40">
                  <c:v>-373.52860905851441</c:v>
                </c:pt>
                <c:pt idx="41">
                  <c:v>-374.4714365259631</c:v>
                </c:pt>
                <c:pt idx="42">
                  <c:v>-375.32961675115581</c:v>
                </c:pt>
                <c:pt idx="43">
                  <c:v>-376.10600836762103</c:v>
                </c:pt>
                <c:pt idx="44">
                  <c:v>-376.803267703654</c:v>
                </c:pt>
                <c:pt idx="45">
                  <c:v>-377.42386771800147</c:v>
                </c:pt>
                <c:pt idx="46">
                  <c:v>-377.97011468252629</c:v>
                </c:pt>
                <c:pt idx="47">
                  <c:v>-378.44416293109805</c:v>
                </c:pt>
                <c:pt idx="48">
                  <c:v>-378.84802794173208</c:v>
                </c:pt>
                <c:pt idx="49">
                  <c:v>-379.18359797639471</c:v>
                </c:pt>
                <c:pt idx="50">
                  <c:v>-379.45264446795318</c:v>
                </c:pt>
                <c:pt idx="51">
                  <c:v>-379.65683131494188</c:v>
                </c:pt>
                <c:pt idx="52">
                  <c:v>-379.79772322094675</c:v>
                </c:pt>
                <c:pt idx="53">
                  <c:v>-379.87679319555036</c:v>
                </c:pt>
                <c:pt idx="54">
                  <c:v>-379.89542931716778</c:v>
                </c:pt>
                <c:pt idx="55">
                  <c:v>-379.85494084416359</c:v>
                </c:pt>
                <c:pt idx="56">
                  <c:v>-379.75656374888462</c:v>
                </c:pt>
                <c:pt idx="57">
                  <c:v>-379.6014657392974</c:v>
                </c:pt>
                <c:pt idx="58">
                  <c:v>-379.39075082447255</c:v>
                </c:pt>
                <c:pt idx="59">
                  <c:v>-379.12546347295608</c:v>
                </c:pt>
                <c:pt idx="60">
                  <c:v>-378.80659240691307</c:v>
                </c:pt>
                <c:pt idx="61">
                  <c:v>-378.43507406964068</c:v>
                </c:pt>
                <c:pt idx="62">
                  <c:v>-378.01179579950656</c:v>
                </c:pt>
                <c:pt idx="63">
                  <c:v>-377.53759873943602</c:v>
                </c:pt>
                <c:pt idx="64">
                  <c:v>-377.01328050767893</c:v>
                </c:pt>
                <c:pt idx="65">
                  <c:v>-376.4395976526323</c:v>
                </c:pt>
                <c:pt idx="66">
                  <c:v>-375.81726791192705</c:v>
                </c:pt>
                <c:pt idx="67">
                  <c:v>-375.14697229374644</c:v>
                </c:pt>
                <c:pt idx="68">
                  <c:v>-374.4293569963815</c:v>
                </c:pt>
                <c:pt idx="69">
                  <c:v>-373.66503518030578</c:v>
                </c:pt>
                <c:pt idx="70">
                  <c:v>-372.85458860554309</c:v>
                </c:pt>
                <c:pt idx="71">
                  <c:v>-371.99856914576532</c:v>
                </c:pt>
                <c:pt idx="72">
                  <c:v>-371.09750018938018</c:v>
                </c:pt>
                <c:pt idx="73">
                  <c:v>-370.15187793682799</c:v>
                </c:pt>
                <c:pt idx="74">
                  <c:v>-369.16217260237994</c:v>
                </c:pt>
                <c:pt idx="75">
                  <c:v>-368.12882952790858</c:v>
                </c:pt>
                <c:pt idx="76">
                  <c:v>-367.05227021536984</c:v>
                </c:pt>
                <c:pt idx="77">
                  <c:v>-365.93289328407985</c:v>
                </c:pt>
                <c:pt idx="78">
                  <c:v>-364.77107535828662</c:v>
                </c:pt>
                <c:pt idx="79">
                  <c:v>-363.5671718900112</c:v>
                </c:pt>
                <c:pt idx="80">
                  <c:v>-362.32151792166098</c:v>
                </c:pt>
                <c:pt idx="81">
                  <c:v>-361.03442879249542</c:v>
                </c:pt>
                <c:pt idx="82">
                  <c:v>-359.70620079263995</c:v>
                </c:pt>
                <c:pt idx="83">
                  <c:v>-358.33711176799693</c:v>
                </c:pt>
                <c:pt idx="84">
                  <c:v>-356.92742167909159</c:v>
                </c:pt>
                <c:pt idx="85">
                  <c:v>-355.47737311660256</c:v>
                </c:pt>
                <c:pt idx="86">
                  <c:v>-353.9871917760683</c:v>
                </c:pt>
                <c:pt idx="87">
                  <c:v>-352.45708689402397</c:v>
                </c:pt>
                <c:pt idx="88">
                  <c:v>-350.8872516476041</c:v>
                </c:pt>
                <c:pt idx="89">
                  <c:v>-349.27786351944906</c:v>
                </c:pt>
                <c:pt idx="90">
                  <c:v>-347.62908462956716</c:v>
                </c:pt>
                <c:pt idx="91">
                  <c:v>-345.94106203563604</c:v>
                </c:pt>
                <c:pt idx="92">
                  <c:v>-344.21392800306717</c:v>
                </c:pt>
                <c:pt idx="93">
                  <c:v>-342.44780024601101</c:v>
                </c:pt>
                <c:pt idx="94">
                  <c:v>-340.64278214034232</c:v>
                </c:pt>
                <c:pt idx="95">
                  <c:v>-338.79896290953599</c:v>
                </c:pt>
                <c:pt idx="96">
                  <c:v>-336.91641778421865</c:v>
                </c:pt>
                <c:pt idx="97">
                  <c:v>-334.99520813606949</c:v>
                </c:pt>
                <c:pt idx="98">
                  <c:v>-333.03538158662633</c:v>
                </c:pt>
                <c:pt idx="99">
                  <c:v>-331.03697209145059</c:v>
                </c:pt>
                <c:pt idx="100">
                  <c:v>-328.99999999999966</c:v>
                </c:pt>
                <c:pt idx="101">
                  <c:v>-326.92447209145058</c:v>
                </c:pt>
                <c:pt idx="102">
                  <c:v>-324.81038158662625</c:v>
                </c:pt>
                <c:pt idx="103">
                  <c:v>-322.65770813606952</c:v>
                </c:pt>
                <c:pt idx="104">
                  <c:v>-320.46641778421861</c:v>
                </c:pt>
                <c:pt idx="105">
                  <c:v>-318.23646290953587</c:v>
                </c:pt>
                <c:pt idx="106">
                  <c:v>-315.96778214034225</c:v>
                </c:pt>
                <c:pt idx="107">
                  <c:v>-313.66030024601088</c:v>
                </c:pt>
                <c:pt idx="108">
                  <c:v>-311.31392800306708</c:v>
                </c:pt>
                <c:pt idx="109">
                  <c:v>-308.92856203563593</c:v>
                </c:pt>
                <c:pt idx="110">
                  <c:v>-306.50408462956705</c:v>
                </c:pt>
                <c:pt idx="111">
                  <c:v>-304.04036351944887</c:v>
                </c:pt>
                <c:pt idx="112">
                  <c:v>-301.53725164760402</c:v>
                </c:pt>
                <c:pt idx="113">
                  <c:v>-298.99458689402383</c:v>
                </c:pt>
                <c:pt idx="114">
                  <c:v>-296.41219177606808</c:v>
                </c:pt>
                <c:pt idx="115">
                  <c:v>-293.78987311660234</c:v>
                </c:pt>
                <c:pt idx="116">
                  <c:v>-291.12742167909141</c:v>
                </c:pt>
                <c:pt idx="117">
                  <c:v>-288.42461176799674</c:v>
                </c:pt>
                <c:pt idx="118">
                  <c:v>-285.68120079263974</c:v>
                </c:pt>
                <c:pt idx="119">
                  <c:v>-282.8969287924952</c:v>
                </c:pt>
                <c:pt idx="120">
                  <c:v>-280.0715179216607</c:v>
                </c:pt>
                <c:pt idx="121">
                  <c:v>-277.20467189001096</c:v>
                </c:pt>
                <c:pt idx="122">
                  <c:v>-274.29607535828637</c:v>
                </c:pt>
                <c:pt idx="123">
                  <c:v>-271.34539328407959</c:v>
                </c:pt>
                <c:pt idx="124">
                  <c:v>-268.35227021536957</c:v>
                </c:pt>
                <c:pt idx="125">
                  <c:v>-265.31632952790829</c:v>
                </c:pt>
                <c:pt idx="126">
                  <c:v>-262.23717260237964</c:v>
                </c:pt>
                <c:pt idx="127">
                  <c:v>-259.11437793682768</c:v>
                </c:pt>
                <c:pt idx="128">
                  <c:v>-255.94750018937981</c:v>
                </c:pt>
                <c:pt idx="129">
                  <c:v>-252.73606914576496</c:v>
                </c:pt>
                <c:pt idx="130">
                  <c:v>-249.47958860554269</c:v>
                </c:pt>
                <c:pt idx="131">
                  <c:v>-246.17753518030537</c:v>
                </c:pt>
                <c:pt idx="132">
                  <c:v>-242.82935699638111</c:v>
                </c:pt>
                <c:pt idx="133">
                  <c:v>-239.43447229374607</c:v>
                </c:pt>
                <c:pt idx="134">
                  <c:v>-235.99226791192658</c:v>
                </c:pt>
                <c:pt idx="135">
                  <c:v>-232.50209765263185</c:v>
                </c:pt>
                <c:pt idx="136">
                  <c:v>-228.96328050767843</c:v>
                </c:pt>
                <c:pt idx="137">
                  <c:v>-225.37509873943543</c:v>
                </c:pt>
                <c:pt idx="138">
                  <c:v>-221.73679579950598</c:v>
                </c:pt>
                <c:pt idx="139">
                  <c:v>-218.04757406964012</c:v>
                </c:pt>
                <c:pt idx="140">
                  <c:v>-214.30659240691247</c:v>
                </c:pt>
                <c:pt idx="141">
                  <c:v>-210.51296347295551</c:v>
                </c:pt>
                <c:pt idx="142">
                  <c:v>-206.66575082447181</c:v>
                </c:pt>
                <c:pt idx="143">
                  <c:v>-202.76396573929674</c:v>
                </c:pt>
                <c:pt idx="144">
                  <c:v>-198.80656374888386</c:v>
                </c:pt>
                <c:pt idx="145">
                  <c:v>-194.7924408441628</c:v>
                </c:pt>
                <c:pt idx="146">
                  <c:v>-190.72042931716695</c:v>
                </c:pt>
                <c:pt idx="147">
                  <c:v>-186.58929319554954</c:v>
                </c:pt>
                <c:pt idx="148">
                  <c:v>-182.39772322094595</c:v>
                </c:pt>
                <c:pt idx="149">
                  <c:v>-178.14433131494098</c:v>
                </c:pt>
                <c:pt idx="150">
                  <c:v>-173.8276444679523</c:v>
                </c:pt>
                <c:pt idx="151">
                  <c:v>-169.44609797639367</c:v>
                </c:pt>
                <c:pt idx="152">
                  <c:v>-164.99802794173112</c:v>
                </c:pt>
                <c:pt idx="153">
                  <c:v>-160.48166293109699</c:v>
                </c:pt>
                <c:pt idx="154">
                  <c:v>-155.89511468252519</c:v>
                </c:pt>
                <c:pt idx="155">
                  <c:v>-151.23636771800039</c:v>
                </c:pt>
                <c:pt idx="156">
                  <c:v>-146.50326770365288</c:v>
                </c:pt>
                <c:pt idx="157">
                  <c:v>-141.69350836761981</c:v>
                </c:pt>
                <c:pt idx="158">
                  <c:v>-136.80461675115455</c:v>
                </c:pt>
                <c:pt idx="159">
                  <c:v>-131.83393652596186</c:v>
                </c:pt>
                <c:pt idx="160">
                  <c:v>-126.77860905851307</c:v>
                </c:pt>
                <c:pt idx="161">
                  <c:v>-121.63555183770521</c:v>
                </c:pt>
                <c:pt idx="162">
                  <c:v>-116.40143380235477</c:v>
                </c:pt>
                <c:pt idx="163">
                  <c:v>-111.07264700529942</c:v>
                </c:pt>
                <c:pt idx="164">
                  <c:v>-105.64527392552915</c:v>
                </c:pt>
                <c:pt idx="165">
                  <c:v>-100.11504958104746</c:v>
                </c:pt>
                <c:pt idx="166">
                  <c:v>-94.477317392623462</c:v>
                </c:pt>
                <c:pt idx="167">
                  <c:v>-88.726977487985579</c:v>
                </c:pt>
                <c:pt idx="168">
                  <c:v>-82.858425797698999</c:v>
                </c:pt>
                <c:pt idx="169">
                  <c:v>-76.865481850585155</c:v>
                </c:pt>
                <c:pt idx="170">
                  <c:v>-70.741302589471559</c:v>
                </c:pt>
                <c:pt idx="171">
                  <c:v>-64.478278742091504</c:v>
                </c:pt>
                <c:pt idx="172">
                  <c:v>-58.067909217028728</c:v>
                </c:pt>
                <c:pt idx="173">
                  <c:v>-51.500647532826918</c:v>
                </c:pt>
                <c:pt idx="174">
                  <c:v>-44.765712253219988</c:v>
                </c:pt>
                <c:pt idx="175">
                  <c:v>-37.85085052364289</c:v>
                </c:pt>
                <c:pt idx="176">
                  <c:v>-30.74203966483708</c:v>
                </c:pt>
                <c:pt idx="177">
                  <c:v>-23.423105712075653</c:v>
                </c:pt>
                <c:pt idx="178">
                  <c:v>-15.875228707033358</c:v>
                </c:pt>
                <c:pt idx="179">
                  <c:v>-8.0762906339727465</c:v>
                </c:pt>
                <c:pt idx="180">
                  <c:v>2.3590018827235326E-12</c:v>
                </c:pt>
                <c:pt idx="181">
                  <c:v>8.3853084278777601</c:v>
                </c:pt>
                <c:pt idx="182">
                  <c:v>17.118359746163151</c:v>
                </c:pt>
                <c:pt idx="183">
                  <c:v>26.247375819057851</c:v>
                </c:pt>
                <c:pt idx="184">
                  <c:v>35.833717863411124</c:v>
                </c:pt>
                <c:pt idx="185">
                  <c:v>45.957556739359148</c:v>
                </c:pt>
                <c:pt idx="186">
                  <c:v>56.727151647956717</c:v>
                </c:pt>
                <c:pt idx="187">
                  <c:v>68.295022010878569</c:v>
                </c:pt>
                <c:pt idx="188">
                  <c:v>80.888556376598444</c:v>
                </c:pt>
                <c:pt idx="189">
                  <c:v>94.874885646486987</c:v>
                </c:pt>
                <c:pt idx="190">
                  <c:v>110.92335189827728</c:v>
                </c:pt>
                <c:pt idx="191">
                  <c:v>130.54384217584453</c:v>
                </c:pt>
                <c:pt idx="192">
                  <c:v>159.51934075932203</c:v>
                </c:pt>
                <c:pt idx="193">
                  <c:v>191.23125000000067</c:v>
                </c:pt>
                <c:pt idx="194">
                  <c:v>#N/A</c:v>
                </c:pt>
                <c:pt idx="195">
                  <c:v>#N/A</c:v>
                </c:pt>
                <c:pt idx="196">
                  <c:v>#N/A</c:v>
                </c:pt>
                <c:pt idx="197">
                  <c:v>#N/A</c:v>
                </c:pt>
                <c:pt idx="198">
                  <c:v>#N/A</c:v>
                </c:pt>
                <c:pt idx="199">
                  <c:v>#N/A</c:v>
                </c:pt>
                <c:pt idx="200">
                  <c:v>#N/A</c:v>
                </c:pt>
              </c:numCache>
            </c:numRef>
          </c:yVal>
          <c:smooth val="0"/>
          <c:extLst>
            <c:ext xmlns:c16="http://schemas.microsoft.com/office/drawing/2014/chart" uri="{C3380CC4-5D6E-409C-BE32-E72D297353CC}">
              <c16:uniqueId val="{00000004-DCA0-4154-952E-0EF98D27EA1E}"/>
            </c:ext>
          </c:extLst>
        </c:ser>
        <c:ser>
          <c:idx val="5"/>
          <c:order val="5"/>
          <c:tx>
            <c:v>Coulomb-Mohr Boundary</c:v>
          </c:tx>
          <c:spPr>
            <a:ln w="9525" cap="rnd">
              <a:solidFill>
                <a:schemeClr val="tx1"/>
              </a:solidFill>
              <a:prstDash val="lgDash"/>
              <a:round/>
            </a:ln>
            <a:effectLst/>
          </c:spPr>
          <c:marker>
            <c:symbol val="none"/>
          </c:marker>
          <c:xVal>
            <c:numRef>
              <c:f>'Plane Stress'!$I$281:$I$287</c:f>
              <c:numCache>
                <c:formatCode>General</c:formatCode>
                <c:ptCount val="7"/>
                <c:pt idx="0">
                  <c:v>329</c:v>
                </c:pt>
                <c:pt idx="1">
                  <c:v>329</c:v>
                </c:pt>
                <c:pt idx="2">
                  <c:v>0</c:v>
                </c:pt>
                <c:pt idx="3">
                  <c:v>-359</c:v>
                </c:pt>
                <c:pt idx="4">
                  <c:v>-359</c:v>
                </c:pt>
                <c:pt idx="5">
                  <c:v>0</c:v>
                </c:pt>
                <c:pt idx="6">
                  <c:v>329</c:v>
                </c:pt>
              </c:numCache>
            </c:numRef>
          </c:xVal>
          <c:yVal>
            <c:numRef>
              <c:f>'Plane Stress'!$J$281:$J$287</c:f>
              <c:numCache>
                <c:formatCode>General</c:formatCode>
                <c:ptCount val="7"/>
                <c:pt idx="0">
                  <c:v>0</c:v>
                </c:pt>
                <c:pt idx="1">
                  <c:v>329</c:v>
                </c:pt>
                <c:pt idx="2">
                  <c:v>329</c:v>
                </c:pt>
                <c:pt idx="3">
                  <c:v>0</c:v>
                </c:pt>
                <c:pt idx="4">
                  <c:v>-359</c:v>
                </c:pt>
                <c:pt idx="5">
                  <c:v>-359</c:v>
                </c:pt>
                <c:pt idx="6">
                  <c:v>0</c:v>
                </c:pt>
              </c:numCache>
            </c:numRef>
          </c:yVal>
          <c:smooth val="0"/>
          <c:extLst>
            <c:ext xmlns:c16="http://schemas.microsoft.com/office/drawing/2014/chart" uri="{C3380CC4-5D6E-409C-BE32-E72D297353CC}">
              <c16:uniqueId val="{00000006-DCA0-4154-952E-0EF98D27EA1E}"/>
            </c:ext>
          </c:extLst>
        </c:ser>
        <c:dLbls>
          <c:showLegendKey val="0"/>
          <c:showVal val="0"/>
          <c:showCatName val="0"/>
          <c:showSerName val="0"/>
          <c:showPercent val="0"/>
          <c:showBubbleSize val="0"/>
        </c:dLbls>
        <c:axId val="860325704"/>
        <c:axId val="860326360"/>
      </c:scatterChart>
      <c:valAx>
        <c:axId val="8603257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σ</a:t>
                </a:r>
                <a:r>
                  <a:rPr lang="en-US" sz="1800" b="0" i="0" baseline="-25000">
                    <a:effectLst/>
                  </a:rPr>
                  <a:t>A</a:t>
                </a:r>
                <a:r>
                  <a:rPr lang="en-US" sz="1000" b="0" i="0" baseline="0">
                    <a:effectLst/>
                  </a:rPr>
                  <a:t> (MPa)</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326360"/>
        <c:crosses val="autoZero"/>
        <c:crossBetween val="midCat"/>
      </c:valAx>
      <c:valAx>
        <c:axId val="860326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σ</a:t>
                </a:r>
                <a:r>
                  <a:rPr lang="en-US" sz="1100" b="0" i="0" baseline="-25000">
                    <a:effectLst/>
                  </a:rPr>
                  <a:t>B</a:t>
                </a:r>
                <a:r>
                  <a:rPr lang="en-US" sz="1100" b="0" i="0" baseline="0">
                    <a:effectLst/>
                  </a:rPr>
                  <a:t> (MPa)</a:t>
                </a:r>
                <a:endParaRPr lang="en-US" sz="1100">
                  <a:effectLst/>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3257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Mohr's Circle (3D Element)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2-3 Upper</c:v>
          </c:tx>
          <c:spPr>
            <a:ln w="12700" cap="rnd">
              <a:solidFill>
                <a:schemeClr val="accent1"/>
              </a:solidFill>
              <a:round/>
            </a:ln>
            <a:effectLst/>
          </c:spPr>
          <c:marker>
            <c:symbol val="none"/>
          </c:marker>
          <c:xVal>
            <c:numRef>
              <c:f>'Non-Plane Stress'!$B$160:$B$260</c:f>
              <c:numCache>
                <c:formatCode>0.000</c:formatCode>
                <c:ptCount val="101"/>
                <c:pt idx="0">
                  <c:v>-21.39</c:v>
                </c:pt>
                <c:pt idx="1">
                  <c:v>-21.222951999999999</c:v>
                </c:pt>
                <c:pt idx="2">
                  <c:v>-21.055903999999998</c:v>
                </c:pt>
                <c:pt idx="3">
                  <c:v>-20.888855999999997</c:v>
                </c:pt>
                <c:pt idx="4">
                  <c:v>-20.721807999999996</c:v>
                </c:pt>
                <c:pt idx="5">
                  <c:v>-20.554759999999995</c:v>
                </c:pt>
                <c:pt idx="6">
                  <c:v>-20.387711999999993</c:v>
                </c:pt>
                <c:pt idx="7">
                  <c:v>-20.220663999999992</c:v>
                </c:pt>
                <c:pt idx="8">
                  <c:v>-20.053615999999991</c:v>
                </c:pt>
                <c:pt idx="9">
                  <c:v>-19.88656799999999</c:v>
                </c:pt>
                <c:pt idx="10">
                  <c:v>-19.719519999999989</c:v>
                </c:pt>
                <c:pt idx="11">
                  <c:v>-19.552471999999987</c:v>
                </c:pt>
                <c:pt idx="12">
                  <c:v>-19.385423999999986</c:v>
                </c:pt>
                <c:pt idx="13">
                  <c:v>-19.218375999999985</c:v>
                </c:pt>
                <c:pt idx="14">
                  <c:v>-19.051327999999984</c:v>
                </c:pt>
                <c:pt idx="15">
                  <c:v>-18.884279999999983</c:v>
                </c:pt>
                <c:pt idx="16">
                  <c:v>-18.717231999999981</c:v>
                </c:pt>
                <c:pt idx="17">
                  <c:v>-18.55018399999998</c:v>
                </c:pt>
                <c:pt idx="18">
                  <c:v>-18.383135999999979</c:v>
                </c:pt>
                <c:pt idx="19">
                  <c:v>-18.216087999999978</c:v>
                </c:pt>
                <c:pt idx="20">
                  <c:v>-18.049039999999977</c:v>
                </c:pt>
                <c:pt idx="21">
                  <c:v>-17.881991999999975</c:v>
                </c:pt>
                <c:pt idx="22">
                  <c:v>-17.714943999999974</c:v>
                </c:pt>
                <c:pt idx="23">
                  <c:v>-17.547895999999973</c:v>
                </c:pt>
                <c:pt idx="24">
                  <c:v>-17.380847999999972</c:v>
                </c:pt>
                <c:pt idx="25">
                  <c:v>-17.213799999999971</c:v>
                </c:pt>
                <c:pt idx="26">
                  <c:v>-17.046751999999969</c:v>
                </c:pt>
                <c:pt idx="27">
                  <c:v>-16.879703999999968</c:v>
                </c:pt>
                <c:pt idx="28">
                  <c:v>-16.712655999999967</c:v>
                </c:pt>
                <c:pt idx="29">
                  <c:v>-16.545607999999966</c:v>
                </c:pt>
                <c:pt idx="30">
                  <c:v>-16.378559999999965</c:v>
                </c:pt>
                <c:pt idx="31">
                  <c:v>-16.211511999999964</c:v>
                </c:pt>
                <c:pt idx="32">
                  <c:v>-16.044463999999962</c:v>
                </c:pt>
                <c:pt idx="33">
                  <c:v>-15.877415999999963</c:v>
                </c:pt>
                <c:pt idx="34">
                  <c:v>-15.710367999999963</c:v>
                </c:pt>
                <c:pt idx="35">
                  <c:v>-15.543319999999964</c:v>
                </c:pt>
                <c:pt idx="36">
                  <c:v>-15.376271999999965</c:v>
                </c:pt>
                <c:pt idx="37">
                  <c:v>-15.209223999999965</c:v>
                </c:pt>
                <c:pt idx="38">
                  <c:v>-15.042175999999966</c:v>
                </c:pt>
                <c:pt idx="39">
                  <c:v>-14.875127999999966</c:v>
                </c:pt>
                <c:pt idx="40">
                  <c:v>-14.708079999999967</c:v>
                </c:pt>
                <c:pt idx="41">
                  <c:v>-14.541031999999968</c:v>
                </c:pt>
                <c:pt idx="42">
                  <c:v>-14.373983999999968</c:v>
                </c:pt>
                <c:pt idx="43">
                  <c:v>-14.206935999999969</c:v>
                </c:pt>
                <c:pt idx="44">
                  <c:v>-14.039887999999969</c:v>
                </c:pt>
                <c:pt idx="45">
                  <c:v>-13.87283999999997</c:v>
                </c:pt>
                <c:pt idx="46">
                  <c:v>-13.70579199999997</c:v>
                </c:pt>
                <c:pt idx="47">
                  <c:v>-13.538743999999971</c:v>
                </c:pt>
                <c:pt idx="48">
                  <c:v>-13.371695999999972</c:v>
                </c:pt>
                <c:pt idx="49">
                  <c:v>-13.204647999999972</c:v>
                </c:pt>
                <c:pt idx="50">
                  <c:v>-13.037599999999973</c:v>
                </c:pt>
                <c:pt idx="51">
                  <c:v>-12.870551999999973</c:v>
                </c:pt>
                <c:pt idx="52">
                  <c:v>-12.703503999999974</c:v>
                </c:pt>
                <c:pt idx="53">
                  <c:v>-12.536455999999975</c:v>
                </c:pt>
                <c:pt idx="54">
                  <c:v>-12.369407999999975</c:v>
                </c:pt>
                <c:pt idx="55">
                  <c:v>-12.202359999999976</c:v>
                </c:pt>
                <c:pt idx="56">
                  <c:v>-12.035311999999976</c:v>
                </c:pt>
                <c:pt idx="57">
                  <c:v>-11.868263999999977</c:v>
                </c:pt>
                <c:pt idx="58">
                  <c:v>-11.701215999999977</c:v>
                </c:pt>
                <c:pt idx="59">
                  <c:v>-11.534167999999978</c:v>
                </c:pt>
                <c:pt idx="60">
                  <c:v>-11.367119999999979</c:v>
                </c:pt>
                <c:pt idx="61">
                  <c:v>-11.200071999999979</c:v>
                </c:pt>
                <c:pt idx="62">
                  <c:v>-11.03302399999998</c:v>
                </c:pt>
                <c:pt idx="63">
                  <c:v>-10.86597599999998</c:v>
                </c:pt>
                <c:pt idx="64">
                  <c:v>-10.698927999999981</c:v>
                </c:pt>
                <c:pt idx="65">
                  <c:v>-10.531879999999981</c:v>
                </c:pt>
                <c:pt idx="66">
                  <c:v>-10.364831999999982</c:v>
                </c:pt>
                <c:pt idx="67">
                  <c:v>-10.197783999999983</c:v>
                </c:pt>
                <c:pt idx="68">
                  <c:v>-10.030735999999983</c:v>
                </c:pt>
                <c:pt idx="69">
                  <c:v>-9.8636879999999838</c:v>
                </c:pt>
                <c:pt idx="70">
                  <c:v>-9.6966399999999844</c:v>
                </c:pt>
                <c:pt idx="71">
                  <c:v>-9.529591999999985</c:v>
                </c:pt>
                <c:pt idx="72">
                  <c:v>-9.3625439999999855</c:v>
                </c:pt>
                <c:pt idx="73">
                  <c:v>-9.1954959999999861</c:v>
                </c:pt>
                <c:pt idx="74">
                  <c:v>-9.0284479999999867</c:v>
                </c:pt>
                <c:pt idx="75">
                  <c:v>-8.8613999999999873</c:v>
                </c:pt>
                <c:pt idx="76">
                  <c:v>-8.6943519999999879</c:v>
                </c:pt>
                <c:pt idx="77">
                  <c:v>-8.5273039999999884</c:v>
                </c:pt>
                <c:pt idx="78">
                  <c:v>-8.360255999999989</c:v>
                </c:pt>
                <c:pt idx="79">
                  <c:v>-8.1932079999999896</c:v>
                </c:pt>
                <c:pt idx="80">
                  <c:v>-8.0261599999999902</c:v>
                </c:pt>
                <c:pt idx="81">
                  <c:v>-7.8591119999999899</c:v>
                </c:pt>
                <c:pt idx="82">
                  <c:v>-7.6920639999999896</c:v>
                </c:pt>
                <c:pt idx="83">
                  <c:v>-7.5250159999999893</c:v>
                </c:pt>
                <c:pt idx="84">
                  <c:v>-7.357967999999989</c:v>
                </c:pt>
                <c:pt idx="85">
                  <c:v>-7.1909199999999887</c:v>
                </c:pt>
                <c:pt idx="86">
                  <c:v>-7.0238719999999883</c:v>
                </c:pt>
                <c:pt idx="87">
                  <c:v>-6.856823999999988</c:v>
                </c:pt>
                <c:pt idx="88">
                  <c:v>-6.6897759999999877</c:v>
                </c:pt>
                <c:pt idx="89">
                  <c:v>-6.5227279999999874</c:v>
                </c:pt>
                <c:pt idx="90">
                  <c:v>-6.3556799999999871</c:v>
                </c:pt>
                <c:pt idx="91">
                  <c:v>-6.1886319999999868</c:v>
                </c:pt>
                <c:pt idx="92">
                  <c:v>-6.0215839999999865</c:v>
                </c:pt>
                <c:pt idx="93">
                  <c:v>-5.8545359999999862</c:v>
                </c:pt>
                <c:pt idx="94">
                  <c:v>-5.6874879999999859</c:v>
                </c:pt>
                <c:pt idx="95">
                  <c:v>-5.5204399999999856</c:v>
                </c:pt>
                <c:pt idx="96">
                  <c:v>-5.3533919999999853</c:v>
                </c:pt>
                <c:pt idx="97">
                  <c:v>-5.186343999999985</c:v>
                </c:pt>
                <c:pt idx="98">
                  <c:v>-5.0192959999999847</c:v>
                </c:pt>
                <c:pt idx="99">
                  <c:v>-4.8522479999999844</c:v>
                </c:pt>
                <c:pt idx="100">
                  <c:v>-4.685199999999984</c:v>
                </c:pt>
              </c:numCache>
            </c:numRef>
          </c:xVal>
          <c:yVal>
            <c:numRef>
              <c:f>'Non-Plane Stress'!$C$160:$C$260</c:f>
              <c:numCache>
                <c:formatCode>0.000</c:formatCode>
                <c:ptCount val="101"/>
                <c:pt idx="0">
                  <c:v>0</c:v>
                </c:pt>
                <c:pt idx="1">
                  <c:v>1.6621066139378737</c:v>
                </c:pt>
                <c:pt idx="2">
                  <c:v>2.3386720000000079</c:v>
                </c:pt>
                <c:pt idx="3">
                  <c:v>2.8496254109029944</c:v>
                </c:pt>
                <c:pt idx="4">
                  <c:v>3.2734589004195658</c:v>
                </c:pt>
                <c:pt idx="5">
                  <c:v>3.6407267536029244</c:v>
                </c:pt>
                <c:pt idx="6">
                  <c:v>3.9671701939110338</c:v>
                </c:pt>
                <c:pt idx="7">
                  <c:v>4.2621798802847497</c:v>
                </c:pt>
                <c:pt idx="8">
                  <c:v>4.5318986360844544</c:v>
                </c:pt>
                <c:pt idx="9">
                  <c:v>4.7806090715489535</c:v>
                </c:pt>
                <c:pt idx="10">
                  <c:v>5.0114400000000163</c:v>
                </c:pt>
                <c:pt idx="11">
                  <c:v>5.2267608117854572</c:v>
                </c:pt>
                <c:pt idx="12">
                  <c:v>5.4284174696705287</c:v>
                </c:pt>
                <c:pt idx="13">
                  <c:v>5.6178816112324927</c:v>
                </c:pt>
                <c:pt idx="14">
                  <c:v>5.7963489630987715</c:v>
                </c:pt>
                <c:pt idx="15">
                  <c:v>5.9648066806561477</c:v>
                </c:pt>
                <c:pt idx="16">
                  <c:v>6.1240808375278837</c:v>
                </c:pt>
                <c:pt idx="17">
                  <c:v>6.2748707877488776</c:v>
                </c:pt>
                <c:pt idx="18">
                  <c:v>6.4177745856881137</c:v>
                </c:pt>
                <c:pt idx="19">
                  <c:v>6.5533081564852598</c:v>
                </c:pt>
                <c:pt idx="20">
                  <c:v>6.6819200000000176</c:v>
                </c:pt>
                <c:pt idx="21">
                  <c:v>6.8040026389130865</c:v>
                </c:pt>
                <c:pt idx="22">
                  <c:v>6.9199016514444942</c:v>
                </c:pt>
                <c:pt idx="23">
                  <c:v>7.0299228838148888</c:v>
                </c:pt>
                <c:pt idx="24">
                  <c:v>7.1343382713813233</c:v>
                </c:pt>
                <c:pt idx="25">
                  <c:v>7.2333905825691627</c:v>
                </c:pt>
                <c:pt idx="26">
                  <c:v>7.327297318991242</c:v>
                </c:pt>
                <c:pt idx="27">
                  <c:v>7.4162539474578573</c:v>
                </c:pt>
                <c:pt idx="28">
                  <c:v>7.5004365977497764</c:v>
                </c:pt>
                <c:pt idx="29">
                  <c:v>7.5800043292821568</c:v>
                </c:pt>
                <c:pt idx="30">
                  <c:v>7.6551010469098468</c:v>
                </c:pt>
                <c:pt idx="31">
                  <c:v>7.7258571289052602</c:v>
                </c:pt>
                <c:pt idx="32">
                  <c:v>7.7923908170409568</c:v>
                </c:pt>
                <c:pt idx="33">
                  <c:v>7.8548094086453943</c:v>
                </c:pt>
                <c:pt idx="34">
                  <c:v>7.9132102826966628</c:v>
                </c:pt>
                <c:pt idx="35">
                  <c:v>7.9676817859149081</c:v>
                </c:pt>
                <c:pt idx="36">
                  <c:v>8.0183040000000112</c:v>
                </c:pt>
                <c:pt idx="37">
                  <c:v>8.0651494073342587</c:v>
                </c:pt>
                <c:pt idx="38">
                  <c:v>8.1082834694048618</c:v>
                </c:pt>
                <c:pt idx="39">
                  <c:v>8.1477651297282812</c:v>
                </c:pt>
                <c:pt idx="40">
                  <c:v>8.1836472510488942</c:v>
                </c:pt>
                <c:pt idx="41">
                  <c:v>8.2159769949395614</c:v>
                </c:pt>
                <c:pt idx="42">
                  <c:v>8.2447961505754694</c:v>
                </c:pt>
                <c:pt idx="43">
                  <c:v>8.2701414183255704</c:v>
                </c:pt>
                <c:pt idx="44">
                  <c:v>8.2920446528619252</c:v>
                </c:pt>
                <c:pt idx="45">
                  <c:v>8.3105330696893347</c:v>
                </c:pt>
                <c:pt idx="46">
                  <c:v>8.3256294183164332</c:v>
                </c:pt>
                <c:pt idx="47">
                  <c:v>8.3373521247014644</c:v>
                </c:pt>
                <c:pt idx="48">
                  <c:v>8.3457154050916458</c:v>
                </c:pt>
                <c:pt idx="49">
                  <c:v>8.3507293529185826</c:v>
                </c:pt>
                <c:pt idx="50">
                  <c:v>8.3523999999999994</c:v>
                </c:pt>
                <c:pt idx="51">
                  <c:v>8.3507293529185809</c:v>
                </c:pt>
                <c:pt idx="52">
                  <c:v>8.345715405091644</c:v>
                </c:pt>
                <c:pt idx="53">
                  <c:v>8.3373521247014608</c:v>
                </c:pt>
                <c:pt idx="54">
                  <c:v>8.3256294183164297</c:v>
                </c:pt>
                <c:pt idx="55">
                  <c:v>8.3105330696893294</c:v>
                </c:pt>
                <c:pt idx="56">
                  <c:v>8.2920446528619181</c:v>
                </c:pt>
                <c:pt idx="57">
                  <c:v>8.2701414183255615</c:v>
                </c:pt>
                <c:pt idx="58">
                  <c:v>8.2447961505754606</c:v>
                </c:pt>
                <c:pt idx="59">
                  <c:v>8.2159769949395507</c:v>
                </c:pt>
                <c:pt idx="60">
                  <c:v>8.1836472510488818</c:v>
                </c:pt>
                <c:pt idx="61">
                  <c:v>8.1477651297282687</c:v>
                </c:pt>
                <c:pt idx="62">
                  <c:v>8.1082834694048476</c:v>
                </c:pt>
                <c:pt idx="63">
                  <c:v>8.0651494073342427</c:v>
                </c:pt>
                <c:pt idx="64">
                  <c:v>8.0183039999999934</c:v>
                </c:pt>
                <c:pt idx="65">
                  <c:v>7.9676817859148903</c:v>
                </c:pt>
                <c:pt idx="66">
                  <c:v>7.9132102826966433</c:v>
                </c:pt>
                <c:pt idx="67">
                  <c:v>7.8548094086453739</c:v>
                </c:pt>
                <c:pt idx="68">
                  <c:v>7.7923908170409346</c:v>
                </c:pt>
                <c:pt idx="69">
                  <c:v>7.725857128905238</c:v>
                </c:pt>
                <c:pt idx="70">
                  <c:v>7.6551010469098237</c:v>
                </c:pt>
                <c:pt idx="71">
                  <c:v>7.5800043292821329</c:v>
                </c:pt>
                <c:pt idx="72">
                  <c:v>7.5004365977497525</c:v>
                </c:pt>
                <c:pt idx="73">
                  <c:v>7.4162539474578324</c:v>
                </c:pt>
                <c:pt idx="74">
                  <c:v>7.3272973189912172</c:v>
                </c:pt>
                <c:pt idx="75">
                  <c:v>7.2333905825691369</c:v>
                </c:pt>
                <c:pt idx="76">
                  <c:v>7.1343382713812975</c:v>
                </c:pt>
                <c:pt idx="77">
                  <c:v>7.0299228838148631</c:v>
                </c:pt>
                <c:pt idx="78">
                  <c:v>6.9199016514444684</c:v>
                </c:pt>
                <c:pt idx="79">
                  <c:v>6.8040026389130599</c:v>
                </c:pt>
                <c:pt idx="80">
                  <c:v>6.681919999999991</c:v>
                </c:pt>
                <c:pt idx="81">
                  <c:v>6.5533081564852322</c:v>
                </c:pt>
                <c:pt idx="82">
                  <c:v>6.4177745856880843</c:v>
                </c:pt>
                <c:pt idx="83">
                  <c:v>6.2748707877488492</c:v>
                </c:pt>
                <c:pt idx="84">
                  <c:v>6.1240808375278535</c:v>
                </c:pt>
                <c:pt idx="85">
                  <c:v>5.9648066806561175</c:v>
                </c:pt>
                <c:pt idx="86">
                  <c:v>5.7963489630987395</c:v>
                </c:pt>
                <c:pt idx="87">
                  <c:v>5.6178816112324608</c:v>
                </c:pt>
                <c:pt idx="88">
                  <c:v>5.428417469670495</c:v>
                </c:pt>
                <c:pt idx="89">
                  <c:v>5.2267608117854225</c:v>
                </c:pt>
                <c:pt idx="90">
                  <c:v>5.0114399999999808</c:v>
                </c:pt>
                <c:pt idx="91">
                  <c:v>4.7806090715489162</c:v>
                </c:pt>
                <c:pt idx="92">
                  <c:v>4.5318986360844153</c:v>
                </c:pt>
                <c:pt idx="93">
                  <c:v>4.2621798802847088</c:v>
                </c:pt>
                <c:pt idx="94">
                  <c:v>3.9671701939109907</c:v>
                </c:pt>
                <c:pt idx="95">
                  <c:v>3.6407267536028796</c:v>
                </c:pt>
                <c:pt idx="96">
                  <c:v>3.273458900419516</c:v>
                </c:pt>
                <c:pt idx="97">
                  <c:v>2.8496254109029384</c:v>
                </c:pt>
                <c:pt idx="98">
                  <c:v>2.3386719999999412</c:v>
                </c:pt>
                <c:pt idx="99">
                  <c:v>1.662106613937784</c:v>
                </c:pt>
                <c:pt idx="100">
                  <c:v>0</c:v>
                </c:pt>
              </c:numCache>
            </c:numRef>
          </c:yVal>
          <c:smooth val="1"/>
          <c:extLst>
            <c:ext xmlns:c16="http://schemas.microsoft.com/office/drawing/2014/chart" uri="{C3380CC4-5D6E-409C-BE32-E72D297353CC}">
              <c16:uniqueId val="{00000000-C6D0-4940-BEC5-270FCD14FFA9}"/>
            </c:ext>
          </c:extLst>
        </c:ser>
        <c:ser>
          <c:idx val="1"/>
          <c:order val="1"/>
          <c:tx>
            <c:v>2-3 Lower</c:v>
          </c:tx>
          <c:spPr>
            <a:ln w="12700" cap="rnd">
              <a:solidFill>
                <a:schemeClr val="accent1"/>
              </a:solidFill>
              <a:round/>
            </a:ln>
            <a:effectLst/>
          </c:spPr>
          <c:marker>
            <c:symbol val="none"/>
          </c:marker>
          <c:xVal>
            <c:numRef>
              <c:f>'Non-Plane Stress'!$B$160:$B$260</c:f>
              <c:numCache>
                <c:formatCode>0.000</c:formatCode>
                <c:ptCount val="101"/>
                <c:pt idx="0">
                  <c:v>-21.39</c:v>
                </c:pt>
                <c:pt idx="1">
                  <c:v>-21.222951999999999</c:v>
                </c:pt>
                <c:pt idx="2">
                  <c:v>-21.055903999999998</c:v>
                </c:pt>
                <c:pt idx="3">
                  <c:v>-20.888855999999997</c:v>
                </c:pt>
                <c:pt idx="4">
                  <c:v>-20.721807999999996</c:v>
                </c:pt>
                <c:pt idx="5">
                  <c:v>-20.554759999999995</c:v>
                </c:pt>
                <c:pt idx="6">
                  <c:v>-20.387711999999993</c:v>
                </c:pt>
                <c:pt idx="7">
                  <c:v>-20.220663999999992</c:v>
                </c:pt>
                <c:pt idx="8">
                  <c:v>-20.053615999999991</c:v>
                </c:pt>
                <c:pt idx="9">
                  <c:v>-19.88656799999999</c:v>
                </c:pt>
                <c:pt idx="10">
                  <c:v>-19.719519999999989</c:v>
                </c:pt>
                <c:pt idx="11">
                  <c:v>-19.552471999999987</c:v>
                </c:pt>
                <c:pt idx="12">
                  <c:v>-19.385423999999986</c:v>
                </c:pt>
                <c:pt idx="13">
                  <c:v>-19.218375999999985</c:v>
                </c:pt>
                <c:pt idx="14">
                  <c:v>-19.051327999999984</c:v>
                </c:pt>
                <c:pt idx="15">
                  <c:v>-18.884279999999983</c:v>
                </c:pt>
                <c:pt idx="16">
                  <c:v>-18.717231999999981</c:v>
                </c:pt>
                <c:pt idx="17">
                  <c:v>-18.55018399999998</c:v>
                </c:pt>
                <c:pt idx="18">
                  <c:v>-18.383135999999979</c:v>
                </c:pt>
                <c:pt idx="19">
                  <c:v>-18.216087999999978</c:v>
                </c:pt>
                <c:pt idx="20">
                  <c:v>-18.049039999999977</c:v>
                </c:pt>
                <c:pt idx="21">
                  <c:v>-17.881991999999975</c:v>
                </c:pt>
                <c:pt idx="22">
                  <c:v>-17.714943999999974</c:v>
                </c:pt>
                <c:pt idx="23">
                  <c:v>-17.547895999999973</c:v>
                </c:pt>
                <c:pt idx="24">
                  <c:v>-17.380847999999972</c:v>
                </c:pt>
                <c:pt idx="25">
                  <c:v>-17.213799999999971</c:v>
                </c:pt>
                <c:pt idx="26">
                  <c:v>-17.046751999999969</c:v>
                </c:pt>
                <c:pt idx="27">
                  <c:v>-16.879703999999968</c:v>
                </c:pt>
                <c:pt idx="28">
                  <c:v>-16.712655999999967</c:v>
                </c:pt>
                <c:pt idx="29">
                  <c:v>-16.545607999999966</c:v>
                </c:pt>
                <c:pt idx="30">
                  <c:v>-16.378559999999965</c:v>
                </c:pt>
                <c:pt idx="31">
                  <c:v>-16.211511999999964</c:v>
                </c:pt>
                <c:pt idx="32">
                  <c:v>-16.044463999999962</c:v>
                </c:pt>
                <c:pt idx="33">
                  <c:v>-15.877415999999963</c:v>
                </c:pt>
                <c:pt idx="34">
                  <c:v>-15.710367999999963</c:v>
                </c:pt>
                <c:pt idx="35">
                  <c:v>-15.543319999999964</c:v>
                </c:pt>
                <c:pt idx="36">
                  <c:v>-15.376271999999965</c:v>
                </c:pt>
                <c:pt idx="37">
                  <c:v>-15.209223999999965</c:v>
                </c:pt>
                <c:pt idx="38">
                  <c:v>-15.042175999999966</c:v>
                </c:pt>
                <c:pt idx="39">
                  <c:v>-14.875127999999966</c:v>
                </c:pt>
                <c:pt idx="40">
                  <c:v>-14.708079999999967</c:v>
                </c:pt>
                <c:pt idx="41">
                  <c:v>-14.541031999999968</c:v>
                </c:pt>
                <c:pt idx="42">
                  <c:v>-14.373983999999968</c:v>
                </c:pt>
                <c:pt idx="43">
                  <c:v>-14.206935999999969</c:v>
                </c:pt>
                <c:pt idx="44">
                  <c:v>-14.039887999999969</c:v>
                </c:pt>
                <c:pt idx="45">
                  <c:v>-13.87283999999997</c:v>
                </c:pt>
                <c:pt idx="46">
                  <c:v>-13.70579199999997</c:v>
                </c:pt>
                <c:pt idx="47">
                  <c:v>-13.538743999999971</c:v>
                </c:pt>
                <c:pt idx="48">
                  <c:v>-13.371695999999972</c:v>
                </c:pt>
                <c:pt idx="49">
                  <c:v>-13.204647999999972</c:v>
                </c:pt>
                <c:pt idx="50">
                  <c:v>-13.037599999999973</c:v>
                </c:pt>
                <c:pt idx="51">
                  <c:v>-12.870551999999973</c:v>
                </c:pt>
                <c:pt idx="52">
                  <c:v>-12.703503999999974</c:v>
                </c:pt>
                <c:pt idx="53">
                  <c:v>-12.536455999999975</c:v>
                </c:pt>
                <c:pt idx="54">
                  <c:v>-12.369407999999975</c:v>
                </c:pt>
                <c:pt idx="55">
                  <c:v>-12.202359999999976</c:v>
                </c:pt>
                <c:pt idx="56">
                  <c:v>-12.035311999999976</c:v>
                </c:pt>
                <c:pt idx="57">
                  <c:v>-11.868263999999977</c:v>
                </c:pt>
                <c:pt idx="58">
                  <c:v>-11.701215999999977</c:v>
                </c:pt>
                <c:pt idx="59">
                  <c:v>-11.534167999999978</c:v>
                </c:pt>
                <c:pt idx="60">
                  <c:v>-11.367119999999979</c:v>
                </c:pt>
                <c:pt idx="61">
                  <c:v>-11.200071999999979</c:v>
                </c:pt>
                <c:pt idx="62">
                  <c:v>-11.03302399999998</c:v>
                </c:pt>
                <c:pt idx="63">
                  <c:v>-10.86597599999998</c:v>
                </c:pt>
                <c:pt idx="64">
                  <c:v>-10.698927999999981</c:v>
                </c:pt>
                <c:pt idx="65">
                  <c:v>-10.531879999999981</c:v>
                </c:pt>
                <c:pt idx="66">
                  <c:v>-10.364831999999982</c:v>
                </c:pt>
                <c:pt idx="67">
                  <c:v>-10.197783999999983</c:v>
                </c:pt>
                <c:pt idx="68">
                  <c:v>-10.030735999999983</c:v>
                </c:pt>
                <c:pt idx="69">
                  <c:v>-9.8636879999999838</c:v>
                </c:pt>
                <c:pt idx="70">
                  <c:v>-9.6966399999999844</c:v>
                </c:pt>
                <c:pt idx="71">
                  <c:v>-9.529591999999985</c:v>
                </c:pt>
                <c:pt idx="72">
                  <c:v>-9.3625439999999855</c:v>
                </c:pt>
                <c:pt idx="73">
                  <c:v>-9.1954959999999861</c:v>
                </c:pt>
                <c:pt idx="74">
                  <c:v>-9.0284479999999867</c:v>
                </c:pt>
                <c:pt idx="75">
                  <c:v>-8.8613999999999873</c:v>
                </c:pt>
                <c:pt idx="76">
                  <c:v>-8.6943519999999879</c:v>
                </c:pt>
                <c:pt idx="77">
                  <c:v>-8.5273039999999884</c:v>
                </c:pt>
                <c:pt idx="78">
                  <c:v>-8.360255999999989</c:v>
                </c:pt>
                <c:pt idx="79">
                  <c:v>-8.1932079999999896</c:v>
                </c:pt>
                <c:pt idx="80">
                  <c:v>-8.0261599999999902</c:v>
                </c:pt>
                <c:pt idx="81">
                  <c:v>-7.8591119999999899</c:v>
                </c:pt>
                <c:pt idx="82">
                  <c:v>-7.6920639999999896</c:v>
                </c:pt>
                <c:pt idx="83">
                  <c:v>-7.5250159999999893</c:v>
                </c:pt>
                <c:pt idx="84">
                  <c:v>-7.357967999999989</c:v>
                </c:pt>
                <c:pt idx="85">
                  <c:v>-7.1909199999999887</c:v>
                </c:pt>
                <c:pt idx="86">
                  <c:v>-7.0238719999999883</c:v>
                </c:pt>
                <c:pt idx="87">
                  <c:v>-6.856823999999988</c:v>
                </c:pt>
                <c:pt idx="88">
                  <c:v>-6.6897759999999877</c:v>
                </c:pt>
                <c:pt idx="89">
                  <c:v>-6.5227279999999874</c:v>
                </c:pt>
                <c:pt idx="90">
                  <c:v>-6.3556799999999871</c:v>
                </c:pt>
                <c:pt idx="91">
                  <c:v>-6.1886319999999868</c:v>
                </c:pt>
                <c:pt idx="92">
                  <c:v>-6.0215839999999865</c:v>
                </c:pt>
                <c:pt idx="93">
                  <c:v>-5.8545359999999862</c:v>
                </c:pt>
                <c:pt idx="94">
                  <c:v>-5.6874879999999859</c:v>
                </c:pt>
                <c:pt idx="95">
                  <c:v>-5.5204399999999856</c:v>
                </c:pt>
                <c:pt idx="96">
                  <c:v>-5.3533919999999853</c:v>
                </c:pt>
                <c:pt idx="97">
                  <c:v>-5.186343999999985</c:v>
                </c:pt>
                <c:pt idx="98">
                  <c:v>-5.0192959999999847</c:v>
                </c:pt>
                <c:pt idx="99">
                  <c:v>-4.8522479999999844</c:v>
                </c:pt>
                <c:pt idx="100">
                  <c:v>-4.685199999999984</c:v>
                </c:pt>
              </c:numCache>
            </c:numRef>
          </c:xVal>
          <c:yVal>
            <c:numRef>
              <c:f>'Non-Plane Stress'!$D$160:$D$260</c:f>
              <c:numCache>
                <c:formatCode>0.000</c:formatCode>
                <c:ptCount val="101"/>
                <c:pt idx="0">
                  <c:v>0</c:v>
                </c:pt>
                <c:pt idx="1">
                  <c:v>-1.6621066139378737</c:v>
                </c:pt>
                <c:pt idx="2">
                  <c:v>-2.3386720000000079</c:v>
                </c:pt>
                <c:pt idx="3">
                  <c:v>-2.8496254109029944</c:v>
                </c:pt>
                <c:pt idx="4">
                  <c:v>-3.2734589004195658</c:v>
                </c:pt>
                <c:pt idx="5">
                  <c:v>-3.6407267536029244</c:v>
                </c:pt>
                <c:pt idx="6">
                  <c:v>-3.9671701939110338</c:v>
                </c:pt>
                <c:pt idx="7">
                  <c:v>-4.2621798802847497</c:v>
                </c:pt>
                <c:pt idx="8">
                  <c:v>-4.5318986360844544</c:v>
                </c:pt>
                <c:pt idx="9">
                  <c:v>-4.7806090715489535</c:v>
                </c:pt>
                <c:pt idx="10">
                  <c:v>-5.0114400000000163</c:v>
                </c:pt>
                <c:pt idx="11">
                  <c:v>-5.2267608117854572</c:v>
                </c:pt>
                <c:pt idx="12">
                  <c:v>-5.4284174696705287</c:v>
                </c:pt>
                <c:pt idx="13">
                  <c:v>-5.6178816112324927</c:v>
                </c:pt>
                <c:pt idx="14">
                  <c:v>-5.7963489630987715</c:v>
                </c:pt>
                <c:pt idx="15">
                  <c:v>-5.9648066806561477</c:v>
                </c:pt>
                <c:pt idx="16">
                  <c:v>-6.1240808375278837</c:v>
                </c:pt>
                <c:pt idx="17">
                  <c:v>-6.2748707877488776</c:v>
                </c:pt>
                <c:pt idx="18">
                  <c:v>-6.4177745856881137</c:v>
                </c:pt>
                <c:pt idx="19">
                  <c:v>-6.5533081564852598</c:v>
                </c:pt>
                <c:pt idx="20">
                  <c:v>-6.6819200000000176</c:v>
                </c:pt>
                <c:pt idx="21">
                  <c:v>-6.8040026389130865</c:v>
                </c:pt>
                <c:pt idx="22">
                  <c:v>-6.9199016514444942</c:v>
                </c:pt>
                <c:pt idx="23">
                  <c:v>-7.0299228838148888</c:v>
                </c:pt>
                <c:pt idx="24">
                  <c:v>-7.1343382713813233</c:v>
                </c:pt>
                <c:pt idx="25">
                  <c:v>-7.2333905825691627</c:v>
                </c:pt>
                <c:pt idx="26">
                  <c:v>-7.327297318991242</c:v>
                </c:pt>
                <c:pt idx="27">
                  <c:v>-7.4162539474578573</c:v>
                </c:pt>
                <c:pt idx="28">
                  <c:v>-7.5004365977497764</c:v>
                </c:pt>
                <c:pt idx="29">
                  <c:v>-7.5800043292821568</c:v>
                </c:pt>
                <c:pt idx="30">
                  <c:v>-7.6551010469098468</c:v>
                </c:pt>
                <c:pt idx="31">
                  <c:v>-7.7258571289052602</c:v>
                </c:pt>
                <c:pt idx="32">
                  <c:v>-7.7923908170409568</c:v>
                </c:pt>
                <c:pt idx="33">
                  <c:v>-7.8548094086453943</c:v>
                </c:pt>
                <c:pt idx="34">
                  <c:v>-7.9132102826966628</c:v>
                </c:pt>
                <c:pt idx="35">
                  <c:v>-7.9676817859149081</c:v>
                </c:pt>
                <c:pt idx="36">
                  <c:v>-8.0183040000000112</c:v>
                </c:pt>
                <c:pt idx="37">
                  <c:v>-8.0651494073342587</c:v>
                </c:pt>
                <c:pt idx="38">
                  <c:v>-8.1082834694048618</c:v>
                </c:pt>
                <c:pt idx="39">
                  <c:v>-8.1477651297282812</c:v>
                </c:pt>
                <c:pt idx="40">
                  <c:v>-8.1836472510488942</c:v>
                </c:pt>
                <c:pt idx="41">
                  <c:v>-8.2159769949395614</c:v>
                </c:pt>
                <c:pt idx="42">
                  <c:v>-8.2447961505754694</c:v>
                </c:pt>
                <c:pt idx="43">
                  <c:v>-8.2701414183255704</c:v>
                </c:pt>
                <c:pt idx="44">
                  <c:v>-8.2920446528619252</c:v>
                </c:pt>
                <c:pt idx="45">
                  <c:v>-8.3105330696893347</c:v>
                </c:pt>
                <c:pt idx="46">
                  <c:v>-8.3256294183164332</c:v>
                </c:pt>
                <c:pt idx="47">
                  <c:v>-8.3373521247014644</c:v>
                </c:pt>
                <c:pt idx="48">
                  <c:v>-8.3457154050916458</c:v>
                </c:pt>
                <c:pt idx="49">
                  <c:v>-8.3507293529185826</c:v>
                </c:pt>
                <c:pt idx="50">
                  <c:v>-8.3523999999999994</c:v>
                </c:pt>
                <c:pt idx="51">
                  <c:v>-8.3507293529185809</c:v>
                </c:pt>
                <c:pt idx="52">
                  <c:v>-8.345715405091644</c:v>
                </c:pt>
                <c:pt idx="53">
                  <c:v>-8.3373521247014608</c:v>
                </c:pt>
                <c:pt idx="54">
                  <c:v>-8.3256294183164297</c:v>
                </c:pt>
                <c:pt idx="55">
                  <c:v>-8.3105330696893294</c:v>
                </c:pt>
                <c:pt idx="56">
                  <c:v>-8.2920446528619181</c:v>
                </c:pt>
                <c:pt idx="57">
                  <c:v>-8.2701414183255615</c:v>
                </c:pt>
                <c:pt idx="58">
                  <c:v>-8.2447961505754606</c:v>
                </c:pt>
                <c:pt idx="59">
                  <c:v>-8.2159769949395507</c:v>
                </c:pt>
                <c:pt idx="60">
                  <c:v>-8.1836472510488818</c:v>
                </c:pt>
                <c:pt idx="61">
                  <c:v>-8.1477651297282687</c:v>
                </c:pt>
                <c:pt idx="62">
                  <c:v>-8.1082834694048476</c:v>
                </c:pt>
                <c:pt idx="63">
                  <c:v>-8.0651494073342427</c:v>
                </c:pt>
                <c:pt idx="64">
                  <c:v>-8.0183039999999934</c:v>
                </c:pt>
                <c:pt idx="65">
                  <c:v>-7.9676817859148903</c:v>
                </c:pt>
                <c:pt idx="66">
                  <c:v>-7.9132102826966433</c:v>
                </c:pt>
                <c:pt idx="67">
                  <c:v>-7.8548094086453739</c:v>
                </c:pt>
                <c:pt idx="68">
                  <c:v>-7.7923908170409346</c:v>
                </c:pt>
                <c:pt idx="69">
                  <c:v>-7.725857128905238</c:v>
                </c:pt>
                <c:pt idx="70">
                  <c:v>-7.6551010469098237</c:v>
                </c:pt>
                <c:pt idx="71">
                  <c:v>-7.5800043292821329</c:v>
                </c:pt>
                <c:pt idx="72">
                  <c:v>-7.5004365977497525</c:v>
                </c:pt>
                <c:pt idx="73">
                  <c:v>-7.4162539474578324</c:v>
                </c:pt>
                <c:pt idx="74">
                  <c:v>-7.3272973189912172</c:v>
                </c:pt>
                <c:pt idx="75">
                  <c:v>-7.2333905825691369</c:v>
                </c:pt>
                <c:pt idx="76">
                  <c:v>-7.1343382713812975</c:v>
                </c:pt>
                <c:pt idx="77">
                  <c:v>-7.0299228838148631</c:v>
                </c:pt>
                <c:pt idx="78">
                  <c:v>-6.9199016514444684</c:v>
                </c:pt>
                <c:pt idx="79">
                  <c:v>-6.8040026389130599</c:v>
                </c:pt>
                <c:pt idx="80">
                  <c:v>-6.681919999999991</c:v>
                </c:pt>
                <c:pt idx="81">
                  <c:v>-6.5533081564852322</c:v>
                </c:pt>
                <c:pt idx="82">
                  <c:v>-6.4177745856880843</c:v>
                </c:pt>
                <c:pt idx="83">
                  <c:v>-6.2748707877488492</c:v>
                </c:pt>
                <c:pt idx="84">
                  <c:v>-6.1240808375278535</c:v>
                </c:pt>
                <c:pt idx="85">
                  <c:v>-5.9648066806561175</c:v>
                </c:pt>
                <c:pt idx="86">
                  <c:v>-5.7963489630987395</c:v>
                </c:pt>
                <c:pt idx="87">
                  <c:v>-5.6178816112324608</c:v>
                </c:pt>
                <c:pt idx="88">
                  <c:v>-5.428417469670495</c:v>
                </c:pt>
                <c:pt idx="89">
                  <c:v>-5.2267608117854225</c:v>
                </c:pt>
                <c:pt idx="90">
                  <c:v>-5.0114399999999808</c:v>
                </c:pt>
                <c:pt idx="91">
                  <c:v>-4.7806090715489162</c:v>
                </c:pt>
                <c:pt idx="92">
                  <c:v>-4.5318986360844153</c:v>
                </c:pt>
                <c:pt idx="93">
                  <c:v>-4.2621798802847088</c:v>
                </c:pt>
                <c:pt idx="94">
                  <c:v>-3.9671701939109907</c:v>
                </c:pt>
                <c:pt idx="95">
                  <c:v>-3.6407267536028796</c:v>
                </c:pt>
                <c:pt idx="96">
                  <c:v>-3.273458900419516</c:v>
                </c:pt>
                <c:pt idx="97">
                  <c:v>-2.8496254109029384</c:v>
                </c:pt>
                <c:pt idx="98">
                  <c:v>-2.3386719999999412</c:v>
                </c:pt>
                <c:pt idx="99">
                  <c:v>-1.662106613937784</c:v>
                </c:pt>
                <c:pt idx="100">
                  <c:v>0</c:v>
                </c:pt>
              </c:numCache>
            </c:numRef>
          </c:yVal>
          <c:smooth val="1"/>
          <c:extLst>
            <c:ext xmlns:c16="http://schemas.microsoft.com/office/drawing/2014/chart" uri="{C3380CC4-5D6E-409C-BE32-E72D297353CC}">
              <c16:uniqueId val="{00000001-C6D0-4940-BEC5-270FCD14FFA9}"/>
            </c:ext>
          </c:extLst>
        </c:ser>
        <c:ser>
          <c:idx val="2"/>
          <c:order val="2"/>
          <c:tx>
            <c:v>1-2 Upper</c:v>
          </c:tx>
          <c:spPr>
            <a:ln w="12700" cap="rnd">
              <a:solidFill>
                <a:schemeClr val="accent4"/>
              </a:solidFill>
              <a:round/>
            </a:ln>
            <a:effectLst/>
          </c:spPr>
          <c:marker>
            <c:symbol val="none"/>
          </c:marker>
          <c:xVal>
            <c:numRef>
              <c:f>'Non-Plane Stress'!$E$160:$E$260</c:f>
              <c:numCache>
                <c:formatCode>0.000</c:formatCode>
                <c:ptCount val="101"/>
                <c:pt idx="0">
                  <c:v>-4.6852</c:v>
                </c:pt>
                <c:pt idx="1">
                  <c:v>-4.3375960000000005</c:v>
                </c:pt>
                <c:pt idx="2">
                  <c:v>-3.9899920000000004</c:v>
                </c:pt>
                <c:pt idx="3">
                  <c:v>-3.6423880000000004</c:v>
                </c:pt>
                <c:pt idx="4">
                  <c:v>-3.2947840000000004</c:v>
                </c:pt>
                <c:pt idx="5">
                  <c:v>-2.9471800000000004</c:v>
                </c:pt>
                <c:pt idx="6">
                  <c:v>-2.5995760000000003</c:v>
                </c:pt>
                <c:pt idx="7">
                  <c:v>-2.2519720000000003</c:v>
                </c:pt>
                <c:pt idx="8">
                  <c:v>-1.9043680000000003</c:v>
                </c:pt>
                <c:pt idx="9">
                  <c:v>-1.5567640000000003</c:v>
                </c:pt>
                <c:pt idx="10">
                  <c:v>-1.2091600000000002</c:v>
                </c:pt>
                <c:pt idx="11">
                  <c:v>-0.86155600000000021</c:v>
                </c:pt>
                <c:pt idx="12">
                  <c:v>-0.51395200000000019</c:v>
                </c:pt>
                <c:pt idx="13">
                  <c:v>-0.16634800000000022</c:v>
                </c:pt>
                <c:pt idx="14">
                  <c:v>0.18125599999999975</c:v>
                </c:pt>
                <c:pt idx="15">
                  <c:v>0.52885999999999966</c:v>
                </c:pt>
                <c:pt idx="16">
                  <c:v>0.87646399999999969</c:v>
                </c:pt>
                <c:pt idx="17">
                  <c:v>1.2240679999999997</c:v>
                </c:pt>
                <c:pt idx="18">
                  <c:v>1.5716719999999997</c:v>
                </c:pt>
                <c:pt idx="19">
                  <c:v>1.9192759999999998</c:v>
                </c:pt>
                <c:pt idx="20">
                  <c:v>2.2668799999999996</c:v>
                </c:pt>
                <c:pt idx="21">
                  <c:v>2.6144839999999996</c:v>
                </c:pt>
                <c:pt idx="22">
                  <c:v>2.9620879999999996</c:v>
                </c:pt>
                <c:pt idx="23">
                  <c:v>3.3096919999999996</c:v>
                </c:pt>
                <c:pt idx="24">
                  <c:v>3.6572959999999997</c:v>
                </c:pt>
                <c:pt idx="25">
                  <c:v>4.0048999999999992</c:v>
                </c:pt>
                <c:pt idx="26">
                  <c:v>4.3525039999999988</c:v>
                </c:pt>
                <c:pt idx="27">
                  <c:v>4.7001079999999984</c:v>
                </c:pt>
                <c:pt idx="28">
                  <c:v>5.047711999999998</c:v>
                </c:pt>
                <c:pt idx="29">
                  <c:v>5.3953159999999976</c:v>
                </c:pt>
                <c:pt idx="30">
                  <c:v>5.7429199999999971</c:v>
                </c:pt>
                <c:pt idx="31">
                  <c:v>6.0905239999999967</c:v>
                </c:pt>
                <c:pt idx="32">
                  <c:v>6.4381279999999963</c:v>
                </c:pt>
                <c:pt idx="33">
                  <c:v>6.7857319999999959</c:v>
                </c:pt>
                <c:pt idx="34">
                  <c:v>7.1333359999999955</c:v>
                </c:pt>
                <c:pt idx="35">
                  <c:v>7.480939999999995</c:v>
                </c:pt>
                <c:pt idx="36">
                  <c:v>7.8285439999999946</c:v>
                </c:pt>
                <c:pt idx="37">
                  <c:v>8.1761479999999942</c:v>
                </c:pt>
                <c:pt idx="38">
                  <c:v>8.5237519999999947</c:v>
                </c:pt>
                <c:pt idx="39">
                  <c:v>8.8713559999999951</c:v>
                </c:pt>
                <c:pt idx="40">
                  <c:v>9.2189599999999956</c:v>
                </c:pt>
                <c:pt idx="41">
                  <c:v>9.5665639999999961</c:v>
                </c:pt>
                <c:pt idx="42">
                  <c:v>9.9141679999999965</c:v>
                </c:pt>
                <c:pt idx="43">
                  <c:v>10.261771999999997</c:v>
                </c:pt>
                <c:pt idx="44">
                  <c:v>10.609375999999997</c:v>
                </c:pt>
                <c:pt idx="45">
                  <c:v>10.956979999999998</c:v>
                </c:pt>
                <c:pt idx="46">
                  <c:v>11.304583999999998</c:v>
                </c:pt>
                <c:pt idx="47">
                  <c:v>11.652187999999999</c:v>
                </c:pt>
                <c:pt idx="48">
                  <c:v>11.999791999999999</c:v>
                </c:pt>
                <c:pt idx="49">
                  <c:v>12.347396</c:v>
                </c:pt>
                <c:pt idx="50">
                  <c:v>12.695</c:v>
                </c:pt>
                <c:pt idx="51">
                  <c:v>13.042604000000001</c:v>
                </c:pt>
                <c:pt idx="52">
                  <c:v>13.390208000000001</c:v>
                </c:pt>
                <c:pt idx="53">
                  <c:v>13.737812000000002</c:v>
                </c:pt>
                <c:pt idx="54">
                  <c:v>14.085416000000002</c:v>
                </c:pt>
                <c:pt idx="55">
                  <c:v>14.433020000000003</c:v>
                </c:pt>
                <c:pt idx="56">
                  <c:v>14.780624000000003</c:v>
                </c:pt>
                <c:pt idx="57">
                  <c:v>15.128228000000004</c:v>
                </c:pt>
                <c:pt idx="58">
                  <c:v>15.475832000000004</c:v>
                </c:pt>
                <c:pt idx="59">
                  <c:v>15.823436000000004</c:v>
                </c:pt>
                <c:pt idx="60">
                  <c:v>16.171040000000005</c:v>
                </c:pt>
                <c:pt idx="61">
                  <c:v>16.518644000000005</c:v>
                </c:pt>
                <c:pt idx="62">
                  <c:v>16.866248000000006</c:v>
                </c:pt>
                <c:pt idx="63">
                  <c:v>17.213852000000006</c:v>
                </c:pt>
                <c:pt idx="64">
                  <c:v>17.561456000000007</c:v>
                </c:pt>
                <c:pt idx="65">
                  <c:v>17.909060000000007</c:v>
                </c:pt>
                <c:pt idx="66">
                  <c:v>18.256664000000008</c:v>
                </c:pt>
                <c:pt idx="67">
                  <c:v>18.604268000000008</c:v>
                </c:pt>
                <c:pt idx="68">
                  <c:v>18.951872000000009</c:v>
                </c:pt>
                <c:pt idx="69">
                  <c:v>19.299476000000009</c:v>
                </c:pt>
                <c:pt idx="70">
                  <c:v>19.64708000000001</c:v>
                </c:pt>
                <c:pt idx="71">
                  <c:v>19.99468400000001</c:v>
                </c:pt>
                <c:pt idx="72">
                  <c:v>20.342288000000011</c:v>
                </c:pt>
                <c:pt idx="73">
                  <c:v>20.689892000000011</c:v>
                </c:pt>
                <c:pt idx="74">
                  <c:v>21.037496000000012</c:v>
                </c:pt>
                <c:pt idx="75">
                  <c:v>21.385100000000012</c:v>
                </c:pt>
                <c:pt idx="76">
                  <c:v>21.732704000000012</c:v>
                </c:pt>
                <c:pt idx="77">
                  <c:v>22.080308000000013</c:v>
                </c:pt>
                <c:pt idx="78">
                  <c:v>22.427912000000013</c:v>
                </c:pt>
                <c:pt idx="79">
                  <c:v>22.775516000000014</c:v>
                </c:pt>
                <c:pt idx="80">
                  <c:v>23.123120000000014</c:v>
                </c:pt>
                <c:pt idx="81">
                  <c:v>23.470724000000015</c:v>
                </c:pt>
                <c:pt idx="82">
                  <c:v>23.818328000000015</c:v>
                </c:pt>
                <c:pt idx="83">
                  <c:v>24.165932000000016</c:v>
                </c:pt>
                <c:pt idx="84">
                  <c:v>24.513536000000016</c:v>
                </c:pt>
                <c:pt idx="85">
                  <c:v>24.861140000000017</c:v>
                </c:pt>
                <c:pt idx="86">
                  <c:v>25.208744000000017</c:v>
                </c:pt>
                <c:pt idx="87">
                  <c:v>25.556348000000018</c:v>
                </c:pt>
                <c:pt idx="88">
                  <c:v>25.903952000000018</c:v>
                </c:pt>
                <c:pt idx="89">
                  <c:v>26.251556000000019</c:v>
                </c:pt>
                <c:pt idx="90">
                  <c:v>26.599160000000019</c:v>
                </c:pt>
                <c:pt idx="91">
                  <c:v>26.946764000000019</c:v>
                </c:pt>
                <c:pt idx="92">
                  <c:v>27.29436800000002</c:v>
                </c:pt>
                <c:pt idx="93">
                  <c:v>27.64197200000002</c:v>
                </c:pt>
                <c:pt idx="94">
                  <c:v>27.989576000000021</c:v>
                </c:pt>
                <c:pt idx="95">
                  <c:v>28.337180000000021</c:v>
                </c:pt>
                <c:pt idx="96">
                  <c:v>28.684784000000022</c:v>
                </c:pt>
                <c:pt idx="97">
                  <c:v>29.032388000000022</c:v>
                </c:pt>
                <c:pt idx="98">
                  <c:v>29.379992000000023</c:v>
                </c:pt>
                <c:pt idx="99">
                  <c:v>29.727596000000023</c:v>
                </c:pt>
                <c:pt idx="100">
                  <c:v>30.075200000000024</c:v>
                </c:pt>
              </c:numCache>
            </c:numRef>
          </c:xVal>
          <c:yVal>
            <c:numRef>
              <c:f>'Non-Plane Stress'!$F$160:$F$260</c:f>
              <c:numCache>
                <c:formatCode>General</c:formatCode>
                <c:ptCount val="101"/>
                <c:pt idx="0">
                  <c:v>0</c:v>
                </c:pt>
                <c:pt idx="1">
                  <c:v>3.4586161308800785</c:v>
                </c:pt>
                <c:pt idx="2">
                  <c:v>4.8664559999999923</c:v>
                </c:pt>
                <c:pt idx="3">
                  <c:v>5.9296800400574696</c:v>
                </c:pt>
                <c:pt idx="4">
                  <c:v>6.8116194604032287</c:v>
                </c:pt>
                <c:pt idx="5">
                  <c:v>7.5758535418525597</c:v>
                </c:pt>
                <c:pt idx="6">
                  <c:v>8.2551376136454522</c:v>
                </c:pt>
                <c:pt idx="7">
                  <c:v>8.8690123503812952</c:v>
                </c:pt>
                <c:pt idx="8">
                  <c:v>9.4302601258171013</c:v>
                </c:pt>
                <c:pt idx="9">
                  <c:v>9.9477924650800755</c:v>
                </c:pt>
                <c:pt idx="10">
                  <c:v>10.428119999999996</c:v>
                </c:pt>
                <c:pt idx="11">
                  <c:v>10.876173107249809</c:v>
                </c:pt>
                <c:pt idx="12">
                  <c:v>11.295792982420311</c:v>
                </c:pt>
                <c:pt idx="13">
                  <c:v>11.690041901674089</c:v>
                </c:pt>
                <c:pt idx="14">
                  <c:v>12.061408008290904</c:v>
                </c:pt>
                <c:pt idx="15">
                  <c:v>12.411945437376042</c:v>
                </c:pt>
                <c:pt idx="16">
                  <c:v>12.743373134955437</c:v>
                </c:pt>
                <c:pt idx="17">
                  <c:v>13.057146360954063</c:v>
                </c:pt>
                <c:pt idx="18">
                  <c:v>13.354509584571645</c:v>
                </c:pt>
                <c:pt idx="19">
                  <c:v>13.636536375334609</c:v>
                </c:pt>
                <c:pt idx="20">
                  <c:v>13.904159999999999</c:v>
                </c:pt>
                <c:pt idx="21">
                  <c:v>14.158197244485045</c:v>
                </c:pt>
                <c:pt idx="22">
                  <c:v>14.399367209716402</c:v>
                </c:pt>
                <c:pt idx="23">
                  <c:v>14.628306319773865</c:v>
                </c:pt>
                <c:pt idx="24">
                  <c:v>14.845580434876366</c:v>
                </c:pt>
                <c:pt idx="25">
                  <c:v>15.051694722854299</c:v>
                </c:pt>
                <c:pt idx="26">
                  <c:v>15.247101774763095</c:v>
                </c:pt>
                <c:pt idx="27">
                  <c:v>15.432208330253189</c:v>
                </c:pt>
                <c:pt idx="28">
                  <c:v>15.607380891266027</c:v>
                </c:pt>
                <c:pt idx="29">
                  <c:v>15.772950438651101</c:v>
                </c:pt>
                <c:pt idx="30">
                  <c:v>15.929216418694295</c:v>
                </c:pt>
                <c:pt idx="31">
                  <c:v>16.07645013071679</c:v>
                </c:pt>
                <c:pt idx="32">
                  <c:v>16.214897619646443</c:v>
                </c:pt>
                <c:pt idx="33">
                  <c:v>16.344782156522488</c:v>
                </c:pt>
                <c:pt idx="34">
                  <c:v>16.466306373655993</c:v>
                </c:pt>
                <c:pt idx="35">
                  <c:v>16.579654108466798</c:v>
                </c:pt>
                <c:pt idx="36">
                  <c:v>16.684991999999998</c:v>
                </c:pt>
                <c:pt idx="37">
                  <c:v>16.782470874162001</c:v>
                </c:pt>
                <c:pt idx="38">
                  <c:v>16.872226947338515</c:v>
                </c:pt>
                <c:pt idx="39">
                  <c:v>16.954382872911179</c:v>
                </c:pt>
                <c:pt idx="40">
                  <c:v>17.029048651008075</c:v>
                </c:pt>
                <c:pt idx="41">
                  <c:v>17.096322418400511</c:v>
                </c:pt>
                <c:pt idx="42">
                  <c:v>17.15629113263633</c:v>
                </c:pt>
                <c:pt idx="43">
                  <c:v>17.20903116215483</c:v>
                </c:pt>
                <c:pt idx="44">
                  <c:v>17.254608792164021</c:v>
                </c:pt>
                <c:pt idx="45">
                  <c:v>17.293080654400473</c:v>
                </c:pt>
                <c:pt idx="46">
                  <c:v>17.324494087474648</c:v>
                </c:pt>
                <c:pt idx="47">
                  <c:v>17.348887433281014</c:v>
                </c:pt>
                <c:pt idx="48">
                  <c:v>17.366290273882214</c:v>
                </c:pt>
                <c:pt idx="49">
                  <c:v>17.376723612326462</c:v>
                </c:pt>
                <c:pt idx="50">
                  <c:v>17.380199999999999</c:v>
                </c:pt>
                <c:pt idx="51">
                  <c:v>17.376723612326462</c:v>
                </c:pt>
                <c:pt idx="52">
                  <c:v>17.366290273882214</c:v>
                </c:pt>
                <c:pt idx="53">
                  <c:v>17.348887433281014</c:v>
                </c:pt>
                <c:pt idx="54">
                  <c:v>17.324494087474648</c:v>
                </c:pt>
                <c:pt idx="55">
                  <c:v>17.293080654400473</c:v>
                </c:pt>
                <c:pt idx="56">
                  <c:v>17.254608792164021</c:v>
                </c:pt>
                <c:pt idx="57">
                  <c:v>17.20903116215483</c:v>
                </c:pt>
                <c:pt idx="58">
                  <c:v>17.15629113263633</c:v>
                </c:pt>
                <c:pt idx="59">
                  <c:v>17.096322418400511</c:v>
                </c:pt>
                <c:pt idx="60">
                  <c:v>17.029048651008075</c:v>
                </c:pt>
                <c:pt idx="61">
                  <c:v>16.954382872911179</c:v>
                </c:pt>
                <c:pt idx="62">
                  <c:v>16.872226947338515</c:v>
                </c:pt>
                <c:pt idx="63">
                  <c:v>16.782470874162001</c:v>
                </c:pt>
                <c:pt idx="64">
                  <c:v>16.684991999999998</c:v>
                </c:pt>
                <c:pt idx="65">
                  <c:v>16.579654108466794</c:v>
                </c:pt>
                <c:pt idx="66">
                  <c:v>16.466306373655989</c:v>
                </c:pt>
                <c:pt idx="67">
                  <c:v>16.344782156522488</c:v>
                </c:pt>
                <c:pt idx="68">
                  <c:v>16.214897619646443</c:v>
                </c:pt>
                <c:pt idx="69">
                  <c:v>16.07645013071679</c:v>
                </c:pt>
                <c:pt idx="70">
                  <c:v>15.929216418694294</c:v>
                </c:pt>
                <c:pt idx="71">
                  <c:v>15.772950438651097</c:v>
                </c:pt>
                <c:pt idx="72">
                  <c:v>15.607380891266024</c:v>
                </c:pt>
                <c:pt idx="73">
                  <c:v>15.432208330253186</c:v>
                </c:pt>
                <c:pt idx="74">
                  <c:v>15.24710177476309</c:v>
                </c:pt>
                <c:pt idx="75">
                  <c:v>15.051694722854291</c:v>
                </c:pt>
                <c:pt idx="76">
                  <c:v>14.845580434876359</c:v>
                </c:pt>
                <c:pt idx="77">
                  <c:v>14.628306319773856</c:v>
                </c:pt>
                <c:pt idx="78">
                  <c:v>14.399367209716393</c:v>
                </c:pt>
                <c:pt idx="79">
                  <c:v>14.158197244485036</c:v>
                </c:pt>
                <c:pt idx="80">
                  <c:v>13.904159999999989</c:v>
                </c:pt>
                <c:pt idx="81">
                  <c:v>13.636536375334597</c:v>
                </c:pt>
                <c:pt idx="82">
                  <c:v>13.354509584571634</c:v>
                </c:pt>
                <c:pt idx="83">
                  <c:v>13.057146360954052</c:v>
                </c:pt>
                <c:pt idx="84">
                  <c:v>12.743373134955421</c:v>
                </c:pt>
                <c:pt idx="85">
                  <c:v>12.411945437376028</c:v>
                </c:pt>
                <c:pt idx="86">
                  <c:v>12.061408008290886</c:v>
                </c:pt>
                <c:pt idx="87">
                  <c:v>11.69004190167407</c:v>
                </c:pt>
                <c:pt idx="88">
                  <c:v>11.295792982420291</c:v>
                </c:pt>
                <c:pt idx="89">
                  <c:v>10.876173107249787</c:v>
                </c:pt>
                <c:pt idx="90">
                  <c:v>10.428119999999973</c:v>
                </c:pt>
                <c:pt idx="91">
                  <c:v>9.9477924650800507</c:v>
                </c:pt>
                <c:pt idx="92">
                  <c:v>9.4302601258170711</c:v>
                </c:pt>
                <c:pt idx="93">
                  <c:v>8.8690123503812632</c:v>
                </c:pt>
                <c:pt idx="94">
                  <c:v>8.2551376136454166</c:v>
                </c:pt>
                <c:pt idx="95">
                  <c:v>7.5758535418525161</c:v>
                </c:pt>
                <c:pt idx="96">
                  <c:v>6.8116194604031781</c:v>
                </c:pt>
                <c:pt idx="97">
                  <c:v>5.9296800400574119</c:v>
                </c:pt>
                <c:pt idx="98">
                  <c:v>4.8664559999999222</c:v>
                </c:pt>
                <c:pt idx="99">
                  <c:v>3.4586161308799799</c:v>
                </c:pt>
                <c:pt idx="100">
                  <c:v>0</c:v>
                </c:pt>
              </c:numCache>
            </c:numRef>
          </c:yVal>
          <c:smooth val="1"/>
          <c:extLst>
            <c:ext xmlns:c16="http://schemas.microsoft.com/office/drawing/2014/chart" uri="{C3380CC4-5D6E-409C-BE32-E72D297353CC}">
              <c16:uniqueId val="{00000002-C6D0-4940-BEC5-270FCD14FFA9}"/>
            </c:ext>
          </c:extLst>
        </c:ser>
        <c:ser>
          <c:idx val="3"/>
          <c:order val="3"/>
          <c:tx>
            <c:v>1-2 Lower</c:v>
          </c:tx>
          <c:spPr>
            <a:ln w="12700" cap="rnd">
              <a:solidFill>
                <a:schemeClr val="accent4"/>
              </a:solidFill>
              <a:round/>
            </a:ln>
            <a:effectLst/>
          </c:spPr>
          <c:marker>
            <c:symbol val="none"/>
          </c:marker>
          <c:dLbls>
            <c:dLbl>
              <c:idx val="0"/>
              <c:layout>
                <c:manualLayout>
                  <c:x val="6.1866666666666667E-2"/>
                  <c:y val="-0.3309692671394798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6D0-4940-BEC5-270FCD14FFA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'Non-Plane Stress'!$E$160:$E$260</c:f>
              <c:numCache>
                <c:formatCode>0.000</c:formatCode>
                <c:ptCount val="101"/>
                <c:pt idx="0">
                  <c:v>-4.6852</c:v>
                </c:pt>
                <c:pt idx="1">
                  <c:v>-4.3375960000000005</c:v>
                </c:pt>
                <c:pt idx="2">
                  <c:v>-3.9899920000000004</c:v>
                </c:pt>
                <c:pt idx="3">
                  <c:v>-3.6423880000000004</c:v>
                </c:pt>
                <c:pt idx="4">
                  <c:v>-3.2947840000000004</c:v>
                </c:pt>
                <c:pt idx="5">
                  <c:v>-2.9471800000000004</c:v>
                </c:pt>
                <c:pt idx="6">
                  <c:v>-2.5995760000000003</c:v>
                </c:pt>
                <c:pt idx="7">
                  <c:v>-2.2519720000000003</c:v>
                </c:pt>
                <c:pt idx="8">
                  <c:v>-1.9043680000000003</c:v>
                </c:pt>
                <c:pt idx="9">
                  <c:v>-1.5567640000000003</c:v>
                </c:pt>
                <c:pt idx="10">
                  <c:v>-1.2091600000000002</c:v>
                </c:pt>
                <c:pt idx="11">
                  <c:v>-0.86155600000000021</c:v>
                </c:pt>
                <c:pt idx="12">
                  <c:v>-0.51395200000000019</c:v>
                </c:pt>
                <c:pt idx="13">
                  <c:v>-0.16634800000000022</c:v>
                </c:pt>
                <c:pt idx="14">
                  <c:v>0.18125599999999975</c:v>
                </c:pt>
                <c:pt idx="15">
                  <c:v>0.52885999999999966</c:v>
                </c:pt>
                <c:pt idx="16">
                  <c:v>0.87646399999999969</c:v>
                </c:pt>
                <c:pt idx="17">
                  <c:v>1.2240679999999997</c:v>
                </c:pt>
                <c:pt idx="18">
                  <c:v>1.5716719999999997</c:v>
                </c:pt>
                <c:pt idx="19">
                  <c:v>1.9192759999999998</c:v>
                </c:pt>
                <c:pt idx="20">
                  <c:v>2.2668799999999996</c:v>
                </c:pt>
                <c:pt idx="21">
                  <c:v>2.6144839999999996</c:v>
                </c:pt>
                <c:pt idx="22">
                  <c:v>2.9620879999999996</c:v>
                </c:pt>
                <c:pt idx="23">
                  <c:v>3.3096919999999996</c:v>
                </c:pt>
                <c:pt idx="24">
                  <c:v>3.6572959999999997</c:v>
                </c:pt>
                <c:pt idx="25">
                  <c:v>4.0048999999999992</c:v>
                </c:pt>
                <c:pt idx="26">
                  <c:v>4.3525039999999988</c:v>
                </c:pt>
                <c:pt idx="27">
                  <c:v>4.7001079999999984</c:v>
                </c:pt>
                <c:pt idx="28">
                  <c:v>5.047711999999998</c:v>
                </c:pt>
                <c:pt idx="29">
                  <c:v>5.3953159999999976</c:v>
                </c:pt>
                <c:pt idx="30">
                  <c:v>5.7429199999999971</c:v>
                </c:pt>
                <c:pt idx="31">
                  <c:v>6.0905239999999967</c:v>
                </c:pt>
                <c:pt idx="32">
                  <c:v>6.4381279999999963</c:v>
                </c:pt>
                <c:pt idx="33">
                  <c:v>6.7857319999999959</c:v>
                </c:pt>
                <c:pt idx="34">
                  <c:v>7.1333359999999955</c:v>
                </c:pt>
                <c:pt idx="35">
                  <c:v>7.480939999999995</c:v>
                </c:pt>
                <c:pt idx="36">
                  <c:v>7.8285439999999946</c:v>
                </c:pt>
                <c:pt idx="37">
                  <c:v>8.1761479999999942</c:v>
                </c:pt>
                <c:pt idx="38">
                  <c:v>8.5237519999999947</c:v>
                </c:pt>
                <c:pt idx="39">
                  <c:v>8.8713559999999951</c:v>
                </c:pt>
                <c:pt idx="40">
                  <c:v>9.2189599999999956</c:v>
                </c:pt>
                <c:pt idx="41">
                  <c:v>9.5665639999999961</c:v>
                </c:pt>
                <c:pt idx="42">
                  <c:v>9.9141679999999965</c:v>
                </c:pt>
                <c:pt idx="43">
                  <c:v>10.261771999999997</c:v>
                </c:pt>
                <c:pt idx="44">
                  <c:v>10.609375999999997</c:v>
                </c:pt>
                <c:pt idx="45">
                  <c:v>10.956979999999998</c:v>
                </c:pt>
                <c:pt idx="46">
                  <c:v>11.304583999999998</c:v>
                </c:pt>
                <c:pt idx="47">
                  <c:v>11.652187999999999</c:v>
                </c:pt>
                <c:pt idx="48">
                  <c:v>11.999791999999999</c:v>
                </c:pt>
                <c:pt idx="49">
                  <c:v>12.347396</c:v>
                </c:pt>
                <c:pt idx="50">
                  <c:v>12.695</c:v>
                </c:pt>
                <c:pt idx="51">
                  <c:v>13.042604000000001</c:v>
                </c:pt>
                <c:pt idx="52">
                  <c:v>13.390208000000001</c:v>
                </c:pt>
                <c:pt idx="53">
                  <c:v>13.737812000000002</c:v>
                </c:pt>
                <c:pt idx="54">
                  <c:v>14.085416000000002</c:v>
                </c:pt>
                <c:pt idx="55">
                  <c:v>14.433020000000003</c:v>
                </c:pt>
                <c:pt idx="56">
                  <c:v>14.780624000000003</c:v>
                </c:pt>
                <c:pt idx="57">
                  <c:v>15.128228000000004</c:v>
                </c:pt>
                <c:pt idx="58">
                  <c:v>15.475832000000004</c:v>
                </c:pt>
                <c:pt idx="59">
                  <c:v>15.823436000000004</c:v>
                </c:pt>
                <c:pt idx="60">
                  <c:v>16.171040000000005</c:v>
                </c:pt>
                <c:pt idx="61">
                  <c:v>16.518644000000005</c:v>
                </c:pt>
                <c:pt idx="62">
                  <c:v>16.866248000000006</c:v>
                </c:pt>
                <c:pt idx="63">
                  <c:v>17.213852000000006</c:v>
                </c:pt>
                <c:pt idx="64">
                  <c:v>17.561456000000007</c:v>
                </c:pt>
                <c:pt idx="65">
                  <c:v>17.909060000000007</c:v>
                </c:pt>
                <c:pt idx="66">
                  <c:v>18.256664000000008</c:v>
                </c:pt>
                <c:pt idx="67">
                  <c:v>18.604268000000008</c:v>
                </c:pt>
                <c:pt idx="68">
                  <c:v>18.951872000000009</c:v>
                </c:pt>
                <c:pt idx="69">
                  <c:v>19.299476000000009</c:v>
                </c:pt>
                <c:pt idx="70">
                  <c:v>19.64708000000001</c:v>
                </c:pt>
                <c:pt idx="71">
                  <c:v>19.99468400000001</c:v>
                </c:pt>
                <c:pt idx="72">
                  <c:v>20.342288000000011</c:v>
                </c:pt>
                <c:pt idx="73">
                  <c:v>20.689892000000011</c:v>
                </c:pt>
                <c:pt idx="74">
                  <c:v>21.037496000000012</c:v>
                </c:pt>
                <c:pt idx="75">
                  <c:v>21.385100000000012</c:v>
                </c:pt>
                <c:pt idx="76">
                  <c:v>21.732704000000012</c:v>
                </c:pt>
                <c:pt idx="77">
                  <c:v>22.080308000000013</c:v>
                </c:pt>
                <c:pt idx="78">
                  <c:v>22.427912000000013</c:v>
                </c:pt>
                <c:pt idx="79">
                  <c:v>22.775516000000014</c:v>
                </c:pt>
                <c:pt idx="80">
                  <c:v>23.123120000000014</c:v>
                </c:pt>
                <c:pt idx="81">
                  <c:v>23.470724000000015</c:v>
                </c:pt>
                <c:pt idx="82">
                  <c:v>23.818328000000015</c:v>
                </c:pt>
                <c:pt idx="83">
                  <c:v>24.165932000000016</c:v>
                </c:pt>
                <c:pt idx="84">
                  <c:v>24.513536000000016</c:v>
                </c:pt>
                <c:pt idx="85">
                  <c:v>24.861140000000017</c:v>
                </c:pt>
                <c:pt idx="86">
                  <c:v>25.208744000000017</c:v>
                </c:pt>
                <c:pt idx="87">
                  <c:v>25.556348000000018</c:v>
                </c:pt>
                <c:pt idx="88">
                  <c:v>25.903952000000018</c:v>
                </c:pt>
                <c:pt idx="89">
                  <c:v>26.251556000000019</c:v>
                </c:pt>
                <c:pt idx="90">
                  <c:v>26.599160000000019</c:v>
                </c:pt>
                <c:pt idx="91">
                  <c:v>26.946764000000019</c:v>
                </c:pt>
                <c:pt idx="92">
                  <c:v>27.29436800000002</c:v>
                </c:pt>
                <c:pt idx="93">
                  <c:v>27.64197200000002</c:v>
                </c:pt>
                <c:pt idx="94">
                  <c:v>27.989576000000021</c:v>
                </c:pt>
                <c:pt idx="95">
                  <c:v>28.337180000000021</c:v>
                </c:pt>
                <c:pt idx="96">
                  <c:v>28.684784000000022</c:v>
                </c:pt>
                <c:pt idx="97">
                  <c:v>29.032388000000022</c:v>
                </c:pt>
                <c:pt idx="98">
                  <c:v>29.379992000000023</c:v>
                </c:pt>
                <c:pt idx="99">
                  <c:v>29.727596000000023</c:v>
                </c:pt>
                <c:pt idx="100">
                  <c:v>30.075200000000024</c:v>
                </c:pt>
              </c:numCache>
            </c:numRef>
          </c:xVal>
          <c:yVal>
            <c:numRef>
              <c:f>'Non-Plane Stress'!$G$160:$G$260</c:f>
              <c:numCache>
                <c:formatCode>General</c:formatCode>
                <c:ptCount val="101"/>
                <c:pt idx="0">
                  <c:v>0</c:v>
                </c:pt>
                <c:pt idx="1">
                  <c:v>-3.4586161308800785</c:v>
                </c:pt>
                <c:pt idx="2">
                  <c:v>-4.8664559999999923</c:v>
                </c:pt>
                <c:pt idx="3">
                  <c:v>-5.9296800400574696</c:v>
                </c:pt>
                <c:pt idx="4">
                  <c:v>-6.8116194604032287</c:v>
                </c:pt>
                <c:pt idx="5">
                  <c:v>-7.5758535418525597</c:v>
                </c:pt>
                <c:pt idx="6">
                  <c:v>-8.2551376136454522</c:v>
                </c:pt>
                <c:pt idx="7">
                  <c:v>-8.8690123503812952</c:v>
                </c:pt>
                <c:pt idx="8">
                  <c:v>-9.4302601258171013</c:v>
                </c:pt>
                <c:pt idx="9">
                  <c:v>-9.9477924650800755</c:v>
                </c:pt>
                <c:pt idx="10">
                  <c:v>-10.428119999999996</c:v>
                </c:pt>
                <c:pt idx="11">
                  <c:v>-10.876173107249809</c:v>
                </c:pt>
                <c:pt idx="12">
                  <c:v>-11.295792982420311</c:v>
                </c:pt>
                <c:pt idx="13">
                  <c:v>-11.690041901674089</c:v>
                </c:pt>
                <c:pt idx="14">
                  <c:v>-12.061408008290904</c:v>
                </c:pt>
                <c:pt idx="15">
                  <c:v>-12.411945437376042</c:v>
                </c:pt>
                <c:pt idx="16">
                  <c:v>-12.743373134955437</c:v>
                </c:pt>
                <c:pt idx="17">
                  <c:v>-13.057146360954063</c:v>
                </c:pt>
                <c:pt idx="18">
                  <c:v>-13.354509584571645</c:v>
                </c:pt>
                <c:pt idx="19">
                  <c:v>-13.636536375334609</c:v>
                </c:pt>
                <c:pt idx="20">
                  <c:v>-13.904159999999999</c:v>
                </c:pt>
                <c:pt idx="21">
                  <c:v>-14.158197244485045</c:v>
                </c:pt>
                <c:pt idx="22">
                  <c:v>-14.399367209716402</c:v>
                </c:pt>
                <c:pt idx="23">
                  <c:v>-14.628306319773865</c:v>
                </c:pt>
                <c:pt idx="24">
                  <c:v>-14.845580434876366</c:v>
                </c:pt>
                <c:pt idx="25">
                  <c:v>-15.051694722854299</c:v>
                </c:pt>
                <c:pt idx="26">
                  <c:v>-15.247101774763095</c:v>
                </c:pt>
                <c:pt idx="27">
                  <c:v>-15.432208330253189</c:v>
                </c:pt>
                <c:pt idx="28">
                  <c:v>-15.607380891266027</c:v>
                </c:pt>
                <c:pt idx="29">
                  <c:v>-15.772950438651101</c:v>
                </c:pt>
                <c:pt idx="30">
                  <c:v>-15.929216418694295</c:v>
                </c:pt>
                <c:pt idx="31">
                  <c:v>-16.07645013071679</c:v>
                </c:pt>
                <c:pt idx="32">
                  <c:v>-16.214897619646443</c:v>
                </c:pt>
                <c:pt idx="33">
                  <c:v>-16.344782156522488</c:v>
                </c:pt>
                <c:pt idx="34">
                  <c:v>-16.466306373655993</c:v>
                </c:pt>
                <c:pt idx="35">
                  <c:v>-16.579654108466798</c:v>
                </c:pt>
                <c:pt idx="36">
                  <c:v>-16.684991999999998</c:v>
                </c:pt>
                <c:pt idx="37">
                  <c:v>-16.782470874162001</c:v>
                </c:pt>
                <c:pt idx="38">
                  <c:v>-16.872226947338515</c:v>
                </c:pt>
                <c:pt idx="39">
                  <c:v>-16.954382872911179</c:v>
                </c:pt>
                <c:pt idx="40">
                  <c:v>-17.029048651008075</c:v>
                </c:pt>
                <c:pt idx="41">
                  <c:v>-17.096322418400511</c:v>
                </c:pt>
                <c:pt idx="42">
                  <c:v>-17.15629113263633</c:v>
                </c:pt>
                <c:pt idx="43">
                  <c:v>-17.20903116215483</c:v>
                </c:pt>
                <c:pt idx="44">
                  <c:v>-17.254608792164021</c:v>
                </c:pt>
                <c:pt idx="45">
                  <c:v>-17.293080654400473</c:v>
                </c:pt>
                <c:pt idx="46">
                  <c:v>-17.324494087474648</c:v>
                </c:pt>
                <c:pt idx="47">
                  <c:v>-17.348887433281014</c:v>
                </c:pt>
                <c:pt idx="48">
                  <c:v>-17.366290273882214</c:v>
                </c:pt>
                <c:pt idx="49">
                  <c:v>-17.376723612326462</c:v>
                </c:pt>
                <c:pt idx="50">
                  <c:v>-17.380199999999999</c:v>
                </c:pt>
                <c:pt idx="51">
                  <c:v>-17.376723612326462</c:v>
                </c:pt>
                <c:pt idx="52">
                  <c:v>-17.366290273882214</c:v>
                </c:pt>
                <c:pt idx="53">
                  <c:v>-17.348887433281014</c:v>
                </c:pt>
                <c:pt idx="54">
                  <c:v>-17.324494087474648</c:v>
                </c:pt>
                <c:pt idx="55">
                  <c:v>-17.293080654400473</c:v>
                </c:pt>
                <c:pt idx="56">
                  <c:v>-17.254608792164021</c:v>
                </c:pt>
                <c:pt idx="57">
                  <c:v>-17.20903116215483</c:v>
                </c:pt>
                <c:pt idx="58">
                  <c:v>-17.15629113263633</c:v>
                </c:pt>
                <c:pt idx="59">
                  <c:v>-17.096322418400511</c:v>
                </c:pt>
                <c:pt idx="60">
                  <c:v>-17.029048651008075</c:v>
                </c:pt>
                <c:pt idx="61">
                  <c:v>-16.954382872911179</c:v>
                </c:pt>
                <c:pt idx="62">
                  <c:v>-16.872226947338515</c:v>
                </c:pt>
                <c:pt idx="63">
                  <c:v>-16.782470874162001</c:v>
                </c:pt>
                <c:pt idx="64">
                  <c:v>-16.684991999999998</c:v>
                </c:pt>
                <c:pt idx="65">
                  <c:v>-16.579654108466794</c:v>
                </c:pt>
                <c:pt idx="66">
                  <c:v>-16.466306373655989</c:v>
                </c:pt>
                <c:pt idx="67">
                  <c:v>-16.344782156522488</c:v>
                </c:pt>
                <c:pt idx="68">
                  <c:v>-16.214897619646443</c:v>
                </c:pt>
                <c:pt idx="69">
                  <c:v>-16.07645013071679</c:v>
                </c:pt>
                <c:pt idx="70">
                  <c:v>-15.929216418694294</c:v>
                </c:pt>
                <c:pt idx="71">
                  <c:v>-15.772950438651097</c:v>
                </c:pt>
                <c:pt idx="72">
                  <c:v>-15.607380891266024</c:v>
                </c:pt>
                <c:pt idx="73">
                  <c:v>-15.432208330253186</c:v>
                </c:pt>
                <c:pt idx="74">
                  <c:v>-15.24710177476309</c:v>
                </c:pt>
                <c:pt idx="75">
                  <c:v>-15.051694722854291</c:v>
                </c:pt>
                <c:pt idx="76">
                  <c:v>-14.845580434876359</c:v>
                </c:pt>
                <c:pt idx="77">
                  <c:v>-14.628306319773856</c:v>
                </c:pt>
                <c:pt idx="78">
                  <c:v>-14.399367209716393</c:v>
                </c:pt>
                <c:pt idx="79">
                  <c:v>-14.158197244485036</c:v>
                </c:pt>
                <c:pt idx="80">
                  <c:v>-13.904159999999989</c:v>
                </c:pt>
                <c:pt idx="81">
                  <c:v>-13.636536375334597</c:v>
                </c:pt>
                <c:pt idx="82">
                  <c:v>-13.354509584571634</c:v>
                </c:pt>
                <c:pt idx="83">
                  <c:v>-13.057146360954052</c:v>
                </c:pt>
                <c:pt idx="84">
                  <c:v>-12.743373134955421</c:v>
                </c:pt>
                <c:pt idx="85">
                  <c:v>-12.411945437376028</c:v>
                </c:pt>
                <c:pt idx="86">
                  <c:v>-12.061408008290886</c:v>
                </c:pt>
                <c:pt idx="87">
                  <c:v>-11.69004190167407</c:v>
                </c:pt>
                <c:pt idx="88">
                  <c:v>-11.295792982420291</c:v>
                </c:pt>
                <c:pt idx="89">
                  <c:v>-10.876173107249787</c:v>
                </c:pt>
                <c:pt idx="90">
                  <c:v>-10.428119999999973</c:v>
                </c:pt>
                <c:pt idx="91">
                  <c:v>-9.9477924650800507</c:v>
                </c:pt>
                <c:pt idx="92">
                  <c:v>-9.4302601258170711</c:v>
                </c:pt>
                <c:pt idx="93">
                  <c:v>-8.8690123503812632</c:v>
                </c:pt>
                <c:pt idx="94">
                  <c:v>-8.2551376136454166</c:v>
                </c:pt>
                <c:pt idx="95">
                  <c:v>-7.5758535418525161</c:v>
                </c:pt>
                <c:pt idx="96">
                  <c:v>-6.8116194604031781</c:v>
                </c:pt>
                <c:pt idx="97">
                  <c:v>-5.9296800400574119</c:v>
                </c:pt>
                <c:pt idx="98">
                  <c:v>-4.8664559999999222</c:v>
                </c:pt>
                <c:pt idx="99">
                  <c:v>-3.4586161308799799</c:v>
                </c:pt>
                <c:pt idx="100">
                  <c:v>0</c:v>
                </c:pt>
              </c:numCache>
            </c:numRef>
          </c:yVal>
          <c:smooth val="1"/>
          <c:extLst>
            <c:ext xmlns:c16="http://schemas.microsoft.com/office/drawing/2014/chart" uri="{C3380CC4-5D6E-409C-BE32-E72D297353CC}">
              <c16:uniqueId val="{00000004-C6D0-4940-BEC5-270FCD14FFA9}"/>
            </c:ext>
          </c:extLst>
        </c:ser>
        <c:ser>
          <c:idx val="4"/>
          <c:order val="4"/>
          <c:tx>
            <c:v>1-3 Upper</c:v>
          </c:tx>
          <c:spPr>
            <a:ln w="12700" cap="rnd">
              <a:solidFill>
                <a:schemeClr val="tx1"/>
              </a:solidFill>
              <a:round/>
            </a:ln>
            <a:effectLst/>
          </c:spPr>
          <c:marker>
            <c:symbol val="none"/>
          </c:marker>
          <c:xVal>
            <c:numRef>
              <c:f>'Non-Plane Stress'!$H$160:$H$260</c:f>
              <c:numCache>
                <c:formatCode>0.000</c:formatCode>
                <c:ptCount val="101"/>
                <c:pt idx="0">
                  <c:v>-21.39</c:v>
                </c:pt>
                <c:pt idx="1">
                  <c:v>-20.875347999999999</c:v>
                </c:pt>
                <c:pt idx="2">
                  <c:v>-20.360695999999997</c:v>
                </c:pt>
                <c:pt idx="3">
                  <c:v>-19.846043999999996</c:v>
                </c:pt>
                <c:pt idx="4">
                  <c:v>-19.331391999999994</c:v>
                </c:pt>
                <c:pt idx="5">
                  <c:v>-18.816739999999992</c:v>
                </c:pt>
                <c:pt idx="6">
                  <c:v>-18.302087999999991</c:v>
                </c:pt>
                <c:pt idx="7">
                  <c:v>-17.787435999999989</c:v>
                </c:pt>
                <c:pt idx="8">
                  <c:v>-17.272783999999987</c:v>
                </c:pt>
                <c:pt idx="9">
                  <c:v>-16.758131999999986</c:v>
                </c:pt>
                <c:pt idx="10">
                  <c:v>-16.243479999999984</c:v>
                </c:pt>
                <c:pt idx="11">
                  <c:v>-15.728827999999984</c:v>
                </c:pt>
                <c:pt idx="12">
                  <c:v>-15.214175999999984</c:v>
                </c:pt>
                <c:pt idx="13">
                  <c:v>-14.699523999999984</c:v>
                </c:pt>
                <c:pt idx="14">
                  <c:v>-14.184871999999984</c:v>
                </c:pt>
                <c:pt idx="15">
                  <c:v>-13.670219999999984</c:v>
                </c:pt>
                <c:pt idx="16">
                  <c:v>-13.155567999999985</c:v>
                </c:pt>
                <c:pt idx="17">
                  <c:v>-12.640915999999985</c:v>
                </c:pt>
                <c:pt idx="18">
                  <c:v>-12.126263999999985</c:v>
                </c:pt>
                <c:pt idx="19">
                  <c:v>-11.611611999999985</c:v>
                </c:pt>
                <c:pt idx="20">
                  <c:v>-11.096959999999985</c:v>
                </c:pt>
                <c:pt idx="21">
                  <c:v>-10.582307999999985</c:v>
                </c:pt>
                <c:pt idx="22">
                  <c:v>-10.067655999999985</c:v>
                </c:pt>
                <c:pt idx="23">
                  <c:v>-9.5530039999999854</c:v>
                </c:pt>
                <c:pt idx="24">
                  <c:v>-9.0383519999999855</c:v>
                </c:pt>
                <c:pt idx="25">
                  <c:v>-8.5236999999999856</c:v>
                </c:pt>
                <c:pt idx="26">
                  <c:v>-8.0090479999999857</c:v>
                </c:pt>
                <c:pt idx="27">
                  <c:v>-7.4943959999999858</c:v>
                </c:pt>
                <c:pt idx="28">
                  <c:v>-6.979743999999986</c:v>
                </c:pt>
                <c:pt idx="29">
                  <c:v>-6.4650919999999861</c:v>
                </c:pt>
                <c:pt idx="30">
                  <c:v>-5.9504399999999862</c:v>
                </c:pt>
                <c:pt idx="31">
                  <c:v>-5.4357879999999863</c:v>
                </c:pt>
                <c:pt idx="32">
                  <c:v>-4.9211359999999864</c:v>
                </c:pt>
                <c:pt idx="33">
                  <c:v>-4.4064839999999865</c:v>
                </c:pt>
                <c:pt idx="34">
                  <c:v>-3.8918319999999866</c:v>
                </c:pt>
                <c:pt idx="35">
                  <c:v>-3.3771799999999867</c:v>
                </c:pt>
                <c:pt idx="36">
                  <c:v>-2.8625279999999869</c:v>
                </c:pt>
                <c:pt idx="37">
                  <c:v>-2.347875999999987</c:v>
                </c:pt>
                <c:pt idx="38">
                  <c:v>-1.8332239999999871</c:v>
                </c:pt>
                <c:pt idx="39">
                  <c:v>-1.3185719999999872</c:v>
                </c:pt>
                <c:pt idx="40">
                  <c:v>-0.8039199999999872</c:v>
                </c:pt>
                <c:pt idx="41">
                  <c:v>-0.2892679999999872</c:v>
                </c:pt>
                <c:pt idx="42">
                  <c:v>0.2253840000000128</c:v>
                </c:pt>
                <c:pt idx="43">
                  <c:v>0.74003600000001279</c:v>
                </c:pt>
                <c:pt idx="44">
                  <c:v>1.2546880000000127</c:v>
                </c:pt>
                <c:pt idx="45">
                  <c:v>1.7693400000000126</c:v>
                </c:pt>
                <c:pt idx="46">
                  <c:v>2.2839920000000125</c:v>
                </c:pt>
                <c:pt idx="47">
                  <c:v>2.7986440000000123</c:v>
                </c:pt>
                <c:pt idx="48">
                  <c:v>3.3132960000000122</c:v>
                </c:pt>
                <c:pt idx="49">
                  <c:v>3.8279480000000121</c:v>
                </c:pt>
                <c:pt idx="50">
                  <c:v>4.3426000000000125</c:v>
                </c:pt>
                <c:pt idx="51">
                  <c:v>4.8572520000000123</c:v>
                </c:pt>
                <c:pt idx="52">
                  <c:v>5.3719040000000122</c:v>
                </c:pt>
                <c:pt idx="53">
                  <c:v>5.8865560000000121</c:v>
                </c:pt>
                <c:pt idx="54">
                  <c:v>6.401208000000012</c:v>
                </c:pt>
                <c:pt idx="55">
                  <c:v>6.9158600000000119</c:v>
                </c:pt>
                <c:pt idx="56">
                  <c:v>7.4305120000000118</c:v>
                </c:pt>
                <c:pt idx="57">
                  <c:v>7.9451640000000117</c:v>
                </c:pt>
                <c:pt idx="58">
                  <c:v>8.4598160000000124</c:v>
                </c:pt>
                <c:pt idx="59">
                  <c:v>8.9744680000000123</c:v>
                </c:pt>
                <c:pt idx="60">
                  <c:v>9.4891200000000122</c:v>
                </c:pt>
                <c:pt idx="61">
                  <c:v>10.003772000000012</c:v>
                </c:pt>
                <c:pt idx="62">
                  <c:v>10.518424000000012</c:v>
                </c:pt>
                <c:pt idx="63">
                  <c:v>11.033076000000012</c:v>
                </c:pt>
                <c:pt idx="64">
                  <c:v>11.547728000000012</c:v>
                </c:pt>
                <c:pt idx="65">
                  <c:v>12.062380000000012</c:v>
                </c:pt>
                <c:pt idx="66">
                  <c:v>12.577032000000012</c:v>
                </c:pt>
                <c:pt idx="67">
                  <c:v>13.091684000000011</c:v>
                </c:pt>
                <c:pt idx="68">
                  <c:v>13.606336000000011</c:v>
                </c:pt>
                <c:pt idx="69">
                  <c:v>14.120988000000011</c:v>
                </c:pt>
                <c:pt idx="70">
                  <c:v>14.635640000000011</c:v>
                </c:pt>
                <c:pt idx="71">
                  <c:v>15.150292000000011</c:v>
                </c:pt>
                <c:pt idx="72">
                  <c:v>15.664944000000011</c:v>
                </c:pt>
                <c:pt idx="73">
                  <c:v>16.179596000000011</c:v>
                </c:pt>
                <c:pt idx="74">
                  <c:v>16.694248000000012</c:v>
                </c:pt>
                <c:pt idx="75">
                  <c:v>17.208900000000014</c:v>
                </c:pt>
                <c:pt idx="76">
                  <c:v>17.723552000000016</c:v>
                </c:pt>
                <c:pt idx="77">
                  <c:v>18.238204000000017</c:v>
                </c:pt>
                <c:pt idx="78">
                  <c:v>18.752856000000019</c:v>
                </c:pt>
                <c:pt idx="79">
                  <c:v>19.267508000000021</c:v>
                </c:pt>
                <c:pt idx="80">
                  <c:v>19.782160000000022</c:v>
                </c:pt>
                <c:pt idx="81">
                  <c:v>20.296812000000024</c:v>
                </c:pt>
                <c:pt idx="82">
                  <c:v>20.811464000000026</c:v>
                </c:pt>
                <c:pt idx="83">
                  <c:v>21.326116000000027</c:v>
                </c:pt>
                <c:pt idx="84">
                  <c:v>21.840768000000029</c:v>
                </c:pt>
                <c:pt idx="85">
                  <c:v>22.355420000000031</c:v>
                </c:pt>
                <c:pt idx="86">
                  <c:v>22.870072000000032</c:v>
                </c:pt>
                <c:pt idx="87">
                  <c:v>23.384724000000034</c:v>
                </c:pt>
                <c:pt idx="88">
                  <c:v>23.899376000000036</c:v>
                </c:pt>
                <c:pt idx="89">
                  <c:v>24.414028000000037</c:v>
                </c:pt>
                <c:pt idx="90">
                  <c:v>24.928680000000039</c:v>
                </c:pt>
                <c:pt idx="91">
                  <c:v>25.443332000000041</c:v>
                </c:pt>
                <c:pt idx="92">
                  <c:v>25.957984000000042</c:v>
                </c:pt>
                <c:pt idx="93">
                  <c:v>26.472636000000044</c:v>
                </c:pt>
                <c:pt idx="94">
                  <c:v>26.987288000000046</c:v>
                </c:pt>
                <c:pt idx="95">
                  <c:v>27.501940000000047</c:v>
                </c:pt>
                <c:pt idx="96">
                  <c:v>28.016592000000049</c:v>
                </c:pt>
                <c:pt idx="97">
                  <c:v>28.531244000000051</c:v>
                </c:pt>
                <c:pt idx="98">
                  <c:v>29.045896000000052</c:v>
                </c:pt>
                <c:pt idx="99">
                  <c:v>29.560548000000054</c:v>
                </c:pt>
                <c:pt idx="100">
                  <c:v>30.075200000000056</c:v>
                </c:pt>
              </c:numCache>
            </c:numRef>
          </c:xVal>
          <c:yVal>
            <c:numRef>
              <c:f>'Non-Plane Stress'!$I$160:$I$260</c:f>
              <c:numCache>
                <c:formatCode>General</c:formatCode>
                <c:ptCount val="101"/>
                <c:pt idx="0">
                  <c:v>0</c:v>
                </c:pt>
                <c:pt idx="1">
                  <c:v>5.1207227448179582</c:v>
                </c:pt>
                <c:pt idx="2">
                  <c:v>7.2051280000000153</c:v>
                </c:pt>
                <c:pt idx="3">
                  <c:v>8.7793054509604627</c:v>
                </c:pt>
                <c:pt idx="4">
                  <c:v>10.085078360822804</c:v>
                </c:pt>
                <c:pt idx="5">
                  <c:v>11.216580295455485</c:v>
                </c:pt>
                <c:pt idx="6">
                  <c:v>12.222307807556493</c:v>
                </c:pt>
                <c:pt idx="7">
                  <c:v>13.131192230666048</c:v>
                </c:pt>
                <c:pt idx="8">
                  <c:v>13.962158761901563</c:v>
                </c:pt>
                <c:pt idx="9">
                  <c:v>14.728401536629034</c:v>
                </c:pt>
                <c:pt idx="10">
                  <c:v>15.439560000000023</c:v>
                </c:pt>
                <c:pt idx="11">
                  <c:v>16.102933919035269</c:v>
                </c:pt>
                <c:pt idx="12">
                  <c:v>16.724210452090841</c:v>
                </c:pt>
                <c:pt idx="13">
                  <c:v>17.307923512906584</c:v>
                </c:pt>
                <c:pt idx="14">
                  <c:v>17.857756971389676</c:v>
                </c:pt>
                <c:pt idx="15">
                  <c:v>18.376752118032186</c:v>
                </c:pt>
                <c:pt idx="16">
                  <c:v>18.867453972483315</c:v>
                </c:pt>
                <c:pt idx="17">
                  <c:v>19.332017148702938</c:v>
                </c:pt>
                <c:pt idx="18">
                  <c:v>19.772284170259756</c:v>
                </c:pt>
                <c:pt idx="19">
                  <c:v>20.189844531819865</c:v>
                </c:pt>
                <c:pt idx="20">
                  <c:v>20.58608000000001</c:v>
                </c:pt>
                <c:pt idx="21">
                  <c:v>20.962199883398124</c:v>
                </c:pt>
                <c:pt idx="22">
                  <c:v>21.319268861160889</c:v>
                </c:pt>
                <c:pt idx="23">
                  <c:v>21.658229203588743</c:v>
                </c:pt>
                <c:pt idx="24">
                  <c:v>21.979918706257681</c:v>
                </c:pt>
                <c:pt idx="25">
                  <c:v>22.285085305423454</c:v>
                </c:pt>
                <c:pt idx="26">
                  <c:v>22.57439909375433</c:v>
                </c:pt>
                <c:pt idx="27">
                  <c:v>22.84846227771104</c:v>
                </c:pt>
                <c:pt idx="28">
                  <c:v>23.107817489015794</c:v>
                </c:pt>
                <c:pt idx="29">
                  <c:v>23.352954767933248</c:v>
                </c:pt>
                <c:pt idx="30">
                  <c:v>23.584317465604133</c:v>
                </c:pt>
                <c:pt idx="31">
                  <c:v>23.80230725962204</c:v>
                </c:pt>
                <c:pt idx="32">
                  <c:v>24.007288436687393</c:v>
                </c:pt>
                <c:pt idx="33">
                  <c:v>24.199591565167875</c:v>
                </c:pt>
                <c:pt idx="34">
                  <c:v>24.379516656352646</c:v>
                </c:pt>
                <c:pt idx="35">
                  <c:v>24.5473358943817</c:v>
                </c:pt>
                <c:pt idx="36">
                  <c:v>24.703296000000002</c:v>
                </c:pt>
                <c:pt idx="37">
                  <c:v>24.847620281496255</c:v>
                </c:pt>
                <c:pt idx="38">
                  <c:v>24.980510416743371</c:v>
                </c:pt>
                <c:pt idx="39">
                  <c:v>25.102148002639456</c:v>
                </c:pt>
                <c:pt idx="40">
                  <c:v>25.212695902056964</c:v>
                </c:pt>
                <c:pt idx="41">
                  <c:v>25.312299413340071</c:v>
                </c:pt>
                <c:pt idx="42">
                  <c:v>25.401087283211798</c:v>
                </c:pt>
                <c:pt idx="43">
                  <c:v>25.479172580480395</c:v>
                </c:pt>
                <c:pt idx="44">
                  <c:v>25.546653445025946</c:v>
                </c:pt>
                <c:pt idx="45">
                  <c:v>25.603613724089808</c:v>
                </c:pt>
                <c:pt idx="46">
                  <c:v>25.650123505791079</c:v>
                </c:pt>
                <c:pt idx="47">
                  <c:v>25.686239557982478</c:v>
                </c:pt>
                <c:pt idx="48">
                  <c:v>25.712005678973856</c:v>
                </c:pt>
                <c:pt idx="49">
                  <c:v>25.727452965245043</c:v>
                </c:pt>
                <c:pt idx="50">
                  <c:v>25.732599999999998</c:v>
                </c:pt>
                <c:pt idx="51">
                  <c:v>25.727452965245043</c:v>
                </c:pt>
                <c:pt idx="52">
                  <c:v>25.712005678973856</c:v>
                </c:pt>
                <c:pt idx="53">
                  <c:v>25.686239557982478</c:v>
                </c:pt>
                <c:pt idx="54">
                  <c:v>25.650123505791075</c:v>
                </c:pt>
                <c:pt idx="55">
                  <c:v>25.603613724089804</c:v>
                </c:pt>
                <c:pt idx="56">
                  <c:v>25.546653445025942</c:v>
                </c:pt>
                <c:pt idx="57">
                  <c:v>25.479172580480391</c:v>
                </c:pt>
                <c:pt idx="58">
                  <c:v>25.401087283211794</c:v>
                </c:pt>
                <c:pt idx="59">
                  <c:v>25.312299413340064</c:v>
                </c:pt>
                <c:pt idx="60">
                  <c:v>25.212695902056957</c:v>
                </c:pt>
                <c:pt idx="61">
                  <c:v>25.102148002639449</c:v>
                </c:pt>
                <c:pt idx="62">
                  <c:v>24.980510416743364</c:v>
                </c:pt>
                <c:pt idx="63">
                  <c:v>24.847620281496248</c:v>
                </c:pt>
                <c:pt idx="64">
                  <c:v>24.703295999999995</c:v>
                </c:pt>
                <c:pt idx="65">
                  <c:v>24.547335894381689</c:v>
                </c:pt>
                <c:pt idx="66">
                  <c:v>24.379516656352639</c:v>
                </c:pt>
                <c:pt idx="67">
                  <c:v>24.199591565167868</c:v>
                </c:pt>
                <c:pt idx="68">
                  <c:v>24.007288436687382</c:v>
                </c:pt>
                <c:pt idx="69">
                  <c:v>23.802307259622033</c:v>
                </c:pt>
                <c:pt idx="70">
                  <c:v>23.584317465604123</c:v>
                </c:pt>
                <c:pt idx="71">
                  <c:v>23.352954767933237</c:v>
                </c:pt>
                <c:pt idx="72">
                  <c:v>23.10781748901578</c:v>
                </c:pt>
                <c:pt idx="73">
                  <c:v>22.848462277711022</c:v>
                </c:pt>
                <c:pt idx="74">
                  <c:v>22.574399093754312</c:v>
                </c:pt>
                <c:pt idx="75">
                  <c:v>22.285085305423436</c:v>
                </c:pt>
                <c:pt idx="76">
                  <c:v>21.979918706257664</c:v>
                </c:pt>
                <c:pt idx="77">
                  <c:v>21.658229203588721</c:v>
                </c:pt>
                <c:pt idx="78">
                  <c:v>21.319268861160868</c:v>
                </c:pt>
                <c:pt idx="79">
                  <c:v>20.9621998833981</c:v>
                </c:pt>
                <c:pt idx="80">
                  <c:v>20.586079999999978</c:v>
                </c:pt>
                <c:pt idx="81">
                  <c:v>20.18984453181983</c:v>
                </c:pt>
                <c:pt idx="82">
                  <c:v>19.77228417025972</c:v>
                </c:pt>
                <c:pt idx="83">
                  <c:v>19.332017148702896</c:v>
                </c:pt>
                <c:pt idx="84">
                  <c:v>18.867453972483275</c:v>
                </c:pt>
                <c:pt idx="85">
                  <c:v>18.376752118032137</c:v>
                </c:pt>
                <c:pt idx="86">
                  <c:v>17.857756971389623</c:v>
                </c:pt>
                <c:pt idx="87">
                  <c:v>17.307923512906523</c:v>
                </c:pt>
                <c:pt idx="88">
                  <c:v>16.72421045209078</c:v>
                </c:pt>
                <c:pt idx="89">
                  <c:v>16.102933919035198</c:v>
                </c:pt>
                <c:pt idx="90">
                  <c:v>15.439559999999945</c:v>
                </c:pt>
                <c:pt idx="91">
                  <c:v>14.728401536628953</c:v>
                </c:pt>
                <c:pt idx="92">
                  <c:v>13.962158761901476</c:v>
                </c:pt>
                <c:pt idx="93">
                  <c:v>13.131192230665951</c:v>
                </c:pt>
                <c:pt idx="94">
                  <c:v>12.222307807556392</c:v>
                </c:pt>
                <c:pt idx="95">
                  <c:v>11.216580295455367</c:v>
                </c:pt>
                <c:pt idx="96">
                  <c:v>10.085078360822669</c:v>
                </c:pt>
                <c:pt idx="97">
                  <c:v>8.7793054509603063</c:v>
                </c:pt>
                <c:pt idx="98">
                  <c:v>7.2051279999998181</c:v>
                </c:pt>
                <c:pt idx="99">
                  <c:v>5.1207227448176695</c:v>
                </c:pt>
                <c:pt idx="100">
                  <c:v>0</c:v>
                </c:pt>
              </c:numCache>
            </c:numRef>
          </c:yVal>
          <c:smooth val="1"/>
          <c:extLst>
            <c:ext xmlns:c16="http://schemas.microsoft.com/office/drawing/2014/chart" uri="{C3380CC4-5D6E-409C-BE32-E72D297353CC}">
              <c16:uniqueId val="{00000005-C6D0-4940-BEC5-270FCD14FFA9}"/>
            </c:ext>
          </c:extLst>
        </c:ser>
        <c:ser>
          <c:idx val="5"/>
          <c:order val="5"/>
          <c:tx>
            <c:v>1-3 Lower</c:v>
          </c:tx>
          <c:spPr>
            <a:ln w="12700" cap="rnd">
              <a:solidFill>
                <a:schemeClr val="tx1"/>
              </a:solidFill>
              <a:round/>
            </a:ln>
            <a:effectLst/>
          </c:spPr>
          <c:marker>
            <c:symbol val="none"/>
          </c:marker>
          <c:dLbls>
            <c:dLbl>
              <c:idx val="0"/>
              <c:layout>
                <c:manualLayout>
                  <c:x val="-3.6266666666666669E-2"/>
                  <c:y val="-0.2395587076438140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6D0-4940-BEC5-270FCD14FFA9}"/>
                </c:ext>
              </c:extLst>
            </c:dLbl>
            <c:dLbl>
              <c:idx val="100"/>
              <c:layout>
                <c:manualLayout>
                  <c:x val="2.1333333333333334E-3"/>
                  <c:y val="-0.2237982663514578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6D0-4940-BEC5-270FCD14FFA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'Non-Plane Stress'!$H$160:$H$260</c:f>
              <c:numCache>
                <c:formatCode>0.000</c:formatCode>
                <c:ptCount val="101"/>
                <c:pt idx="0">
                  <c:v>-21.39</c:v>
                </c:pt>
                <c:pt idx="1">
                  <c:v>-20.875347999999999</c:v>
                </c:pt>
                <c:pt idx="2">
                  <c:v>-20.360695999999997</c:v>
                </c:pt>
                <c:pt idx="3">
                  <c:v>-19.846043999999996</c:v>
                </c:pt>
                <c:pt idx="4">
                  <c:v>-19.331391999999994</c:v>
                </c:pt>
                <c:pt idx="5">
                  <c:v>-18.816739999999992</c:v>
                </c:pt>
                <c:pt idx="6">
                  <c:v>-18.302087999999991</c:v>
                </c:pt>
                <c:pt idx="7">
                  <c:v>-17.787435999999989</c:v>
                </c:pt>
                <c:pt idx="8">
                  <c:v>-17.272783999999987</c:v>
                </c:pt>
                <c:pt idx="9">
                  <c:v>-16.758131999999986</c:v>
                </c:pt>
                <c:pt idx="10">
                  <c:v>-16.243479999999984</c:v>
                </c:pt>
                <c:pt idx="11">
                  <c:v>-15.728827999999984</c:v>
                </c:pt>
                <c:pt idx="12">
                  <c:v>-15.214175999999984</c:v>
                </c:pt>
                <c:pt idx="13">
                  <c:v>-14.699523999999984</c:v>
                </c:pt>
                <c:pt idx="14">
                  <c:v>-14.184871999999984</c:v>
                </c:pt>
                <c:pt idx="15">
                  <c:v>-13.670219999999984</c:v>
                </c:pt>
                <c:pt idx="16">
                  <c:v>-13.155567999999985</c:v>
                </c:pt>
                <c:pt idx="17">
                  <c:v>-12.640915999999985</c:v>
                </c:pt>
                <c:pt idx="18">
                  <c:v>-12.126263999999985</c:v>
                </c:pt>
                <c:pt idx="19">
                  <c:v>-11.611611999999985</c:v>
                </c:pt>
                <c:pt idx="20">
                  <c:v>-11.096959999999985</c:v>
                </c:pt>
                <c:pt idx="21">
                  <c:v>-10.582307999999985</c:v>
                </c:pt>
                <c:pt idx="22">
                  <c:v>-10.067655999999985</c:v>
                </c:pt>
                <c:pt idx="23">
                  <c:v>-9.5530039999999854</c:v>
                </c:pt>
                <c:pt idx="24">
                  <c:v>-9.0383519999999855</c:v>
                </c:pt>
                <c:pt idx="25">
                  <c:v>-8.5236999999999856</c:v>
                </c:pt>
                <c:pt idx="26">
                  <c:v>-8.0090479999999857</c:v>
                </c:pt>
                <c:pt idx="27">
                  <c:v>-7.4943959999999858</c:v>
                </c:pt>
                <c:pt idx="28">
                  <c:v>-6.979743999999986</c:v>
                </c:pt>
                <c:pt idx="29">
                  <c:v>-6.4650919999999861</c:v>
                </c:pt>
                <c:pt idx="30">
                  <c:v>-5.9504399999999862</c:v>
                </c:pt>
                <c:pt idx="31">
                  <c:v>-5.4357879999999863</c:v>
                </c:pt>
                <c:pt idx="32">
                  <c:v>-4.9211359999999864</c:v>
                </c:pt>
                <c:pt idx="33">
                  <c:v>-4.4064839999999865</c:v>
                </c:pt>
                <c:pt idx="34">
                  <c:v>-3.8918319999999866</c:v>
                </c:pt>
                <c:pt idx="35">
                  <c:v>-3.3771799999999867</c:v>
                </c:pt>
                <c:pt idx="36">
                  <c:v>-2.8625279999999869</c:v>
                </c:pt>
                <c:pt idx="37">
                  <c:v>-2.347875999999987</c:v>
                </c:pt>
                <c:pt idx="38">
                  <c:v>-1.8332239999999871</c:v>
                </c:pt>
                <c:pt idx="39">
                  <c:v>-1.3185719999999872</c:v>
                </c:pt>
                <c:pt idx="40">
                  <c:v>-0.8039199999999872</c:v>
                </c:pt>
                <c:pt idx="41">
                  <c:v>-0.2892679999999872</c:v>
                </c:pt>
                <c:pt idx="42">
                  <c:v>0.2253840000000128</c:v>
                </c:pt>
                <c:pt idx="43">
                  <c:v>0.74003600000001279</c:v>
                </c:pt>
                <c:pt idx="44">
                  <c:v>1.2546880000000127</c:v>
                </c:pt>
                <c:pt idx="45">
                  <c:v>1.7693400000000126</c:v>
                </c:pt>
                <c:pt idx="46">
                  <c:v>2.2839920000000125</c:v>
                </c:pt>
                <c:pt idx="47">
                  <c:v>2.7986440000000123</c:v>
                </c:pt>
                <c:pt idx="48">
                  <c:v>3.3132960000000122</c:v>
                </c:pt>
                <c:pt idx="49">
                  <c:v>3.8279480000000121</c:v>
                </c:pt>
                <c:pt idx="50">
                  <c:v>4.3426000000000125</c:v>
                </c:pt>
                <c:pt idx="51">
                  <c:v>4.8572520000000123</c:v>
                </c:pt>
                <c:pt idx="52">
                  <c:v>5.3719040000000122</c:v>
                </c:pt>
                <c:pt idx="53">
                  <c:v>5.8865560000000121</c:v>
                </c:pt>
                <c:pt idx="54">
                  <c:v>6.401208000000012</c:v>
                </c:pt>
                <c:pt idx="55">
                  <c:v>6.9158600000000119</c:v>
                </c:pt>
                <c:pt idx="56">
                  <c:v>7.4305120000000118</c:v>
                </c:pt>
                <c:pt idx="57">
                  <c:v>7.9451640000000117</c:v>
                </c:pt>
                <c:pt idx="58">
                  <c:v>8.4598160000000124</c:v>
                </c:pt>
                <c:pt idx="59">
                  <c:v>8.9744680000000123</c:v>
                </c:pt>
                <c:pt idx="60">
                  <c:v>9.4891200000000122</c:v>
                </c:pt>
                <c:pt idx="61">
                  <c:v>10.003772000000012</c:v>
                </c:pt>
                <c:pt idx="62">
                  <c:v>10.518424000000012</c:v>
                </c:pt>
                <c:pt idx="63">
                  <c:v>11.033076000000012</c:v>
                </c:pt>
                <c:pt idx="64">
                  <c:v>11.547728000000012</c:v>
                </c:pt>
                <c:pt idx="65">
                  <c:v>12.062380000000012</c:v>
                </c:pt>
                <c:pt idx="66">
                  <c:v>12.577032000000012</c:v>
                </c:pt>
                <c:pt idx="67">
                  <c:v>13.091684000000011</c:v>
                </c:pt>
                <c:pt idx="68">
                  <c:v>13.606336000000011</c:v>
                </c:pt>
                <c:pt idx="69">
                  <c:v>14.120988000000011</c:v>
                </c:pt>
                <c:pt idx="70">
                  <c:v>14.635640000000011</c:v>
                </c:pt>
                <c:pt idx="71">
                  <c:v>15.150292000000011</c:v>
                </c:pt>
                <c:pt idx="72">
                  <c:v>15.664944000000011</c:v>
                </c:pt>
                <c:pt idx="73">
                  <c:v>16.179596000000011</c:v>
                </c:pt>
                <c:pt idx="74">
                  <c:v>16.694248000000012</c:v>
                </c:pt>
                <c:pt idx="75">
                  <c:v>17.208900000000014</c:v>
                </c:pt>
                <c:pt idx="76">
                  <c:v>17.723552000000016</c:v>
                </c:pt>
                <c:pt idx="77">
                  <c:v>18.238204000000017</c:v>
                </c:pt>
                <c:pt idx="78">
                  <c:v>18.752856000000019</c:v>
                </c:pt>
                <c:pt idx="79">
                  <c:v>19.267508000000021</c:v>
                </c:pt>
                <c:pt idx="80">
                  <c:v>19.782160000000022</c:v>
                </c:pt>
                <c:pt idx="81">
                  <c:v>20.296812000000024</c:v>
                </c:pt>
                <c:pt idx="82">
                  <c:v>20.811464000000026</c:v>
                </c:pt>
                <c:pt idx="83">
                  <c:v>21.326116000000027</c:v>
                </c:pt>
                <c:pt idx="84">
                  <c:v>21.840768000000029</c:v>
                </c:pt>
                <c:pt idx="85">
                  <c:v>22.355420000000031</c:v>
                </c:pt>
                <c:pt idx="86">
                  <c:v>22.870072000000032</c:v>
                </c:pt>
                <c:pt idx="87">
                  <c:v>23.384724000000034</c:v>
                </c:pt>
                <c:pt idx="88">
                  <c:v>23.899376000000036</c:v>
                </c:pt>
                <c:pt idx="89">
                  <c:v>24.414028000000037</c:v>
                </c:pt>
                <c:pt idx="90">
                  <c:v>24.928680000000039</c:v>
                </c:pt>
                <c:pt idx="91">
                  <c:v>25.443332000000041</c:v>
                </c:pt>
                <c:pt idx="92">
                  <c:v>25.957984000000042</c:v>
                </c:pt>
                <c:pt idx="93">
                  <c:v>26.472636000000044</c:v>
                </c:pt>
                <c:pt idx="94">
                  <c:v>26.987288000000046</c:v>
                </c:pt>
                <c:pt idx="95">
                  <c:v>27.501940000000047</c:v>
                </c:pt>
                <c:pt idx="96">
                  <c:v>28.016592000000049</c:v>
                </c:pt>
                <c:pt idx="97">
                  <c:v>28.531244000000051</c:v>
                </c:pt>
                <c:pt idx="98">
                  <c:v>29.045896000000052</c:v>
                </c:pt>
                <c:pt idx="99">
                  <c:v>29.560548000000054</c:v>
                </c:pt>
                <c:pt idx="100">
                  <c:v>30.075200000000056</c:v>
                </c:pt>
              </c:numCache>
            </c:numRef>
          </c:xVal>
          <c:yVal>
            <c:numRef>
              <c:f>'Non-Plane Stress'!$J$160:$J$260</c:f>
              <c:numCache>
                <c:formatCode>General</c:formatCode>
                <c:ptCount val="101"/>
                <c:pt idx="0">
                  <c:v>0</c:v>
                </c:pt>
                <c:pt idx="1">
                  <c:v>-5.1207227448179582</c:v>
                </c:pt>
                <c:pt idx="2">
                  <c:v>-7.2051280000000153</c:v>
                </c:pt>
                <c:pt idx="3">
                  <c:v>-8.7793054509604627</c:v>
                </c:pt>
                <c:pt idx="4">
                  <c:v>-10.085078360822804</c:v>
                </c:pt>
                <c:pt idx="5">
                  <c:v>-11.216580295455485</c:v>
                </c:pt>
                <c:pt idx="6">
                  <c:v>-12.222307807556493</c:v>
                </c:pt>
                <c:pt idx="7">
                  <c:v>-13.131192230666048</c:v>
                </c:pt>
                <c:pt idx="8">
                  <c:v>-13.962158761901563</c:v>
                </c:pt>
                <c:pt idx="9">
                  <c:v>-14.728401536629034</c:v>
                </c:pt>
                <c:pt idx="10">
                  <c:v>-15.439560000000023</c:v>
                </c:pt>
                <c:pt idx="11">
                  <c:v>-16.102933919035269</c:v>
                </c:pt>
                <c:pt idx="12">
                  <c:v>-16.724210452090841</c:v>
                </c:pt>
                <c:pt idx="13">
                  <c:v>-17.307923512906584</c:v>
                </c:pt>
                <c:pt idx="14">
                  <c:v>-17.857756971389676</c:v>
                </c:pt>
                <c:pt idx="15">
                  <c:v>-18.376752118032186</c:v>
                </c:pt>
                <c:pt idx="16">
                  <c:v>-18.867453972483315</c:v>
                </c:pt>
                <c:pt idx="17">
                  <c:v>-19.332017148702938</c:v>
                </c:pt>
                <c:pt idx="18">
                  <c:v>-19.772284170259756</c:v>
                </c:pt>
                <c:pt idx="19">
                  <c:v>-20.189844531819865</c:v>
                </c:pt>
                <c:pt idx="20">
                  <c:v>-20.58608000000001</c:v>
                </c:pt>
                <c:pt idx="21">
                  <c:v>-20.962199883398124</c:v>
                </c:pt>
                <c:pt idx="22">
                  <c:v>-21.319268861160889</c:v>
                </c:pt>
                <c:pt idx="23">
                  <c:v>-21.658229203588743</c:v>
                </c:pt>
                <c:pt idx="24">
                  <c:v>-21.979918706257681</c:v>
                </c:pt>
                <c:pt idx="25">
                  <c:v>-22.285085305423454</c:v>
                </c:pt>
                <c:pt idx="26">
                  <c:v>-22.57439909375433</c:v>
                </c:pt>
                <c:pt idx="27">
                  <c:v>-22.84846227771104</c:v>
                </c:pt>
                <c:pt idx="28">
                  <c:v>-23.107817489015794</c:v>
                </c:pt>
                <c:pt idx="29">
                  <c:v>-23.352954767933248</c:v>
                </c:pt>
                <c:pt idx="30">
                  <c:v>-23.584317465604133</c:v>
                </c:pt>
                <c:pt idx="31">
                  <c:v>-23.80230725962204</c:v>
                </c:pt>
                <c:pt idx="32">
                  <c:v>-24.007288436687393</c:v>
                </c:pt>
                <c:pt idx="33">
                  <c:v>-24.199591565167875</c:v>
                </c:pt>
                <c:pt idx="34">
                  <c:v>-24.379516656352646</c:v>
                </c:pt>
                <c:pt idx="35">
                  <c:v>-24.5473358943817</c:v>
                </c:pt>
                <c:pt idx="36">
                  <c:v>-24.703296000000002</c:v>
                </c:pt>
                <c:pt idx="37">
                  <c:v>-24.847620281496255</c:v>
                </c:pt>
                <c:pt idx="38">
                  <c:v>-24.980510416743371</c:v>
                </c:pt>
                <c:pt idx="39">
                  <c:v>-25.102148002639456</c:v>
                </c:pt>
                <c:pt idx="40">
                  <c:v>-25.212695902056964</c:v>
                </c:pt>
                <c:pt idx="41">
                  <c:v>-25.312299413340071</c:v>
                </c:pt>
                <c:pt idx="42">
                  <c:v>-25.401087283211798</c:v>
                </c:pt>
                <c:pt idx="43">
                  <c:v>-25.479172580480395</c:v>
                </c:pt>
                <c:pt idx="44">
                  <c:v>-25.546653445025946</c:v>
                </c:pt>
                <c:pt idx="45">
                  <c:v>-25.603613724089808</c:v>
                </c:pt>
                <c:pt idx="46">
                  <c:v>-25.650123505791079</c:v>
                </c:pt>
                <c:pt idx="47">
                  <c:v>-25.686239557982478</c:v>
                </c:pt>
                <c:pt idx="48">
                  <c:v>-25.712005678973856</c:v>
                </c:pt>
                <c:pt idx="49">
                  <c:v>-25.727452965245043</c:v>
                </c:pt>
                <c:pt idx="50">
                  <c:v>-25.732599999999998</c:v>
                </c:pt>
                <c:pt idx="51">
                  <c:v>-25.727452965245043</c:v>
                </c:pt>
                <c:pt idx="52">
                  <c:v>-25.712005678973856</c:v>
                </c:pt>
                <c:pt idx="53">
                  <c:v>-25.686239557982478</c:v>
                </c:pt>
                <c:pt idx="54">
                  <c:v>-25.650123505791075</c:v>
                </c:pt>
                <c:pt idx="55">
                  <c:v>-25.603613724089804</c:v>
                </c:pt>
                <c:pt idx="56">
                  <c:v>-25.546653445025942</c:v>
                </c:pt>
                <c:pt idx="57">
                  <c:v>-25.479172580480391</c:v>
                </c:pt>
                <c:pt idx="58">
                  <c:v>-25.401087283211794</c:v>
                </c:pt>
                <c:pt idx="59">
                  <c:v>-25.312299413340064</c:v>
                </c:pt>
                <c:pt idx="60">
                  <c:v>-25.212695902056957</c:v>
                </c:pt>
                <c:pt idx="61">
                  <c:v>-25.102148002639449</c:v>
                </c:pt>
                <c:pt idx="62">
                  <c:v>-24.980510416743364</c:v>
                </c:pt>
                <c:pt idx="63">
                  <c:v>-24.847620281496248</c:v>
                </c:pt>
                <c:pt idx="64">
                  <c:v>-24.703295999999995</c:v>
                </c:pt>
                <c:pt idx="65">
                  <c:v>-24.547335894381689</c:v>
                </c:pt>
                <c:pt idx="66">
                  <c:v>-24.379516656352639</c:v>
                </c:pt>
                <c:pt idx="67">
                  <c:v>-24.199591565167868</c:v>
                </c:pt>
                <c:pt idx="68">
                  <c:v>-24.007288436687382</c:v>
                </c:pt>
                <c:pt idx="69">
                  <c:v>-23.802307259622033</c:v>
                </c:pt>
                <c:pt idx="70">
                  <c:v>-23.584317465604123</c:v>
                </c:pt>
                <c:pt idx="71">
                  <c:v>-23.352954767933237</c:v>
                </c:pt>
                <c:pt idx="72">
                  <c:v>-23.10781748901578</c:v>
                </c:pt>
                <c:pt idx="73">
                  <c:v>-22.848462277711022</c:v>
                </c:pt>
                <c:pt idx="74">
                  <c:v>-22.574399093754312</c:v>
                </c:pt>
                <c:pt idx="75">
                  <c:v>-22.285085305423436</c:v>
                </c:pt>
                <c:pt idx="76">
                  <c:v>-21.979918706257664</c:v>
                </c:pt>
                <c:pt idx="77">
                  <c:v>-21.658229203588721</c:v>
                </c:pt>
                <c:pt idx="78">
                  <c:v>-21.319268861160868</c:v>
                </c:pt>
                <c:pt idx="79">
                  <c:v>-20.9621998833981</c:v>
                </c:pt>
                <c:pt idx="80">
                  <c:v>-20.586079999999978</c:v>
                </c:pt>
                <c:pt idx="81">
                  <c:v>-20.18984453181983</c:v>
                </c:pt>
                <c:pt idx="82">
                  <c:v>-19.77228417025972</c:v>
                </c:pt>
                <c:pt idx="83">
                  <c:v>-19.332017148702896</c:v>
                </c:pt>
                <c:pt idx="84">
                  <c:v>-18.867453972483275</c:v>
                </c:pt>
                <c:pt idx="85">
                  <c:v>-18.376752118032137</c:v>
                </c:pt>
                <c:pt idx="86">
                  <c:v>-17.857756971389623</c:v>
                </c:pt>
                <c:pt idx="87">
                  <c:v>-17.307923512906523</c:v>
                </c:pt>
                <c:pt idx="88">
                  <c:v>-16.72421045209078</c:v>
                </c:pt>
                <c:pt idx="89">
                  <c:v>-16.102933919035198</c:v>
                </c:pt>
                <c:pt idx="90">
                  <c:v>-15.439559999999945</c:v>
                </c:pt>
                <c:pt idx="91">
                  <c:v>-14.728401536628953</c:v>
                </c:pt>
                <c:pt idx="92">
                  <c:v>-13.962158761901476</c:v>
                </c:pt>
                <c:pt idx="93">
                  <c:v>-13.131192230665951</c:v>
                </c:pt>
                <c:pt idx="94">
                  <c:v>-12.222307807556392</c:v>
                </c:pt>
                <c:pt idx="95">
                  <c:v>-11.216580295455367</c:v>
                </c:pt>
                <c:pt idx="96">
                  <c:v>-10.085078360822669</c:v>
                </c:pt>
                <c:pt idx="97">
                  <c:v>-8.7793054509603063</c:v>
                </c:pt>
                <c:pt idx="98">
                  <c:v>-7.2051279999998181</c:v>
                </c:pt>
                <c:pt idx="99">
                  <c:v>-5.1207227448176695</c:v>
                </c:pt>
                <c:pt idx="100">
                  <c:v>0</c:v>
                </c:pt>
              </c:numCache>
            </c:numRef>
          </c:yVal>
          <c:smooth val="1"/>
          <c:extLst>
            <c:ext xmlns:c16="http://schemas.microsoft.com/office/drawing/2014/chart" uri="{C3380CC4-5D6E-409C-BE32-E72D297353CC}">
              <c16:uniqueId val="{00000008-C6D0-4940-BEC5-270FCD14FFA9}"/>
            </c:ext>
          </c:extLst>
        </c:ser>
        <c:dLbls>
          <c:showLegendKey val="0"/>
          <c:showVal val="0"/>
          <c:showCatName val="0"/>
          <c:showSerName val="0"/>
          <c:showPercent val="0"/>
          <c:showBubbleSize val="0"/>
        </c:dLbls>
        <c:axId val="860326360"/>
        <c:axId val="860323080"/>
      </c:scatterChart>
      <c:valAx>
        <c:axId val="860326360"/>
        <c:scaling>
          <c:orientation val="minMax"/>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a:t>σ</a:t>
                </a:r>
                <a:r>
                  <a:rPr lang="en-US"/>
                  <a:t> (MPa)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323080"/>
        <c:crossesAt val="0"/>
        <c:crossBetween val="midCat"/>
      </c:valAx>
      <c:valAx>
        <c:axId val="860323080"/>
        <c:scaling>
          <c:orientation val="maxMin"/>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a:t>τ</a:t>
                </a:r>
                <a:r>
                  <a:rPr lang="en-US"/>
                  <a:t> (MPa)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3263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'DuctileCoulombMohr Crit Theory'!$J$92:$J$98</c:f>
              <c:numCache>
                <c:formatCode>General</c:formatCode>
                <c:ptCount val="7"/>
                <c:pt idx="0">
                  <c:v>329</c:v>
                </c:pt>
                <c:pt idx="1">
                  <c:v>329</c:v>
                </c:pt>
                <c:pt idx="2">
                  <c:v>0</c:v>
                </c:pt>
                <c:pt idx="3">
                  <c:v>-359</c:v>
                </c:pt>
                <c:pt idx="4">
                  <c:v>-359</c:v>
                </c:pt>
                <c:pt idx="5">
                  <c:v>0</c:v>
                </c:pt>
                <c:pt idx="6">
                  <c:v>329</c:v>
                </c:pt>
              </c:numCache>
            </c:numRef>
          </c:xVal>
          <c:yVal>
            <c:numRef>
              <c:f>'DuctileCoulombMohr Crit Theory'!$K$92:$K$98</c:f>
              <c:numCache>
                <c:formatCode>General</c:formatCode>
                <c:ptCount val="7"/>
                <c:pt idx="0">
                  <c:v>0</c:v>
                </c:pt>
                <c:pt idx="1">
                  <c:v>329</c:v>
                </c:pt>
                <c:pt idx="2">
                  <c:v>329</c:v>
                </c:pt>
                <c:pt idx="3">
                  <c:v>0</c:v>
                </c:pt>
                <c:pt idx="4">
                  <c:v>-359</c:v>
                </c:pt>
                <c:pt idx="5">
                  <c:v>-359</c:v>
                </c:pt>
                <c:pt idx="6">
                  <c:v>0</c:v>
                </c:pt>
              </c:numCache>
            </c:numRef>
          </c:yVal>
          <c:smooth val="0"/>
          <c:extLst>
            <c:ext xmlns:c16="http://schemas.microsoft.com/office/drawing/2014/chart" uri="{C3380CC4-5D6E-409C-BE32-E72D297353CC}">
              <c16:uniqueId val="{00000000-F264-45A2-904B-1D98E0A785D5}"/>
            </c:ext>
          </c:extLst>
        </c:ser>
        <c:dLbls>
          <c:showLegendKey val="0"/>
          <c:showVal val="0"/>
          <c:showCatName val="0"/>
          <c:showSerName val="0"/>
          <c:showPercent val="0"/>
          <c:showBubbleSize val="0"/>
        </c:dLbls>
        <c:axId val="723657384"/>
        <c:axId val="723651808"/>
      </c:scatterChart>
      <c:valAx>
        <c:axId val="723657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51808"/>
        <c:crosses val="autoZero"/>
        <c:crossBetween val="midCat"/>
      </c:valAx>
      <c:valAx>
        <c:axId val="72365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57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19049</xdr:colOff>
      <xdr:row>0</xdr:row>
      <xdr:rowOff>142875</xdr:rowOff>
    </xdr:from>
    <xdr:to>
      <xdr:col>12</xdr:col>
      <xdr:colOff>131444</xdr:colOff>
      <xdr:row>32</xdr:row>
      <xdr:rowOff>66674</xdr:rowOff>
    </xdr:to>
    <xdr:graphicFrame macro="">
      <xdr:nvGraphicFramePr>
        <xdr:cNvPr id="2" name="Chart 1">
          <a:extLst>
            <a:ext uri="{FF2B5EF4-FFF2-40B4-BE49-F238E27FC236}">
              <a16:creationId xmlns:a16="http://schemas.microsoft.com/office/drawing/2014/main" id="{8E28A730-6AC6-4D77-A8BF-E7844B2A9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142875</xdr:colOff>
      <xdr:row>32</xdr:row>
      <xdr:rowOff>152400</xdr:rowOff>
    </xdr:from>
    <xdr:to>
      <xdr:col>11</xdr:col>
      <xdr:colOff>257175</xdr:colOff>
      <xdr:row>51</xdr:row>
      <xdr:rowOff>9525</xdr:rowOff>
    </xdr:to>
    <xdr:graphicFrame macro="">
      <xdr:nvGraphicFramePr>
        <xdr:cNvPr id="4" name="Chart 3">
          <a:extLst>
            <a:ext uri="{FF2B5EF4-FFF2-40B4-BE49-F238E27FC236}">
              <a16:creationId xmlns:a16="http://schemas.microsoft.com/office/drawing/2014/main" id="{E433D882-9401-4C21-848A-B1CD9E237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133350</xdr:colOff>
      <xdr:row>26</xdr:row>
      <xdr:rowOff>46008</xdr:rowOff>
    </xdr:from>
    <xdr:to>
      <xdr:col>11</xdr:col>
      <xdr:colOff>487110</xdr:colOff>
      <xdr:row>34</xdr:row>
      <xdr:rowOff>190499</xdr:rowOff>
    </xdr:to>
    <xdr:pic>
      <xdr:nvPicPr>
        <xdr:cNvPr id="2" name="Picture 1">
          <a:extLst>
            <a:ext uri="{FF2B5EF4-FFF2-40B4-BE49-F238E27FC236}">
              <a16:creationId xmlns:a16="http://schemas.microsoft.com/office/drawing/2014/main" id="{25E7770E-F98F-4BCF-909F-7188A6D05FCA}"/>
            </a:ext>
          </a:extLst>
        </xdr:cNvPr>
        <xdr:cNvPicPr>
          <a:picLocks noChangeAspect="1"/>
        </xdr:cNvPicPr>
      </xdr:nvPicPr>
      <xdr:blipFill>
        <a:blip xmlns:r="http://schemas.openxmlformats.org/officeDocument/2006/relationships" r:embed="rId1"/>
        <a:stretch>
          <a:fillRect/>
        </a:stretch>
      </xdr:blipFill>
      <xdr:spPr>
        <a:xfrm>
          <a:off x="4762500" y="3779808"/>
          <a:ext cx="4011360" cy="1916141"/>
        </a:xfrm>
        <a:prstGeom prst="rect">
          <a:avLst/>
        </a:prstGeom>
      </xdr:spPr>
    </xdr:pic>
    <xdr:clientData/>
  </xdr:twoCellAnchor>
  <xdr:twoCellAnchor>
    <xdr:from>
      <xdr:col>6</xdr:col>
      <xdr:colOff>400050</xdr:colOff>
      <xdr:row>20</xdr:row>
      <xdr:rowOff>133349</xdr:rowOff>
    </xdr:from>
    <xdr:to>
      <xdr:col>15</xdr:col>
      <xdr:colOff>142874</xdr:colOff>
      <xdr:row>39</xdr:row>
      <xdr:rowOff>9524</xdr:rowOff>
    </xdr:to>
    <xdr:graphicFrame macro="">
      <xdr:nvGraphicFramePr>
        <xdr:cNvPr id="3" name="Chart 2">
          <a:extLst>
            <a:ext uri="{FF2B5EF4-FFF2-40B4-BE49-F238E27FC236}">
              <a16:creationId xmlns:a16="http://schemas.microsoft.com/office/drawing/2014/main" id="{A69256F9-D0DE-4DDC-8648-4632FC359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206742</xdr:colOff>
      <xdr:row>0</xdr:row>
      <xdr:rowOff>66674</xdr:rowOff>
    </xdr:from>
    <xdr:to>
      <xdr:col>21</xdr:col>
      <xdr:colOff>494942</xdr:colOff>
      <xdr:row>6</xdr:row>
      <xdr:rowOff>180675</xdr:rowOff>
    </xdr:to>
    <xdr:pic>
      <xdr:nvPicPr>
        <xdr:cNvPr id="2" name="Picture 1">
          <a:extLst>
            <a:ext uri="{FF2B5EF4-FFF2-40B4-BE49-F238E27FC236}">
              <a16:creationId xmlns:a16="http://schemas.microsoft.com/office/drawing/2014/main" id="{8504B098-0E18-4DFB-BBD0-824EDDF815A4}"/>
            </a:ext>
          </a:extLst>
        </xdr:cNvPr>
        <xdr:cNvPicPr>
          <a:picLocks noChangeAspect="1"/>
        </xdr:cNvPicPr>
      </xdr:nvPicPr>
      <xdr:blipFill>
        <a:blip xmlns:r="http://schemas.openxmlformats.org/officeDocument/2006/relationships" r:embed="rId1"/>
        <a:stretch>
          <a:fillRect/>
        </a:stretch>
      </xdr:blipFill>
      <xdr:spPr>
        <a:xfrm>
          <a:off x="11846292" y="66674"/>
          <a:ext cx="1507400" cy="1257001"/>
        </a:xfrm>
        <a:prstGeom prst="rect">
          <a:avLst/>
        </a:prstGeom>
      </xdr:spPr>
    </xdr:pic>
    <xdr:clientData/>
  </xdr:twoCellAnchor>
  <xdr:twoCellAnchor editAs="oneCell">
    <xdr:from>
      <xdr:col>12</xdr:col>
      <xdr:colOff>33900</xdr:colOff>
      <xdr:row>10</xdr:row>
      <xdr:rowOff>57150</xdr:rowOff>
    </xdr:from>
    <xdr:to>
      <xdr:col>14</xdr:col>
      <xdr:colOff>419100</xdr:colOff>
      <xdr:row>15</xdr:row>
      <xdr:rowOff>119588</xdr:rowOff>
    </xdr:to>
    <xdr:pic>
      <xdr:nvPicPr>
        <xdr:cNvPr id="3" name="Picture 2">
          <a:extLst>
            <a:ext uri="{FF2B5EF4-FFF2-40B4-BE49-F238E27FC236}">
              <a16:creationId xmlns:a16="http://schemas.microsoft.com/office/drawing/2014/main" id="{4335207C-F38C-4267-B007-AC7B3634E0DC}"/>
            </a:ext>
          </a:extLst>
        </xdr:cNvPr>
        <xdr:cNvPicPr>
          <a:picLocks noChangeAspect="1"/>
        </xdr:cNvPicPr>
      </xdr:nvPicPr>
      <xdr:blipFill>
        <a:blip xmlns:r="http://schemas.openxmlformats.org/officeDocument/2006/relationships" r:embed="rId2"/>
        <a:stretch>
          <a:fillRect/>
        </a:stretch>
      </xdr:blipFill>
      <xdr:spPr>
        <a:xfrm>
          <a:off x="7406250" y="1962150"/>
          <a:ext cx="1604400" cy="1014938"/>
        </a:xfrm>
        <a:prstGeom prst="rect">
          <a:avLst/>
        </a:prstGeom>
      </xdr:spPr>
    </xdr:pic>
    <xdr:clientData/>
  </xdr:twoCellAnchor>
  <xdr:twoCellAnchor editAs="oneCell">
    <xdr:from>
      <xdr:col>9</xdr:col>
      <xdr:colOff>287655</xdr:colOff>
      <xdr:row>21</xdr:row>
      <xdr:rowOff>19049</xdr:rowOff>
    </xdr:from>
    <xdr:to>
      <xdr:col>12</xdr:col>
      <xdr:colOff>104296</xdr:colOff>
      <xdr:row>28</xdr:row>
      <xdr:rowOff>56750</xdr:rowOff>
    </xdr:to>
    <xdr:pic>
      <xdr:nvPicPr>
        <xdr:cNvPr id="4" name="Picture 3">
          <a:extLst>
            <a:ext uri="{FF2B5EF4-FFF2-40B4-BE49-F238E27FC236}">
              <a16:creationId xmlns:a16="http://schemas.microsoft.com/office/drawing/2014/main" id="{75131F43-587C-4F53-8659-26864A9EF112}"/>
            </a:ext>
          </a:extLst>
        </xdr:cNvPr>
        <xdr:cNvPicPr>
          <a:picLocks noChangeAspect="1"/>
        </xdr:cNvPicPr>
      </xdr:nvPicPr>
      <xdr:blipFill>
        <a:blip xmlns:r="http://schemas.openxmlformats.org/officeDocument/2006/relationships" r:embed="rId3"/>
        <a:stretch>
          <a:fillRect/>
        </a:stretch>
      </xdr:blipFill>
      <xdr:spPr>
        <a:xfrm>
          <a:off x="5831205" y="4019549"/>
          <a:ext cx="1645441" cy="1371201"/>
        </a:xfrm>
        <a:prstGeom prst="rect">
          <a:avLst/>
        </a:prstGeom>
      </xdr:spPr>
    </xdr:pic>
    <xdr:clientData/>
  </xdr:twoCellAnchor>
  <xdr:twoCellAnchor editAs="oneCell">
    <xdr:from>
      <xdr:col>9</xdr:col>
      <xdr:colOff>504825</xdr:colOff>
      <xdr:row>33</xdr:row>
      <xdr:rowOff>92621</xdr:rowOff>
    </xdr:from>
    <xdr:to>
      <xdr:col>12</xdr:col>
      <xdr:colOff>246959</xdr:colOff>
      <xdr:row>38</xdr:row>
      <xdr:rowOff>104350</xdr:rowOff>
    </xdr:to>
    <xdr:pic>
      <xdr:nvPicPr>
        <xdr:cNvPr id="5" name="Picture 4">
          <a:extLst>
            <a:ext uri="{FF2B5EF4-FFF2-40B4-BE49-F238E27FC236}">
              <a16:creationId xmlns:a16="http://schemas.microsoft.com/office/drawing/2014/main" id="{78E985EC-7322-43ED-9C41-E9BAB9AEB6A8}"/>
            </a:ext>
          </a:extLst>
        </xdr:cNvPr>
        <xdr:cNvPicPr>
          <a:picLocks noChangeAspect="1"/>
        </xdr:cNvPicPr>
      </xdr:nvPicPr>
      <xdr:blipFill>
        <a:blip xmlns:r="http://schemas.openxmlformats.org/officeDocument/2006/relationships" r:embed="rId4"/>
        <a:stretch>
          <a:fillRect/>
        </a:stretch>
      </xdr:blipFill>
      <xdr:spPr>
        <a:xfrm>
          <a:off x="6048375" y="6379121"/>
          <a:ext cx="1570934" cy="964229"/>
        </a:xfrm>
        <a:prstGeom prst="rect">
          <a:avLst/>
        </a:prstGeom>
      </xdr:spPr>
    </xdr:pic>
    <xdr:clientData/>
  </xdr:twoCellAnchor>
  <xdr:twoCellAnchor editAs="oneCell">
    <xdr:from>
      <xdr:col>7</xdr:col>
      <xdr:colOff>285750</xdr:colOff>
      <xdr:row>33</xdr:row>
      <xdr:rowOff>118326</xdr:rowOff>
    </xdr:from>
    <xdr:to>
      <xdr:col>9</xdr:col>
      <xdr:colOff>380468</xdr:colOff>
      <xdr:row>37</xdr:row>
      <xdr:rowOff>123513</xdr:rowOff>
    </xdr:to>
    <xdr:pic>
      <xdr:nvPicPr>
        <xdr:cNvPr id="6" name="Picture 5">
          <a:extLst>
            <a:ext uri="{FF2B5EF4-FFF2-40B4-BE49-F238E27FC236}">
              <a16:creationId xmlns:a16="http://schemas.microsoft.com/office/drawing/2014/main" id="{48EBAE37-0A36-4C94-B1BD-EEE2ADD47222}"/>
            </a:ext>
          </a:extLst>
        </xdr:cNvPr>
        <xdr:cNvPicPr>
          <a:picLocks noChangeAspect="1"/>
        </xdr:cNvPicPr>
      </xdr:nvPicPr>
      <xdr:blipFill>
        <a:blip xmlns:r="http://schemas.openxmlformats.org/officeDocument/2006/relationships" r:embed="rId5"/>
        <a:stretch>
          <a:fillRect/>
        </a:stretch>
      </xdr:blipFill>
      <xdr:spPr>
        <a:xfrm>
          <a:off x="4610100" y="6404826"/>
          <a:ext cx="1313918" cy="767187"/>
        </a:xfrm>
        <a:prstGeom prst="rect">
          <a:avLst/>
        </a:prstGeom>
      </xdr:spPr>
    </xdr:pic>
    <xdr:clientData/>
  </xdr:twoCellAnchor>
  <xdr:twoCellAnchor editAs="oneCell">
    <xdr:from>
      <xdr:col>12</xdr:col>
      <xdr:colOff>466725</xdr:colOff>
      <xdr:row>33</xdr:row>
      <xdr:rowOff>110871</xdr:rowOff>
    </xdr:from>
    <xdr:to>
      <xdr:col>18</xdr:col>
      <xdr:colOff>551481</xdr:colOff>
      <xdr:row>42</xdr:row>
      <xdr:rowOff>37675</xdr:rowOff>
    </xdr:to>
    <xdr:pic>
      <xdr:nvPicPr>
        <xdr:cNvPr id="7" name="Picture 6">
          <a:extLst>
            <a:ext uri="{FF2B5EF4-FFF2-40B4-BE49-F238E27FC236}">
              <a16:creationId xmlns:a16="http://schemas.microsoft.com/office/drawing/2014/main" id="{8212BD88-41C1-49E4-B6C9-F084518AB566}"/>
            </a:ext>
          </a:extLst>
        </xdr:cNvPr>
        <xdr:cNvPicPr>
          <a:picLocks noChangeAspect="1"/>
        </xdr:cNvPicPr>
      </xdr:nvPicPr>
      <xdr:blipFill>
        <a:blip xmlns:r="http://schemas.openxmlformats.org/officeDocument/2006/relationships" r:embed="rId6"/>
        <a:stretch>
          <a:fillRect/>
        </a:stretch>
      </xdr:blipFill>
      <xdr:spPr>
        <a:xfrm>
          <a:off x="7839075" y="6397371"/>
          <a:ext cx="3742356" cy="1641304"/>
        </a:xfrm>
        <a:prstGeom prst="rect">
          <a:avLst/>
        </a:prstGeom>
      </xdr:spPr>
    </xdr:pic>
    <xdr:clientData/>
  </xdr:twoCellAnchor>
  <xdr:twoCellAnchor editAs="oneCell">
    <xdr:from>
      <xdr:col>7</xdr:col>
      <xdr:colOff>438150</xdr:colOff>
      <xdr:row>43</xdr:row>
      <xdr:rowOff>3913</xdr:rowOff>
    </xdr:from>
    <xdr:to>
      <xdr:col>15</xdr:col>
      <xdr:colOff>160902</xdr:colOff>
      <xdr:row>55</xdr:row>
      <xdr:rowOff>132812</xdr:rowOff>
    </xdr:to>
    <xdr:pic>
      <xdr:nvPicPr>
        <xdr:cNvPr id="8" name="Picture 7">
          <a:extLst>
            <a:ext uri="{FF2B5EF4-FFF2-40B4-BE49-F238E27FC236}">
              <a16:creationId xmlns:a16="http://schemas.microsoft.com/office/drawing/2014/main" id="{7C2BD504-9E35-4D9A-B890-DFD02B730ACA}"/>
            </a:ext>
          </a:extLst>
        </xdr:cNvPr>
        <xdr:cNvPicPr>
          <a:picLocks noChangeAspect="1"/>
        </xdr:cNvPicPr>
      </xdr:nvPicPr>
      <xdr:blipFill>
        <a:blip xmlns:r="http://schemas.openxmlformats.org/officeDocument/2006/relationships" r:embed="rId7"/>
        <a:stretch>
          <a:fillRect/>
        </a:stretch>
      </xdr:blipFill>
      <xdr:spPr>
        <a:xfrm>
          <a:off x="4762500" y="8195413"/>
          <a:ext cx="4599552" cy="24148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190500</xdr:colOff>
      <xdr:row>7</xdr:row>
      <xdr:rowOff>83661</xdr:rowOff>
    </xdr:from>
    <xdr:to>
      <xdr:col>12</xdr:col>
      <xdr:colOff>94502</xdr:colOff>
      <xdr:row>19</xdr:row>
      <xdr:rowOff>66198</xdr:rowOff>
    </xdr:to>
    <xdr:pic>
      <xdr:nvPicPr>
        <xdr:cNvPr id="2" name="Picture 1">
          <a:extLst>
            <a:ext uri="{FF2B5EF4-FFF2-40B4-BE49-F238E27FC236}">
              <a16:creationId xmlns:a16="http://schemas.microsoft.com/office/drawing/2014/main" id="{5CB08330-F8C1-43BE-A492-1F61E480C54A}"/>
            </a:ext>
          </a:extLst>
        </xdr:cNvPr>
        <xdr:cNvPicPr>
          <a:picLocks noChangeAspect="1"/>
        </xdr:cNvPicPr>
      </xdr:nvPicPr>
      <xdr:blipFill>
        <a:blip xmlns:r="http://schemas.openxmlformats.org/officeDocument/2006/relationships" r:embed="rId1"/>
        <a:stretch>
          <a:fillRect/>
        </a:stretch>
      </xdr:blipFill>
      <xdr:spPr>
        <a:xfrm>
          <a:off x="3848100" y="1417161"/>
          <a:ext cx="3561602" cy="2268537"/>
        </a:xfrm>
        <a:prstGeom prst="rect">
          <a:avLst/>
        </a:prstGeom>
      </xdr:spPr>
    </xdr:pic>
    <xdr:clientData/>
  </xdr:twoCellAnchor>
  <xdr:twoCellAnchor editAs="oneCell">
    <xdr:from>
      <xdr:col>9</xdr:col>
      <xdr:colOff>0</xdr:colOff>
      <xdr:row>23</xdr:row>
      <xdr:rowOff>0</xdr:rowOff>
    </xdr:from>
    <xdr:to>
      <xdr:col>23</xdr:col>
      <xdr:colOff>541790</xdr:colOff>
      <xdr:row>41</xdr:row>
      <xdr:rowOff>113857</xdr:rowOff>
    </xdr:to>
    <xdr:pic>
      <xdr:nvPicPr>
        <xdr:cNvPr id="4" name="Picture 3">
          <a:extLst>
            <a:ext uri="{FF2B5EF4-FFF2-40B4-BE49-F238E27FC236}">
              <a16:creationId xmlns:a16="http://schemas.microsoft.com/office/drawing/2014/main" id="{51205661-5820-4296-B1D3-0352F10EDBE1}"/>
            </a:ext>
          </a:extLst>
        </xdr:cNvPr>
        <xdr:cNvPicPr>
          <a:picLocks noChangeAspect="1"/>
        </xdr:cNvPicPr>
      </xdr:nvPicPr>
      <xdr:blipFill>
        <a:blip xmlns:r="http://schemas.openxmlformats.org/officeDocument/2006/relationships" r:embed="rId2"/>
        <a:stretch>
          <a:fillRect/>
        </a:stretch>
      </xdr:blipFill>
      <xdr:spPr>
        <a:xfrm>
          <a:off x="5486400" y="4381500"/>
          <a:ext cx="9076190" cy="3542857"/>
        </a:xfrm>
        <a:prstGeom prst="rect">
          <a:avLst/>
        </a:prstGeom>
      </xdr:spPr>
    </xdr:pic>
    <xdr:clientData/>
  </xdr:twoCellAnchor>
  <xdr:twoCellAnchor editAs="oneCell">
    <xdr:from>
      <xdr:col>9</xdr:col>
      <xdr:colOff>0</xdr:colOff>
      <xdr:row>45</xdr:row>
      <xdr:rowOff>0</xdr:rowOff>
    </xdr:from>
    <xdr:to>
      <xdr:col>23</xdr:col>
      <xdr:colOff>56076</xdr:colOff>
      <xdr:row>66</xdr:row>
      <xdr:rowOff>37595</xdr:rowOff>
    </xdr:to>
    <xdr:pic>
      <xdr:nvPicPr>
        <xdr:cNvPr id="7" name="Picture 6">
          <a:extLst>
            <a:ext uri="{FF2B5EF4-FFF2-40B4-BE49-F238E27FC236}">
              <a16:creationId xmlns:a16="http://schemas.microsoft.com/office/drawing/2014/main" id="{2C731590-E23D-45AB-9AA7-B4C9A9D55305}"/>
            </a:ext>
          </a:extLst>
        </xdr:cNvPr>
        <xdr:cNvPicPr>
          <a:picLocks noChangeAspect="1"/>
        </xdr:cNvPicPr>
      </xdr:nvPicPr>
      <xdr:blipFill>
        <a:blip xmlns:r="http://schemas.openxmlformats.org/officeDocument/2006/relationships" r:embed="rId3"/>
        <a:stretch>
          <a:fillRect/>
        </a:stretch>
      </xdr:blipFill>
      <xdr:spPr>
        <a:xfrm>
          <a:off x="5486400" y="8572500"/>
          <a:ext cx="8590476" cy="4038095"/>
        </a:xfrm>
        <a:prstGeom prst="rect">
          <a:avLst/>
        </a:prstGeom>
      </xdr:spPr>
    </xdr:pic>
    <xdr:clientData/>
  </xdr:twoCellAnchor>
  <xdr:twoCellAnchor>
    <xdr:from>
      <xdr:col>11</xdr:col>
      <xdr:colOff>552450</xdr:colOff>
      <xdr:row>75</xdr:row>
      <xdr:rowOff>109537</xdr:rowOff>
    </xdr:from>
    <xdr:to>
      <xdr:col>19</xdr:col>
      <xdr:colOff>247650</xdr:colOff>
      <xdr:row>89</xdr:row>
      <xdr:rowOff>185737</xdr:rowOff>
    </xdr:to>
    <xdr:graphicFrame macro="">
      <xdr:nvGraphicFramePr>
        <xdr:cNvPr id="8" name="Chart 7">
          <a:extLst>
            <a:ext uri="{FF2B5EF4-FFF2-40B4-BE49-F238E27FC236}">
              <a16:creationId xmlns:a16="http://schemas.microsoft.com/office/drawing/2014/main" id="{2562703A-8E2C-4CEB-BBFB-7091F1868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jwilli42_txt_textron_com/Documents/Documents/Spreadsheets/Maximum%20Shear%20Strain%20Failure%20Theor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rsonal/jwilli42_txt_textron_com/Documents/Documents/Spreadsheets/Mohr's%20Circle%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xShearStressMSS Criteria Info"/>
      <sheetName val="Mohr'sCircle(2D) - MSS"/>
    </sheetNames>
    <sheetDataSet>
      <sheetData sheetId="0" refreshError="1"/>
      <sheetData sheetId="1">
        <row r="9">
          <cell r="C9">
            <v>-17</v>
          </cell>
        </row>
        <row r="10">
          <cell r="C10">
            <v>20</v>
          </cell>
        </row>
        <row r="11">
          <cell r="C11">
            <v>11</v>
          </cell>
        </row>
        <row r="12">
          <cell r="C12">
            <v>30</v>
          </cell>
        </row>
        <row r="17">
          <cell r="C17">
            <v>1.5</v>
          </cell>
        </row>
        <row r="18">
          <cell r="C18">
            <v>23.023243250030884</v>
          </cell>
        </row>
        <row r="19">
          <cell r="C19">
            <v>-20.023243250030884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hr's Circle (2D)"/>
      <sheetName val="Mohr's Circle (3D)"/>
    </sheetNames>
    <sheetDataSet>
      <sheetData sheetId="0">
        <row r="8">
          <cell r="C8">
            <v>-17</v>
          </cell>
        </row>
        <row r="9">
          <cell r="C9">
            <v>20</v>
          </cell>
        </row>
        <row r="10">
          <cell r="C10">
            <v>11</v>
          </cell>
        </row>
        <row r="15">
          <cell r="C15">
            <v>1.5</v>
          </cell>
        </row>
      </sheetData>
      <sheetData sheetId="1">
        <row r="148">
          <cell r="B148">
            <v>-8.3165999999999993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4832A-9250-4825-93BE-2EFC6E67221A}">
  <dimension ref="B1:AB6"/>
  <sheetViews>
    <sheetView workbookViewId="0">
      <selection activeCell="C10" sqref="C10"/>
    </sheetView>
  </sheetViews>
  <sheetFormatPr defaultRowHeight="15" x14ac:dyDescent="0.25"/>
  <cols>
    <col min="1" max="1" width="9.140625" style="6"/>
    <col min="2" max="2" width="54.85546875" style="6" bestFit="1" customWidth="1"/>
    <col min="3" max="3" width="21.140625" style="6" bestFit="1" customWidth="1"/>
    <col min="4" max="4" width="27.140625" style="6" bestFit="1" customWidth="1"/>
    <col min="5" max="16384" width="9.140625" style="6"/>
  </cols>
  <sheetData>
    <row r="1" spans="2:28" x14ac:dyDescent="0.25">
      <c r="B1" s="5" t="s">
        <v>259</v>
      </c>
      <c r="C1" s="5"/>
      <c r="D1" s="5"/>
    </row>
    <row r="2" spans="2:28" ht="18" x14ac:dyDescent="0.35">
      <c r="B2" s="7" t="s">
        <v>245</v>
      </c>
      <c r="C2" s="8">
        <v>0.05</v>
      </c>
      <c r="D2" s="9" t="s">
        <v>246</v>
      </c>
      <c r="F2" s="10" t="s">
        <v>261</v>
      </c>
      <c r="AA2" s="6" t="s">
        <v>250</v>
      </c>
      <c r="AB2" s="6" t="s">
        <v>254</v>
      </c>
    </row>
    <row r="3" spans="2:28" x14ac:dyDescent="0.25">
      <c r="B3" s="9" t="s">
        <v>249</v>
      </c>
      <c r="C3" s="8" t="s">
        <v>251</v>
      </c>
      <c r="D3" s="9" t="s">
        <v>252</v>
      </c>
      <c r="F3" s="11" t="s">
        <v>58</v>
      </c>
    </row>
    <row r="4" spans="2:28" x14ac:dyDescent="0.25">
      <c r="B4" s="9" t="s">
        <v>253</v>
      </c>
      <c r="C4" s="8" t="s">
        <v>254</v>
      </c>
      <c r="D4" s="9" t="s">
        <v>256</v>
      </c>
    </row>
    <row r="5" spans="2:28" x14ac:dyDescent="0.25">
      <c r="B5" s="9" t="s">
        <v>247</v>
      </c>
      <c r="C5" s="12" t="str">
        <f>IF(C2&gt;=0.05,"Ductile","Brittle")</f>
        <v>Ductile</v>
      </c>
      <c r="D5" s="9" t="s">
        <v>248</v>
      </c>
      <c r="AA5" s="6" t="s">
        <v>251</v>
      </c>
      <c r="AB5" s="6" t="s">
        <v>255</v>
      </c>
    </row>
    <row r="6" spans="2:28" x14ac:dyDescent="0.25">
      <c r="B6" s="9" t="s">
        <v>257</v>
      </c>
      <c r="C6" s="13" t="str">
        <f>IF(C5="Brittle",IF(C3="Conservative","Brittle Coulomb Mohr","Modified Mohr"),IF(C4="No","Ductile Coulomb Mohr",IF(C3="Conservative","Maximum Shear Strain","Distortion-Energy")))</f>
        <v>Distortion-Energy</v>
      </c>
      <c r="D6" s="9" t="s">
        <v>258</v>
      </c>
    </row>
  </sheetData>
  <sheetProtection algorithmName="SHA-512" hashValue="Qv9Wg7GWu9O9EE9r6fV3fgkAQFadK5np6pTAri6yBOGTwYehLo1zK1kC2P8eZrtoLkh7TJZH3vmNBtVCiGZi/w==" saltValue="bKSwIs3fnLIWyOY3/u+AhQ==" spinCount="100000" sheet="1" objects="1" scenarios="1"/>
  <mergeCells count="1">
    <mergeCell ref="B1:D1"/>
  </mergeCells>
  <dataValidations count="2">
    <dataValidation type="list" allowBlank="1" showInputMessage="1" showErrorMessage="1" sqref="C3" xr:uid="{DAD4F03A-5FBC-4C64-B7AE-4445C68BB1FA}">
      <formula1>conserv</formula1>
    </dataValidation>
    <dataValidation type="list" allowBlank="1" showInputMessage="1" showErrorMessage="1" sqref="C4:C5" xr:uid="{DA2B9638-E93A-47C0-91CC-174833C8D447}">
      <formula1>YesNo</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5C6E0-1A5A-4CF8-B921-BE87B3AFE012}">
  <dimension ref="B1:R470"/>
  <sheetViews>
    <sheetView workbookViewId="0">
      <selection activeCell="C11" sqref="C11"/>
    </sheetView>
  </sheetViews>
  <sheetFormatPr defaultRowHeight="15" x14ac:dyDescent="0.25"/>
  <cols>
    <col min="1" max="1" width="1.7109375" style="14" customWidth="1"/>
    <col min="2" max="2" width="12.42578125" style="14" customWidth="1"/>
    <col min="3" max="3" width="12.7109375" style="14" customWidth="1"/>
    <col min="4" max="4" width="9.140625" style="14"/>
    <col min="5" max="5" width="57.28515625" style="14" bestFit="1" customWidth="1"/>
    <col min="6" max="16384" width="9.140625" style="14"/>
  </cols>
  <sheetData>
    <row r="1" spans="2:5" x14ac:dyDescent="0.25">
      <c r="B1" s="78" t="s">
        <v>110</v>
      </c>
    </row>
    <row r="2" spans="2:5" x14ac:dyDescent="0.25">
      <c r="B2" s="14" t="s">
        <v>111</v>
      </c>
    </row>
    <row r="3" spans="2:5" x14ac:dyDescent="0.25">
      <c r="B3" s="14" t="s">
        <v>112</v>
      </c>
    </row>
    <row r="4" spans="2:5" ht="15.75" thickBot="1" x14ac:dyDescent="0.3"/>
    <row r="5" spans="2:5" ht="15.75" thickBot="1" x14ac:dyDescent="0.3">
      <c r="B5" s="79" t="s">
        <v>113</v>
      </c>
      <c r="C5" s="80" t="s">
        <v>114</v>
      </c>
      <c r="D5" s="81" t="s">
        <v>115</v>
      </c>
      <c r="E5" s="82" t="s">
        <v>116</v>
      </c>
    </row>
    <row r="6" spans="2:5" ht="15.75" thickBot="1" x14ac:dyDescent="0.3"/>
    <row r="7" spans="2:5" x14ac:dyDescent="0.25">
      <c r="B7" s="15" t="s">
        <v>114</v>
      </c>
      <c r="C7" s="16"/>
      <c r="D7" s="16"/>
      <c r="E7" s="17"/>
    </row>
    <row r="8" spans="2:5" ht="15.75" thickBot="1" x14ac:dyDescent="0.3">
      <c r="B8" s="18" t="s">
        <v>16</v>
      </c>
      <c r="C8" s="19" t="s">
        <v>17</v>
      </c>
      <c r="D8" s="19" t="s">
        <v>18</v>
      </c>
      <c r="E8" s="20" t="s">
        <v>19</v>
      </c>
    </row>
    <row r="9" spans="2:5" ht="18" x14ac:dyDescent="0.35">
      <c r="B9" s="21" t="s">
        <v>23</v>
      </c>
      <c r="C9" s="83">
        <v>103.124</v>
      </c>
      <c r="D9" s="70" t="s">
        <v>24</v>
      </c>
      <c r="E9" s="71" t="s">
        <v>25</v>
      </c>
    </row>
    <row r="10" spans="2:5" ht="18" x14ac:dyDescent="0.35">
      <c r="B10" s="25" t="s">
        <v>28</v>
      </c>
      <c r="C10" s="84">
        <v>0</v>
      </c>
      <c r="D10" s="30" t="str">
        <f>D9</f>
        <v>MPa</v>
      </c>
      <c r="E10" s="31" t="s">
        <v>29</v>
      </c>
    </row>
    <row r="11" spans="2:5" ht="15" customHeight="1" x14ac:dyDescent="0.35">
      <c r="B11" s="25" t="s">
        <v>33</v>
      </c>
      <c r="C11" s="84">
        <v>22.918310000000002</v>
      </c>
      <c r="D11" s="30" t="str">
        <f>D9</f>
        <v>MPa</v>
      </c>
      <c r="E11" s="31" t="s">
        <v>117</v>
      </c>
    </row>
    <row r="12" spans="2:5" ht="15" customHeight="1" x14ac:dyDescent="0.35">
      <c r="B12" s="76" t="s">
        <v>95</v>
      </c>
      <c r="C12" s="84">
        <v>329</v>
      </c>
      <c r="D12" s="30" t="s">
        <v>24</v>
      </c>
      <c r="E12" s="31" t="s">
        <v>242</v>
      </c>
    </row>
    <row r="13" spans="2:5" ht="15" customHeight="1" x14ac:dyDescent="0.35">
      <c r="B13" s="76" t="s">
        <v>240</v>
      </c>
      <c r="C13" s="85">
        <v>359</v>
      </c>
      <c r="D13" s="72" t="s">
        <v>24</v>
      </c>
      <c r="E13" s="73" t="s">
        <v>241</v>
      </c>
    </row>
    <row r="14" spans="2:5" ht="26.25" thickBot="1" x14ac:dyDescent="0.3">
      <c r="B14" s="77" t="s">
        <v>118</v>
      </c>
      <c r="C14" s="86">
        <v>1.5</v>
      </c>
      <c r="D14" s="74"/>
      <c r="E14" s="75" t="s">
        <v>119</v>
      </c>
    </row>
    <row r="15" spans="2:5" ht="15" customHeight="1" thickBot="1" x14ac:dyDescent="0.3"/>
    <row r="16" spans="2:5" x14ac:dyDescent="0.25">
      <c r="B16" s="15" t="s">
        <v>115</v>
      </c>
      <c r="C16" s="16"/>
      <c r="D16" s="16"/>
      <c r="E16" s="17"/>
    </row>
    <row r="17" spans="2:7" ht="15.75" thickBot="1" x14ac:dyDescent="0.3">
      <c r="B17" s="18" t="s">
        <v>16</v>
      </c>
      <c r="C17" s="19" t="s">
        <v>17</v>
      </c>
      <c r="D17" s="19" t="s">
        <v>18</v>
      </c>
      <c r="E17" s="20" t="s">
        <v>19</v>
      </c>
    </row>
    <row r="18" spans="2:7" x14ac:dyDescent="0.25">
      <c r="B18" s="21"/>
      <c r="C18" s="22">
        <f>0.5*S_y</f>
        <v>164.5</v>
      </c>
      <c r="D18" s="23" t="str">
        <f>D12</f>
        <v>MPa</v>
      </c>
      <c r="E18" s="24" t="s">
        <v>202</v>
      </c>
    </row>
    <row r="19" spans="2:7" x14ac:dyDescent="0.25">
      <c r="B19" s="25"/>
      <c r="C19" s="26">
        <f>S_y/SQRT(3)</f>
        <v>189.94823856338689</v>
      </c>
      <c r="D19" s="27" t="str">
        <f>D12</f>
        <v>MPa</v>
      </c>
      <c r="E19" s="28" t="s">
        <v>203</v>
      </c>
    </row>
    <row r="20" spans="2:7" ht="18" x14ac:dyDescent="0.35">
      <c r="B20" s="25" t="s">
        <v>92</v>
      </c>
      <c r="C20" s="29">
        <f>(C9+C10)/2</f>
        <v>51.561999999999998</v>
      </c>
      <c r="D20" s="30" t="str">
        <f>D9</f>
        <v>MPa</v>
      </c>
      <c r="E20" s="31" t="s">
        <v>101</v>
      </c>
    </row>
    <row r="21" spans="2:7" ht="18" x14ac:dyDescent="0.35">
      <c r="B21" s="25" t="s">
        <v>59</v>
      </c>
      <c r="C21" s="32">
        <f>C20+C257</f>
        <v>107.98795836364766</v>
      </c>
      <c r="D21" s="27" t="str">
        <f>D9</f>
        <v>MPa</v>
      </c>
      <c r="E21" s="31" t="s">
        <v>120</v>
      </c>
    </row>
    <row r="22" spans="2:7" ht="18" x14ac:dyDescent="0.35">
      <c r="B22" s="25" t="s">
        <v>60</v>
      </c>
      <c r="C22" s="32">
        <f>C20-C257</f>
        <v>-4.8639583636476686</v>
      </c>
      <c r="D22" s="27" t="str">
        <f>D9</f>
        <v>MPa</v>
      </c>
      <c r="E22" s="31" t="s">
        <v>121</v>
      </c>
    </row>
    <row r="23" spans="2:7" ht="18" x14ac:dyDescent="0.35">
      <c r="B23" s="25" t="s">
        <v>122</v>
      </c>
      <c r="C23" s="32">
        <f>C257</f>
        <v>56.425958363647666</v>
      </c>
      <c r="D23" s="27" t="str">
        <f>D9</f>
        <v>MPa</v>
      </c>
      <c r="E23" s="31" t="s">
        <v>63</v>
      </c>
    </row>
    <row r="24" spans="2:7" ht="15.75" x14ac:dyDescent="0.25">
      <c r="B24" s="25" t="s">
        <v>94</v>
      </c>
      <c r="C24" s="33" t="str">
        <f>IF(sigma_max&lt;=(sigma_min+C12),"Pass","Fail")</f>
        <v>Pass</v>
      </c>
      <c r="D24" s="27" t="s">
        <v>123</v>
      </c>
      <c r="E24" s="31" t="s">
        <v>97</v>
      </c>
    </row>
    <row r="25" spans="2:7" x14ac:dyDescent="0.25">
      <c r="B25" s="25" t="s">
        <v>160</v>
      </c>
      <c r="C25" s="34">
        <f>S_y/(sigma_max-sigma_min)</f>
        <v>2.9153248747650666</v>
      </c>
      <c r="D25" s="27" t="s">
        <v>67</v>
      </c>
      <c r="E25" s="31" t="s">
        <v>99</v>
      </c>
    </row>
    <row r="26" spans="2:7" x14ac:dyDescent="0.25">
      <c r="B26" s="25" t="s">
        <v>103</v>
      </c>
      <c r="C26" s="26">
        <f>DEGREES(ATAN(2*tau_xy/(sigma_x-sigma_y))/2)</f>
        <v>11.982110010107041</v>
      </c>
      <c r="D26" s="27" t="s">
        <v>104</v>
      </c>
      <c r="E26" s="31" t="s">
        <v>102</v>
      </c>
      <c r="F26" s="14">
        <f>C26*2</f>
        <v>23.964220020214082</v>
      </c>
      <c r="G26" s="14" t="s">
        <v>124</v>
      </c>
    </row>
    <row r="27" spans="2:7" x14ac:dyDescent="0.25">
      <c r="B27" s="25" t="s">
        <v>103</v>
      </c>
      <c r="C27" s="26">
        <f>C26+90</f>
        <v>101.98211001010704</v>
      </c>
      <c r="D27" s="27" t="s">
        <v>104</v>
      </c>
      <c r="E27" s="31" t="s">
        <v>102</v>
      </c>
      <c r="F27" s="14">
        <f>C27*2</f>
        <v>203.96422002021407</v>
      </c>
      <c r="G27" s="14" t="s">
        <v>124</v>
      </c>
    </row>
    <row r="28" spans="2:7" x14ac:dyDescent="0.25">
      <c r="B28" s="25" t="s">
        <v>148</v>
      </c>
      <c r="C28" s="35">
        <f>SQRT((sigma_max^2-sigma_max*sigma_min+sigma_min^2))</f>
        <v>110.50025418870446</v>
      </c>
      <c r="D28" s="27" t="str">
        <f>D21</f>
        <v>MPa</v>
      </c>
      <c r="E28" s="31" t="s">
        <v>146</v>
      </c>
    </row>
    <row r="29" spans="2:7" hidden="1" x14ac:dyDescent="0.25">
      <c r="B29" s="25" t="s">
        <v>148</v>
      </c>
      <c r="C29" s="35">
        <f>SQRT(sigma_x^2-sigma_x*sigma_y+sigma_y^2+3*tau_xy^2)</f>
        <v>110.50025418870446</v>
      </c>
      <c r="D29" s="27" t="str">
        <f>D28</f>
        <v>MPa</v>
      </c>
      <c r="E29" s="31" t="s">
        <v>150</v>
      </c>
    </row>
    <row r="30" spans="2:7" ht="15.75" x14ac:dyDescent="0.25">
      <c r="B30" s="25" t="s">
        <v>161</v>
      </c>
      <c r="C30" s="36" t="str">
        <f>IF(C28&lt;=S_y,"Pass","Fail")</f>
        <v>Pass</v>
      </c>
      <c r="D30" s="27" t="s">
        <v>123</v>
      </c>
      <c r="E30" s="31" t="s">
        <v>162</v>
      </c>
    </row>
    <row r="31" spans="2:7" x14ac:dyDescent="0.25">
      <c r="B31" s="25" t="s">
        <v>159</v>
      </c>
      <c r="C31" s="34">
        <f>S_y/C28</f>
        <v>2.9773687166199387</v>
      </c>
      <c r="D31" s="27" t="s">
        <v>67</v>
      </c>
      <c r="E31" s="31" t="s">
        <v>158</v>
      </c>
    </row>
    <row r="32" spans="2:7" ht="15.75" thickBot="1" x14ac:dyDescent="0.3">
      <c r="B32" s="37" t="s">
        <v>244</v>
      </c>
      <c r="C32" s="38">
        <f>1/(sigma_max/S_y-sigma_min/C13)</f>
        <v>2.9258629597351749</v>
      </c>
      <c r="D32" s="39"/>
      <c r="E32" s="40" t="s">
        <v>260</v>
      </c>
    </row>
    <row r="33" spans="2:4" ht="15.75" thickBot="1" x14ac:dyDescent="0.3"/>
    <row r="34" spans="2:4" ht="27.6" customHeight="1" x14ac:dyDescent="0.25">
      <c r="B34" s="41" t="s">
        <v>94</v>
      </c>
      <c r="C34" s="42"/>
      <c r="D34" s="43"/>
    </row>
    <row r="35" spans="2:4" ht="15.75" thickBot="1" x14ac:dyDescent="0.3">
      <c r="B35" s="44" t="s">
        <v>125</v>
      </c>
      <c r="C35" s="45" t="s">
        <v>126</v>
      </c>
      <c r="D35" s="46" t="s">
        <v>123</v>
      </c>
    </row>
    <row r="36" spans="2:4" ht="18" x14ac:dyDescent="0.35">
      <c r="B36" s="47">
        <v>1</v>
      </c>
      <c r="C36" s="48" t="s">
        <v>127</v>
      </c>
      <c r="D36" s="49" t="str">
        <f>IF(sigma_max&lt;=C12,"Pass","Fail")</f>
        <v>Pass</v>
      </c>
    </row>
    <row r="37" spans="2:4" ht="18" x14ac:dyDescent="0.35">
      <c r="B37" s="50">
        <v>2</v>
      </c>
      <c r="C37" s="51" t="s">
        <v>128</v>
      </c>
      <c r="D37" s="52" t="str">
        <f>IF(sigma_min&gt;=-C12,"Pass","Fail")</f>
        <v>Pass</v>
      </c>
    </row>
    <row r="38" spans="2:4" ht="18.75" thickBot="1" x14ac:dyDescent="0.4">
      <c r="B38" s="53">
        <v>3</v>
      </c>
      <c r="C38" s="54" t="s">
        <v>129</v>
      </c>
      <c r="D38" s="55" t="str">
        <f>IF(sigma_max&lt;=(sigma_min+C12),"Pass","Fail")</f>
        <v>Pass</v>
      </c>
    </row>
    <row r="40" spans="2:4" ht="15.75" thickBot="1" x14ac:dyDescent="0.3"/>
    <row r="41" spans="2:4" x14ac:dyDescent="0.25">
      <c r="B41" s="56" t="s">
        <v>130</v>
      </c>
      <c r="C41" s="57"/>
      <c r="D41" s="58"/>
    </row>
    <row r="42" spans="2:4" x14ac:dyDescent="0.25">
      <c r="B42" s="50"/>
      <c r="C42" s="51" t="s">
        <v>131</v>
      </c>
      <c r="D42" s="59" t="s">
        <v>83</v>
      </c>
    </row>
    <row r="43" spans="2:4" x14ac:dyDescent="0.25">
      <c r="B43" s="50" t="s">
        <v>132</v>
      </c>
      <c r="C43" s="60">
        <f>C20-C257-C14</f>
        <v>-6.3639583636476686</v>
      </c>
      <c r="D43" s="61">
        <f>C257+C14</f>
        <v>57.925958363647666</v>
      </c>
    </row>
    <row r="44" spans="2:4" ht="15.75" thickBot="1" x14ac:dyDescent="0.3">
      <c r="B44" s="53" t="s">
        <v>133</v>
      </c>
      <c r="C44" s="62">
        <f>C20+C257+C14</f>
        <v>109.48795836364766</v>
      </c>
      <c r="D44" s="63">
        <f>-D43</f>
        <v>-57.925958363647666</v>
      </c>
    </row>
    <row r="257" spans="2:18" x14ac:dyDescent="0.25">
      <c r="B257" s="14" t="s">
        <v>134</v>
      </c>
      <c r="C257" s="14">
        <f>SQRT(((C9-C10)/2)^2+(C11)^2)</f>
        <v>56.425958363647666</v>
      </c>
    </row>
    <row r="259" spans="2:18" x14ac:dyDescent="0.25">
      <c r="C259" s="14" t="s">
        <v>135</v>
      </c>
      <c r="D259" s="14" t="s">
        <v>136</v>
      </c>
    </row>
    <row r="260" spans="2:18" x14ac:dyDescent="0.25">
      <c r="B260" s="14" t="s">
        <v>137</v>
      </c>
      <c r="C260" s="14">
        <f>sigma_x</f>
        <v>103.124</v>
      </c>
      <c r="D260" s="14">
        <f>-C11</f>
        <v>-22.918310000000002</v>
      </c>
      <c r="E260" s="14" t="s">
        <v>138</v>
      </c>
    </row>
    <row r="261" spans="2:18" x14ac:dyDescent="0.25">
      <c r="B261" s="14" t="s">
        <v>139</v>
      </c>
      <c r="C261" s="14">
        <f>sigma_avg</f>
        <v>51.561999999999998</v>
      </c>
      <c r="D261" s="14">
        <v>0</v>
      </c>
      <c r="E261" s="14">
        <f>SQRT($C$257^2-($C$261-$C$20)^2)</f>
        <v>56.425958363647666</v>
      </c>
    </row>
    <row r="262" spans="2:18" x14ac:dyDescent="0.25">
      <c r="B262" s="14" t="s">
        <v>140</v>
      </c>
      <c r="C262" s="14">
        <f>sigma_y</f>
        <v>0</v>
      </c>
      <c r="D262" s="14">
        <f>C11</f>
        <v>22.918310000000002</v>
      </c>
      <c r="E262" s="14">
        <f>-SQRT($C$257^2-($C$261-$C$20)^2)</f>
        <v>-56.425958363647666</v>
      </c>
    </row>
    <row r="263" spans="2:18" x14ac:dyDescent="0.25">
      <c r="B263" s="64" t="s">
        <v>157</v>
      </c>
      <c r="C263" s="64"/>
      <c r="D263" s="64"/>
    </row>
    <row r="264" spans="2:18" x14ac:dyDescent="0.25">
      <c r="B264" s="51" t="s">
        <v>89</v>
      </c>
      <c r="C264" s="51" t="s">
        <v>90</v>
      </c>
      <c r="D264" s="51" t="s">
        <v>91</v>
      </c>
      <c r="E264" s="65"/>
      <c r="F264" s="65"/>
    </row>
    <row r="265" spans="2:18" x14ac:dyDescent="0.25">
      <c r="B265" s="66">
        <f>C22</f>
        <v>-4.8639583636476686</v>
      </c>
      <c r="C265" s="66">
        <f>IFERROR(SQRT($C$257^2-(B265-$C$20)^2),0)</f>
        <v>0</v>
      </c>
      <c r="D265" s="66">
        <f>-C265</f>
        <v>0</v>
      </c>
      <c r="F265" s="67"/>
    </row>
    <row r="266" spans="2:18" x14ac:dyDescent="0.25">
      <c r="B266" s="66">
        <f t="shared" ref="B266:B329" si="0">B265+0.01*($C$21-$C$22)</f>
        <v>-3.7354391963747151</v>
      </c>
      <c r="C266" s="66">
        <f t="shared" ref="C266:C297" si="1">SQRT($C$257^2-(B266-$C$20)^2)</f>
        <v>11.228623939706138</v>
      </c>
      <c r="D266" s="66">
        <f t="shared" ref="D266:D329" si="2">-C266</f>
        <v>-11.228623939706138</v>
      </c>
      <c r="F266" s="67"/>
    </row>
    <row r="267" spans="2:18" x14ac:dyDescent="0.25">
      <c r="B267" s="66">
        <f t="shared" si="0"/>
        <v>-2.6069200291017616</v>
      </c>
      <c r="C267" s="66">
        <f t="shared" si="1"/>
        <v>15.799268341821371</v>
      </c>
      <c r="D267" s="66">
        <f t="shared" si="2"/>
        <v>-15.799268341821371</v>
      </c>
      <c r="F267" s="67"/>
    </row>
    <row r="268" spans="2:18" x14ac:dyDescent="0.25">
      <c r="B268" s="66">
        <f t="shared" si="0"/>
        <v>-1.4784008618288083</v>
      </c>
      <c r="C268" s="66">
        <f t="shared" si="1"/>
        <v>19.251094869451201</v>
      </c>
      <c r="D268" s="66">
        <f t="shared" si="2"/>
        <v>-19.251094869451201</v>
      </c>
      <c r="F268" s="67"/>
      <c r="N268" s="14" t="s">
        <v>151</v>
      </c>
    </row>
    <row r="269" spans="2:18" x14ac:dyDescent="0.25">
      <c r="B269" s="66">
        <f t="shared" si="0"/>
        <v>-0.34988169455585494</v>
      </c>
      <c r="C269" s="66">
        <f t="shared" si="1"/>
        <v>22.114368998154504</v>
      </c>
      <c r="D269" s="66">
        <f t="shared" si="2"/>
        <v>-22.114368998154504</v>
      </c>
      <c r="F269" s="67"/>
      <c r="H269" s="68" t="s">
        <v>141</v>
      </c>
      <c r="I269" s="68"/>
      <c r="J269" s="68"/>
      <c r="K269" s="68" t="s">
        <v>142</v>
      </c>
      <c r="L269" s="68"/>
      <c r="N269" s="14" t="s">
        <v>152</v>
      </c>
      <c r="O269" s="14" t="s">
        <v>153</v>
      </c>
      <c r="P269" s="14" t="s">
        <v>154</v>
      </c>
      <c r="Q269" s="14" t="s">
        <v>155</v>
      </c>
      <c r="R269" s="14" t="s">
        <v>156</v>
      </c>
    </row>
    <row r="270" spans="2:18" ht="30" x14ac:dyDescent="0.25">
      <c r="B270" s="66">
        <f t="shared" si="0"/>
        <v>0.77863747271709838</v>
      </c>
      <c r="C270" s="66">
        <f t="shared" si="1"/>
        <v>24.595505029957391</v>
      </c>
      <c r="D270" s="66">
        <f t="shared" si="2"/>
        <v>-24.595505029957391</v>
      </c>
      <c r="F270" s="67"/>
      <c r="H270" s="69" t="s">
        <v>143</v>
      </c>
      <c r="I270" s="69" t="s">
        <v>144</v>
      </c>
      <c r="J270" s="69" t="s">
        <v>145</v>
      </c>
      <c r="K270" s="69" t="s">
        <v>144</v>
      </c>
      <c r="L270" s="69" t="s">
        <v>145</v>
      </c>
      <c r="N270" s="14">
        <f>-S_y*1.25</f>
        <v>-411.25</v>
      </c>
      <c r="O270" s="14" t="e">
        <f t="shared" ref="O270:O333" si="3">(1/2)*(N270-SQRT(4*S_y^2-3*N270^2))</f>
        <v>#NUM!</v>
      </c>
      <c r="P270" s="14" t="e">
        <f t="shared" ref="P270:P333" si="4">(1/2)*(N270+SQRT(4*S_y^2-3*N270^2))</f>
        <v>#NUM!</v>
      </c>
      <c r="Q270" s="14" t="e">
        <f>IF(ISNUMBER(O270),O270,IF(AND(ISNUMBER(O269),NOT(ISNUMBER(O270))),N270/2,IF(AND(ISNUMBER(O271),NOT(ISNUMBER(O270))),N270/2,NA())))</f>
        <v>#N/A</v>
      </c>
      <c r="R270" s="14" t="e">
        <f>IF(ISNUMBER(P270),P270,IF(AND(ISNUMBER(P269),NOT(ISNUMBER(P270))),N270/2,IF(AND(ISNUMBER(P271),NOT(ISNUMBER(P270))),N270/2,NA())))</f>
        <v>#N/A</v>
      </c>
    </row>
    <row r="271" spans="2:18" x14ac:dyDescent="0.25">
      <c r="B271" s="66">
        <f t="shared" si="0"/>
        <v>1.9071566399900517</v>
      </c>
      <c r="C271" s="66">
        <f t="shared" si="1"/>
        <v>26.800845287956424</v>
      </c>
      <c r="D271" s="66">
        <f t="shared" si="2"/>
        <v>-26.800845287956424</v>
      </c>
      <c r="F271" s="67"/>
      <c r="H271" s="51">
        <v>1</v>
      </c>
      <c r="I271" s="51">
        <f>C12</f>
        <v>329</v>
      </c>
      <c r="J271" s="51">
        <v>0</v>
      </c>
      <c r="K271" s="51">
        <v>0</v>
      </c>
      <c r="L271" s="51">
        <v>0</v>
      </c>
      <c r="N271" s="14">
        <f>N270+0.005*2*(-$N$270)</f>
        <v>-407.13749999999999</v>
      </c>
      <c r="O271" s="14" t="e">
        <f t="shared" si="3"/>
        <v>#NUM!</v>
      </c>
      <c r="P271" s="14" t="e">
        <f t="shared" si="4"/>
        <v>#NUM!</v>
      </c>
      <c r="Q271" s="14" t="e">
        <f t="shared" ref="Q271:Q334" si="5">IF(ISNUMBER(O271),O271,IF(AND(ISNUMBER(O270),NOT(ISNUMBER(O271))),N271/2,IF(AND(ISNUMBER(O272),NOT(ISNUMBER(O271))),N271/2,NA())))</f>
        <v>#N/A</v>
      </c>
      <c r="R271" s="14" t="e">
        <f t="shared" ref="R271:R334" si="6">IF(ISNUMBER(P271),P271,IF(AND(ISNUMBER(P270),NOT(ISNUMBER(P271))),N271/2,IF(AND(ISNUMBER(P272),NOT(ISNUMBER(P271))),N271/2,NA())))</f>
        <v>#N/A</v>
      </c>
    </row>
    <row r="272" spans="2:18" x14ac:dyDescent="0.25">
      <c r="B272" s="66">
        <f t="shared" si="0"/>
        <v>3.0356758072630052</v>
      </c>
      <c r="C272" s="66">
        <f t="shared" si="1"/>
        <v>28.793829852895367</v>
      </c>
      <c r="D272" s="66">
        <f t="shared" si="2"/>
        <v>-28.793829852895367</v>
      </c>
      <c r="F272" s="67"/>
      <c r="H272" s="51">
        <v>2</v>
      </c>
      <c r="I272" s="51">
        <f>C12</f>
        <v>329</v>
      </c>
      <c r="J272" s="51">
        <f>C12</f>
        <v>329</v>
      </c>
      <c r="K272" s="51">
        <f>sigma_max</f>
        <v>107.98795836364766</v>
      </c>
      <c r="L272" s="51">
        <f>sigma_min</f>
        <v>-4.8639583636476686</v>
      </c>
      <c r="N272" s="14">
        <f t="shared" ref="N272:N335" si="7">N271+0.005*2*(-$N$270)</f>
        <v>-403.02499999999998</v>
      </c>
      <c r="O272" s="14" t="e">
        <f t="shared" si="3"/>
        <v>#NUM!</v>
      </c>
      <c r="P272" s="14" t="e">
        <f t="shared" si="4"/>
        <v>#NUM!</v>
      </c>
      <c r="Q272" s="14" t="e">
        <f t="shared" si="5"/>
        <v>#N/A</v>
      </c>
      <c r="R272" s="14" t="e">
        <f t="shared" si="6"/>
        <v>#N/A</v>
      </c>
    </row>
    <row r="273" spans="2:18" x14ac:dyDescent="0.25">
      <c r="B273" s="66">
        <f t="shared" si="0"/>
        <v>4.1641949745359588</v>
      </c>
      <c r="C273" s="66">
        <f t="shared" si="1"/>
        <v>30.615957538907647</v>
      </c>
      <c r="D273" s="66">
        <f t="shared" si="2"/>
        <v>-30.615957538907647</v>
      </c>
      <c r="F273" s="67"/>
      <c r="H273" s="51">
        <v>3</v>
      </c>
      <c r="I273" s="51">
        <v>0</v>
      </c>
      <c r="J273" s="51">
        <f>C12</f>
        <v>329</v>
      </c>
      <c r="N273" s="14">
        <f t="shared" si="7"/>
        <v>-398.91249999999997</v>
      </c>
      <c r="O273" s="14" t="e">
        <f t="shared" si="3"/>
        <v>#NUM!</v>
      </c>
      <c r="P273" s="14" t="e">
        <f t="shared" si="4"/>
        <v>#NUM!</v>
      </c>
      <c r="Q273" s="14" t="e">
        <f t="shared" si="5"/>
        <v>#N/A</v>
      </c>
      <c r="R273" s="14" t="e">
        <f t="shared" si="6"/>
        <v>#N/A</v>
      </c>
    </row>
    <row r="274" spans="2:18" x14ac:dyDescent="0.25">
      <c r="B274" s="66">
        <f t="shared" si="0"/>
        <v>5.2927141418089123</v>
      </c>
      <c r="C274" s="66">
        <f t="shared" si="1"/>
        <v>32.296160196362337</v>
      </c>
      <c r="D274" s="66">
        <f t="shared" si="2"/>
        <v>-32.296160196362337</v>
      </c>
      <c r="F274" s="67"/>
      <c r="H274" s="51">
        <v>4</v>
      </c>
      <c r="I274" s="51">
        <f>-C12</f>
        <v>-329</v>
      </c>
      <c r="J274" s="51">
        <v>0</v>
      </c>
      <c r="N274" s="14">
        <f t="shared" si="7"/>
        <v>-394.79999999999995</v>
      </c>
      <c r="O274" s="14" t="e">
        <f t="shared" si="3"/>
        <v>#NUM!</v>
      </c>
      <c r="P274" s="14" t="e">
        <f t="shared" si="4"/>
        <v>#NUM!</v>
      </c>
      <c r="Q274" s="14" t="e">
        <f t="shared" si="5"/>
        <v>#N/A</v>
      </c>
      <c r="R274" s="14" t="e">
        <f t="shared" si="6"/>
        <v>#N/A</v>
      </c>
    </row>
    <row r="275" spans="2:18" x14ac:dyDescent="0.25">
      <c r="B275" s="66">
        <f t="shared" si="0"/>
        <v>6.4212333090818658</v>
      </c>
      <c r="C275" s="66">
        <f t="shared" si="1"/>
        <v>33.855575018188603</v>
      </c>
      <c r="D275" s="66">
        <f t="shared" si="2"/>
        <v>-33.855575018188603</v>
      </c>
      <c r="F275" s="67"/>
      <c r="H275" s="51">
        <v>5</v>
      </c>
      <c r="I275" s="51">
        <f>-C12</f>
        <v>-329</v>
      </c>
      <c r="J275" s="51">
        <f>-C12</f>
        <v>-329</v>
      </c>
      <c r="N275" s="14">
        <f t="shared" si="7"/>
        <v>-390.68749999999994</v>
      </c>
      <c r="O275" s="14" t="e">
        <f t="shared" si="3"/>
        <v>#NUM!</v>
      </c>
      <c r="P275" s="14" t="e">
        <f t="shared" si="4"/>
        <v>#NUM!</v>
      </c>
      <c r="Q275" s="14" t="e">
        <f t="shared" si="5"/>
        <v>#N/A</v>
      </c>
      <c r="R275" s="14" t="e">
        <f t="shared" si="6"/>
        <v>#N/A</v>
      </c>
    </row>
    <row r="276" spans="2:18" x14ac:dyDescent="0.25">
      <c r="B276" s="66">
        <f t="shared" si="0"/>
        <v>7.5497524763548194</v>
      </c>
      <c r="C276" s="66">
        <f t="shared" si="1"/>
        <v>35.310208795382238</v>
      </c>
      <c r="D276" s="66">
        <f t="shared" si="2"/>
        <v>-35.310208795382238</v>
      </c>
      <c r="F276" s="67"/>
      <c r="H276" s="51">
        <v>6</v>
      </c>
      <c r="I276" s="51">
        <v>0</v>
      </c>
      <c r="J276" s="51">
        <f>-C12</f>
        <v>-329</v>
      </c>
      <c r="N276" s="14">
        <f t="shared" si="7"/>
        <v>-386.57499999999993</v>
      </c>
      <c r="O276" s="14" t="e">
        <f t="shared" si="3"/>
        <v>#NUM!</v>
      </c>
      <c r="P276" s="14" t="e">
        <f t="shared" si="4"/>
        <v>#NUM!</v>
      </c>
      <c r="Q276" s="14" t="e">
        <f t="shared" si="5"/>
        <v>#N/A</v>
      </c>
      <c r="R276" s="14" t="e">
        <f t="shared" si="6"/>
        <v>#N/A</v>
      </c>
    </row>
    <row r="277" spans="2:18" x14ac:dyDescent="0.25">
      <c r="B277" s="66">
        <f t="shared" si="0"/>
        <v>8.678271643627772</v>
      </c>
      <c r="C277" s="66">
        <f t="shared" si="1"/>
        <v>36.672532221173071</v>
      </c>
      <c r="D277" s="66">
        <f t="shared" si="2"/>
        <v>-36.672532221173071</v>
      </c>
      <c r="F277" s="67"/>
      <c r="H277" s="51">
        <f>H271</f>
        <v>1</v>
      </c>
      <c r="I277" s="51">
        <f>I271</f>
        <v>329</v>
      </c>
      <c r="J277" s="51">
        <f>J271</f>
        <v>0</v>
      </c>
      <c r="N277" s="14">
        <f t="shared" si="7"/>
        <v>-382.46249999999992</v>
      </c>
      <c r="O277" s="14" t="e">
        <f t="shared" si="3"/>
        <v>#NUM!</v>
      </c>
      <c r="P277" s="14" t="e">
        <f t="shared" si="4"/>
        <v>#NUM!</v>
      </c>
      <c r="Q277" s="14">
        <f t="shared" si="5"/>
        <v>-191.23124999999996</v>
      </c>
      <c r="R277" s="14">
        <f t="shared" si="6"/>
        <v>-191.23124999999996</v>
      </c>
    </row>
    <row r="278" spans="2:18" x14ac:dyDescent="0.25">
      <c r="B278" s="66">
        <f t="shared" si="0"/>
        <v>9.8067908109007256</v>
      </c>
      <c r="C278" s="66">
        <f t="shared" si="1"/>
        <v>37.952487175818391</v>
      </c>
      <c r="D278" s="66">
        <f t="shared" si="2"/>
        <v>-37.952487175818391</v>
      </c>
      <c r="F278" s="67"/>
      <c r="N278" s="14">
        <f t="shared" si="7"/>
        <v>-378.34999999999991</v>
      </c>
      <c r="O278" s="14">
        <f t="shared" si="3"/>
        <v>-218.83065924069183</v>
      </c>
      <c r="P278" s="14">
        <f t="shared" si="4"/>
        <v>-159.51934075930808</v>
      </c>
      <c r="Q278" s="14">
        <f t="shared" si="5"/>
        <v>-218.83065924069183</v>
      </c>
      <c r="R278" s="14">
        <f t="shared" si="6"/>
        <v>-159.51934075930808</v>
      </c>
    </row>
    <row r="279" spans="2:18" x14ac:dyDescent="0.25">
      <c r="B279" s="66">
        <f t="shared" si="0"/>
        <v>10.935309978173679</v>
      </c>
      <c r="C279" s="66">
        <f t="shared" si="1"/>
        <v>39.158151579543919</v>
      </c>
      <c r="D279" s="66">
        <f t="shared" si="2"/>
        <v>-39.158151579543919</v>
      </c>
      <c r="F279" s="67"/>
      <c r="H279" s="68" t="s">
        <v>243</v>
      </c>
      <c r="I279" s="68"/>
      <c r="J279" s="68"/>
      <c r="N279" s="14">
        <f t="shared" si="7"/>
        <v>-374.2374999999999</v>
      </c>
      <c r="O279" s="14">
        <f t="shared" si="3"/>
        <v>-243.69365782416301</v>
      </c>
      <c r="P279" s="14">
        <f t="shared" si="4"/>
        <v>-130.54384217583689</v>
      </c>
      <c r="Q279" s="14">
        <f t="shared" si="5"/>
        <v>-243.69365782416301</v>
      </c>
      <c r="R279" s="14">
        <f t="shared" si="6"/>
        <v>-130.54384217583689</v>
      </c>
    </row>
    <row r="280" spans="2:18" ht="30" x14ac:dyDescent="0.25">
      <c r="B280" s="66">
        <f t="shared" si="0"/>
        <v>12.063829145446633</v>
      </c>
      <c r="C280" s="66">
        <f t="shared" si="1"/>
        <v>40.296194316592867</v>
      </c>
      <c r="D280" s="66">
        <f t="shared" si="2"/>
        <v>-40.296194316592867</v>
      </c>
      <c r="F280" s="67"/>
      <c r="H280" s="69" t="s">
        <v>143</v>
      </c>
      <c r="I280" s="69" t="s">
        <v>144</v>
      </c>
      <c r="J280" s="69" t="s">
        <v>145</v>
      </c>
      <c r="N280" s="14">
        <f t="shared" si="7"/>
        <v>-370.12499999999989</v>
      </c>
      <c r="O280" s="14">
        <f t="shared" si="3"/>
        <v>-259.20164810172861</v>
      </c>
      <c r="P280" s="14">
        <f t="shared" si="4"/>
        <v>-110.92335189827126</v>
      </c>
      <c r="Q280" s="14">
        <f t="shared" si="5"/>
        <v>-259.20164810172861</v>
      </c>
      <c r="R280" s="14">
        <f t="shared" si="6"/>
        <v>-110.92335189827126</v>
      </c>
    </row>
    <row r="281" spans="2:18" x14ac:dyDescent="0.25">
      <c r="B281" s="66">
        <f t="shared" si="0"/>
        <v>13.192348312719586</v>
      </c>
      <c r="C281" s="66">
        <f t="shared" si="1"/>
        <v>41.372196057894726</v>
      </c>
      <c r="D281" s="66">
        <f t="shared" si="2"/>
        <v>-41.372196057894726</v>
      </c>
      <c r="F281" s="67"/>
      <c r="H281" s="51">
        <v>1</v>
      </c>
      <c r="I281" s="14">
        <f>S_y</f>
        <v>329</v>
      </c>
      <c r="J281" s="14">
        <v>0</v>
      </c>
      <c r="N281" s="14">
        <f t="shared" si="7"/>
        <v>-366.01249999999987</v>
      </c>
      <c r="O281" s="14">
        <f t="shared" si="3"/>
        <v>-271.13761435351807</v>
      </c>
      <c r="P281" s="14">
        <f t="shared" si="4"/>
        <v>-94.874885646481815</v>
      </c>
      <c r="Q281" s="14">
        <f t="shared" si="5"/>
        <v>-271.13761435351807</v>
      </c>
      <c r="R281" s="14">
        <f t="shared" si="6"/>
        <v>-94.874885646481815</v>
      </c>
    </row>
    <row r="282" spans="2:18" x14ac:dyDescent="0.25">
      <c r="B282" s="66">
        <f t="shared" si="0"/>
        <v>14.32086747999254</v>
      </c>
      <c r="C282" s="66">
        <f t="shared" si="1"/>
        <v>42.390881400170763</v>
      </c>
      <c r="D282" s="66">
        <f t="shared" si="2"/>
        <v>-42.390881400170763</v>
      </c>
      <c r="F282" s="67"/>
      <c r="H282" s="51">
        <v>2</v>
      </c>
      <c r="I282" s="14">
        <f>S_y</f>
        <v>329</v>
      </c>
      <c r="J282" s="14">
        <f>S_y</f>
        <v>329</v>
      </c>
      <c r="N282" s="14">
        <f t="shared" si="7"/>
        <v>-361.89999999999986</v>
      </c>
      <c r="O282" s="14">
        <f t="shared" si="3"/>
        <v>-281.01144362340597</v>
      </c>
      <c r="P282" s="14">
        <f t="shared" si="4"/>
        <v>-80.888556376593868</v>
      </c>
      <c r="Q282" s="14">
        <f t="shared" si="5"/>
        <v>-281.01144362340597</v>
      </c>
      <c r="R282" s="14">
        <f t="shared" si="6"/>
        <v>-80.888556376593868</v>
      </c>
    </row>
    <row r="283" spans="2:18" x14ac:dyDescent="0.25">
      <c r="B283" s="66">
        <f t="shared" si="0"/>
        <v>15.449386647265493</v>
      </c>
      <c r="C283" s="66">
        <f t="shared" si="1"/>
        <v>43.356290594237898</v>
      </c>
      <c r="D283" s="66">
        <f t="shared" si="2"/>
        <v>-43.356290594237898</v>
      </c>
      <c r="F283" s="67"/>
      <c r="H283" s="51">
        <v>3</v>
      </c>
      <c r="I283" s="14">
        <v>0</v>
      </c>
      <c r="J283" s="14">
        <f>S_y</f>
        <v>329</v>
      </c>
      <c r="N283" s="14">
        <f t="shared" si="7"/>
        <v>-357.78749999999985</v>
      </c>
      <c r="O283" s="14">
        <f t="shared" si="3"/>
        <v>-289.4924779891254</v>
      </c>
      <c r="P283" s="14">
        <f t="shared" si="4"/>
        <v>-68.295022010874447</v>
      </c>
      <c r="Q283" s="14">
        <f t="shared" si="5"/>
        <v>-289.4924779891254</v>
      </c>
      <c r="R283" s="14">
        <f t="shared" si="6"/>
        <v>-68.295022010874447</v>
      </c>
    </row>
    <row r="284" spans="2:18" x14ac:dyDescent="0.25">
      <c r="B284" s="66">
        <f t="shared" si="0"/>
        <v>16.577905814538447</v>
      </c>
      <c r="C284" s="66">
        <f t="shared" si="1"/>
        <v>44.271909053923295</v>
      </c>
      <c r="D284" s="66">
        <f t="shared" si="2"/>
        <v>-44.271909053923295</v>
      </c>
      <c r="F284" s="67"/>
      <c r="H284" s="51">
        <v>4</v>
      </c>
      <c r="I284" s="14">
        <f>-C13</f>
        <v>-359</v>
      </c>
      <c r="J284" s="14">
        <v>0</v>
      </c>
      <c r="N284" s="14">
        <f t="shared" si="7"/>
        <v>-353.67499999999984</v>
      </c>
      <c r="O284" s="14">
        <f t="shared" si="3"/>
        <v>-296.94784835204689</v>
      </c>
      <c r="P284" s="14">
        <f t="shared" si="4"/>
        <v>-56.727151647952923</v>
      </c>
      <c r="Q284" s="14">
        <f t="shared" si="5"/>
        <v>-296.94784835204689</v>
      </c>
      <c r="R284" s="14">
        <f t="shared" si="6"/>
        <v>-56.727151647952923</v>
      </c>
    </row>
    <row r="285" spans="2:18" x14ac:dyDescent="0.25">
      <c r="B285" s="66">
        <f t="shared" si="0"/>
        <v>17.706424981811399</v>
      </c>
      <c r="C285" s="66">
        <f t="shared" si="1"/>
        <v>45.140766690918134</v>
      </c>
      <c r="D285" s="66">
        <f t="shared" si="2"/>
        <v>-45.140766690918134</v>
      </c>
      <c r="F285" s="67"/>
      <c r="H285" s="51">
        <v>5</v>
      </c>
      <c r="I285" s="14">
        <f>-C13</f>
        <v>-359</v>
      </c>
      <c r="J285" s="14">
        <f>-C13</f>
        <v>-359</v>
      </c>
      <c r="N285" s="14">
        <f t="shared" si="7"/>
        <v>-349.56249999999983</v>
      </c>
      <c r="O285" s="14">
        <f t="shared" si="3"/>
        <v>-303.60494326064429</v>
      </c>
      <c r="P285" s="14">
        <f t="shared" si="4"/>
        <v>-45.957556739355567</v>
      </c>
      <c r="Q285" s="14">
        <f t="shared" si="5"/>
        <v>-303.60494326064429</v>
      </c>
      <c r="R285" s="14">
        <f t="shared" si="6"/>
        <v>-45.957556739355567</v>
      </c>
    </row>
    <row r="286" spans="2:18" x14ac:dyDescent="0.25">
      <c r="B286" s="66">
        <f t="shared" si="0"/>
        <v>18.83494414908435</v>
      </c>
      <c r="C286" s="66">
        <f t="shared" si="1"/>
        <v>45.965515254233232</v>
      </c>
      <c r="D286" s="66">
        <f t="shared" si="2"/>
        <v>-45.965515254233232</v>
      </c>
      <c r="F286" s="67"/>
      <c r="H286" s="51">
        <v>6</v>
      </c>
      <c r="I286" s="14">
        <v>0</v>
      </c>
      <c r="J286" s="14">
        <f>-C13</f>
        <v>-359</v>
      </c>
      <c r="N286" s="14">
        <f t="shared" si="7"/>
        <v>-345.44999999999982</v>
      </c>
      <c r="O286" s="14">
        <f t="shared" si="3"/>
        <v>-309.61628213659219</v>
      </c>
      <c r="P286" s="14">
        <f t="shared" si="4"/>
        <v>-35.833717863407628</v>
      </c>
      <c r="Q286" s="14">
        <f t="shared" si="5"/>
        <v>-309.61628213659219</v>
      </c>
      <c r="R286" s="14">
        <f t="shared" si="6"/>
        <v>-35.833717863407628</v>
      </c>
    </row>
    <row r="287" spans="2:18" x14ac:dyDescent="0.25">
      <c r="B287" s="66">
        <f t="shared" si="0"/>
        <v>19.963463316357302</v>
      </c>
      <c r="C287" s="66">
        <f t="shared" si="1"/>
        <v>46.748489352155403</v>
      </c>
      <c r="D287" s="66">
        <f t="shared" si="2"/>
        <v>-46.748489352155403</v>
      </c>
      <c r="F287" s="67"/>
      <c r="H287" s="51">
        <f>H281</f>
        <v>1</v>
      </c>
      <c r="I287" s="14">
        <f>I281</f>
        <v>329</v>
      </c>
      <c r="J287" s="14">
        <f>J281</f>
        <v>0</v>
      </c>
      <c r="N287" s="14">
        <f t="shared" si="7"/>
        <v>-341.33749999999981</v>
      </c>
      <c r="O287" s="14">
        <f t="shared" si="3"/>
        <v>-315.09012418094517</v>
      </c>
      <c r="P287" s="14">
        <f t="shared" si="4"/>
        <v>-26.247375819054668</v>
      </c>
      <c r="Q287" s="14">
        <f t="shared" si="5"/>
        <v>-315.09012418094517</v>
      </c>
      <c r="R287" s="14">
        <f t="shared" si="6"/>
        <v>-26.247375819054668</v>
      </c>
    </row>
    <row r="288" spans="2:18" x14ac:dyDescent="0.25">
      <c r="B288" s="66">
        <f t="shared" si="0"/>
        <v>21.091982483630254</v>
      </c>
      <c r="C288" s="66">
        <f t="shared" si="1"/>
        <v>47.491755177169658</v>
      </c>
      <c r="D288" s="66">
        <f t="shared" si="2"/>
        <v>-47.491755177169658</v>
      </c>
      <c r="F288" s="67"/>
      <c r="N288" s="14">
        <f t="shared" si="7"/>
        <v>-337.2249999999998</v>
      </c>
      <c r="O288" s="14">
        <f t="shared" si="3"/>
        <v>-320.10664025383977</v>
      </c>
      <c r="P288" s="14">
        <f t="shared" si="4"/>
        <v>-17.118359746160024</v>
      </c>
      <c r="Q288" s="14">
        <f t="shared" si="5"/>
        <v>-320.10664025383977</v>
      </c>
      <c r="R288" s="14">
        <f t="shared" si="6"/>
        <v>-17.118359746160024</v>
      </c>
    </row>
    <row r="289" spans="2:18" x14ac:dyDescent="0.25">
      <c r="B289" s="66">
        <f t="shared" si="0"/>
        <v>22.220501650903206</v>
      </c>
      <c r="C289" s="66">
        <f t="shared" si="1"/>
        <v>48.197149831562136</v>
      </c>
      <c r="D289" s="66">
        <f t="shared" si="2"/>
        <v>-48.197149831562136</v>
      </c>
      <c r="F289" s="67"/>
      <c r="N289" s="14">
        <f t="shared" si="7"/>
        <v>-333.11249999999978</v>
      </c>
      <c r="O289" s="14">
        <f t="shared" si="3"/>
        <v>-324.72719157212498</v>
      </c>
      <c r="P289" s="14">
        <f t="shared" si="4"/>
        <v>-8.3853084278748042</v>
      </c>
      <c r="Q289" s="14">
        <f t="shared" si="5"/>
        <v>-324.72719157212498</v>
      </c>
      <c r="R289" s="14">
        <f t="shared" si="6"/>
        <v>-8.3853084278748042</v>
      </c>
    </row>
    <row r="290" spans="2:18" x14ac:dyDescent="0.25">
      <c r="B290" s="66">
        <f t="shared" si="0"/>
        <v>23.349020818176157</v>
      </c>
      <c r="C290" s="66">
        <f t="shared" si="1"/>
        <v>48.866313375801894</v>
      </c>
      <c r="D290" s="66">
        <f t="shared" si="2"/>
        <v>-48.866313375801894</v>
      </c>
      <c r="F290" s="67"/>
      <c r="N290" s="14">
        <f t="shared" si="7"/>
        <v>-328.99999999999977</v>
      </c>
      <c r="O290" s="14">
        <f t="shared" si="3"/>
        <v>-329.00000000000023</v>
      </c>
      <c r="P290" s="14">
        <f t="shared" si="4"/>
        <v>4.5474735088646412E-13</v>
      </c>
      <c r="Q290" s="14">
        <f t="shared" si="5"/>
        <v>-329.00000000000023</v>
      </c>
      <c r="R290" s="14">
        <f t="shared" si="6"/>
        <v>4.5474735088646412E-13</v>
      </c>
    </row>
    <row r="291" spans="2:18" x14ac:dyDescent="0.25">
      <c r="B291" s="66">
        <f t="shared" si="0"/>
        <v>24.477539985449109</v>
      </c>
      <c r="C291" s="66">
        <f t="shared" si="1"/>
        <v>49.500715176412292</v>
      </c>
      <c r="D291" s="66">
        <f t="shared" si="2"/>
        <v>-49.500715176412292</v>
      </c>
      <c r="F291" s="67"/>
      <c r="N291" s="14">
        <f t="shared" si="7"/>
        <v>-324.88749999999976</v>
      </c>
      <c r="O291" s="14">
        <f t="shared" si="3"/>
        <v>-332.96379063397524</v>
      </c>
      <c r="P291" s="14">
        <f t="shared" si="4"/>
        <v>8.0762906339755034</v>
      </c>
      <c r="Q291" s="14">
        <f t="shared" si="5"/>
        <v>-332.96379063397524</v>
      </c>
      <c r="R291" s="14">
        <f t="shared" si="6"/>
        <v>8.0762906339755034</v>
      </c>
    </row>
    <row r="292" spans="2:18" x14ac:dyDescent="0.25">
      <c r="B292" s="66">
        <f t="shared" si="0"/>
        <v>25.606059152722061</v>
      </c>
      <c r="C292" s="66">
        <f t="shared" si="1"/>
        <v>50.101675740325383</v>
      </c>
      <c r="D292" s="66">
        <f t="shared" si="2"/>
        <v>-50.101675740325383</v>
      </c>
      <c r="F292" s="67"/>
      <c r="N292" s="14">
        <f t="shared" si="7"/>
        <v>-320.77499999999975</v>
      </c>
      <c r="O292" s="14">
        <f t="shared" si="3"/>
        <v>-336.65022870703569</v>
      </c>
      <c r="P292" s="14">
        <f t="shared" si="4"/>
        <v>15.875228707035973</v>
      </c>
      <c r="Q292" s="14">
        <f t="shared" si="5"/>
        <v>-336.65022870703569</v>
      </c>
      <c r="R292" s="14">
        <f t="shared" si="6"/>
        <v>15.875228707035973</v>
      </c>
    </row>
    <row r="293" spans="2:18" x14ac:dyDescent="0.25">
      <c r="B293" s="66">
        <f t="shared" si="0"/>
        <v>26.734578319995013</v>
      </c>
      <c r="C293" s="66">
        <f t="shared" si="1"/>
        <v>50.670384940113877</v>
      </c>
      <c r="D293" s="66">
        <f t="shared" si="2"/>
        <v>-50.670384940113877</v>
      </c>
      <c r="F293" s="67"/>
      <c r="N293" s="14">
        <f t="shared" si="7"/>
        <v>-316.66249999999974</v>
      </c>
      <c r="O293" s="14">
        <f t="shared" si="3"/>
        <v>-340.08560571207795</v>
      </c>
      <c r="P293" s="14">
        <f t="shared" si="4"/>
        <v>23.42310571207824</v>
      </c>
      <c r="Q293" s="14">
        <f t="shared" si="5"/>
        <v>-340.08560571207795</v>
      </c>
      <c r="R293" s="14">
        <f t="shared" si="6"/>
        <v>23.42310571207824</v>
      </c>
    </row>
    <row r="294" spans="2:18" x14ac:dyDescent="0.25">
      <c r="B294" s="66">
        <f t="shared" si="0"/>
        <v>27.863097487267964</v>
      </c>
      <c r="C294" s="66">
        <f t="shared" si="1"/>
        <v>51.207917326797457</v>
      </c>
      <c r="D294" s="66">
        <f t="shared" si="2"/>
        <v>-51.207917326797457</v>
      </c>
      <c r="F294" s="67"/>
      <c r="N294" s="14">
        <f t="shared" si="7"/>
        <v>-312.54999999999973</v>
      </c>
      <c r="O294" s="14">
        <f t="shared" si="3"/>
        <v>-343.29203966483931</v>
      </c>
      <c r="P294" s="14">
        <f t="shared" si="4"/>
        <v>30.742039664839581</v>
      </c>
      <c r="Q294" s="14">
        <f t="shared" si="5"/>
        <v>-343.29203966483931</v>
      </c>
      <c r="R294" s="14">
        <f t="shared" si="6"/>
        <v>30.742039664839581</v>
      </c>
    </row>
    <row r="295" spans="2:18" x14ac:dyDescent="0.25">
      <c r="B295" s="66">
        <f t="shared" si="0"/>
        <v>28.991616654540916</v>
      </c>
      <c r="C295" s="66">
        <f t="shared" si="1"/>
        <v>51.715245072368397</v>
      </c>
      <c r="D295" s="66">
        <f t="shared" si="2"/>
        <v>-51.715245072368397</v>
      </c>
      <c r="F295" s="67"/>
      <c r="N295" s="14">
        <f t="shared" si="7"/>
        <v>-308.43749999999972</v>
      </c>
      <c r="O295" s="14">
        <f t="shared" si="3"/>
        <v>-346.28835052364502</v>
      </c>
      <c r="P295" s="14">
        <f t="shared" si="4"/>
        <v>37.850850523645306</v>
      </c>
      <c r="Q295" s="14">
        <f t="shared" si="5"/>
        <v>-346.28835052364502</v>
      </c>
      <c r="R295" s="14">
        <f t="shared" si="6"/>
        <v>37.850850523645306</v>
      </c>
    </row>
    <row r="296" spans="2:18" x14ac:dyDescent="0.25">
      <c r="B296" s="66">
        <f t="shared" si="0"/>
        <v>30.120135821813868</v>
      </c>
      <c r="C296" s="66">
        <f t="shared" si="1"/>
        <v>52.193248967853293</v>
      </c>
      <c r="D296" s="66">
        <f t="shared" si="2"/>
        <v>-52.193248967853293</v>
      </c>
      <c r="F296" s="67"/>
      <c r="N296" s="14">
        <f t="shared" si="7"/>
        <v>-304.3249999999997</v>
      </c>
      <c r="O296" s="14">
        <f t="shared" si="3"/>
        <v>-349.09071225322208</v>
      </c>
      <c r="P296" s="14">
        <f t="shared" si="4"/>
        <v>44.765712253222375</v>
      </c>
      <c r="Q296" s="14">
        <f t="shared" si="5"/>
        <v>-349.09071225322208</v>
      </c>
      <c r="R296" s="14">
        <f t="shared" si="6"/>
        <v>44.765712253222375</v>
      </c>
    </row>
    <row r="297" spans="2:18" x14ac:dyDescent="0.25">
      <c r="B297" s="66">
        <f t="shared" si="0"/>
        <v>31.24865498908682</v>
      </c>
      <c r="C297" s="66">
        <f t="shared" si="1"/>
        <v>52.642727814235734</v>
      </c>
      <c r="D297" s="66">
        <f t="shared" si="2"/>
        <v>-52.642727814235734</v>
      </c>
      <c r="F297" s="67"/>
      <c r="N297" s="14">
        <f t="shared" si="7"/>
        <v>-300.21249999999969</v>
      </c>
      <c r="O297" s="14">
        <f t="shared" si="3"/>
        <v>-351.71314753282888</v>
      </c>
      <c r="P297" s="14">
        <f t="shared" si="4"/>
        <v>51.50064753282922</v>
      </c>
      <c r="Q297" s="14">
        <f t="shared" si="5"/>
        <v>-351.71314753282888</v>
      </c>
      <c r="R297" s="14">
        <f t="shared" si="6"/>
        <v>51.50064753282922</v>
      </c>
    </row>
    <row r="298" spans="2:18" x14ac:dyDescent="0.25">
      <c r="B298" s="66">
        <f t="shared" si="0"/>
        <v>32.377174156359771</v>
      </c>
      <c r="C298" s="66">
        <f t="shared" ref="C298:C329" si="8">SQRT($C$257^2-(B298-$C$20)^2)</f>
        <v>53.064406475577343</v>
      </c>
      <c r="D298" s="66">
        <f t="shared" si="2"/>
        <v>-53.064406475577343</v>
      </c>
      <c r="F298" s="67"/>
      <c r="N298" s="14">
        <f t="shared" si="7"/>
        <v>-296.09999999999968</v>
      </c>
      <c r="O298" s="14">
        <f t="shared" si="3"/>
        <v>-354.16790921703063</v>
      </c>
      <c r="P298" s="14">
        <f t="shared" si="4"/>
        <v>58.067909217030945</v>
      </c>
      <c r="Q298" s="14">
        <f t="shared" si="5"/>
        <v>-354.16790921703063</v>
      </c>
      <c r="R298" s="14">
        <f t="shared" si="6"/>
        <v>58.067909217030945</v>
      </c>
    </row>
    <row r="299" spans="2:18" x14ac:dyDescent="0.25">
      <c r="B299" s="66">
        <f t="shared" si="0"/>
        <v>33.505693323632727</v>
      </c>
      <c r="C299" s="66">
        <f t="shared" si="8"/>
        <v>53.458942810956103</v>
      </c>
      <c r="D299" s="66">
        <f t="shared" si="2"/>
        <v>-53.458942810956103</v>
      </c>
      <c r="F299" s="67"/>
      <c r="N299" s="14">
        <f t="shared" si="7"/>
        <v>-291.98749999999967</v>
      </c>
      <c r="O299" s="14">
        <f t="shared" si="3"/>
        <v>-356.46577874209333</v>
      </c>
      <c r="P299" s="14">
        <f t="shared" si="4"/>
        <v>64.478278742093693</v>
      </c>
      <c r="Q299" s="14">
        <f t="shared" si="5"/>
        <v>-356.46577874209333</v>
      </c>
      <c r="R299" s="14">
        <f t="shared" si="6"/>
        <v>64.478278742093693</v>
      </c>
    </row>
    <row r="300" spans="2:18" x14ac:dyDescent="0.25">
      <c r="B300" s="66">
        <f t="shared" si="0"/>
        <v>34.634212490905682</v>
      </c>
      <c r="C300" s="66">
        <f t="shared" si="8"/>
        <v>53.826933660603878</v>
      </c>
      <c r="D300" s="66">
        <f t="shared" si="2"/>
        <v>-53.826933660603878</v>
      </c>
      <c r="F300" s="67"/>
      <c r="N300" s="14">
        <f t="shared" si="7"/>
        <v>-287.87499999999966</v>
      </c>
      <c r="O300" s="14">
        <f t="shared" si="3"/>
        <v>-358.61630258947332</v>
      </c>
      <c r="P300" s="14">
        <f t="shared" si="4"/>
        <v>70.74130258947369</v>
      </c>
      <c r="Q300" s="14">
        <f t="shared" si="5"/>
        <v>-358.61630258947332</v>
      </c>
      <c r="R300" s="14">
        <f t="shared" si="6"/>
        <v>70.74130258947369</v>
      </c>
    </row>
    <row r="301" spans="2:18" x14ac:dyDescent="0.25">
      <c r="B301" s="66">
        <f t="shared" si="0"/>
        <v>35.762731658178637</v>
      </c>
      <c r="C301" s="66">
        <f t="shared" si="8"/>
        <v>54.168920029101756</v>
      </c>
      <c r="D301" s="66">
        <f t="shared" si="2"/>
        <v>-54.168920029101756</v>
      </c>
      <c r="F301" s="67"/>
      <c r="N301" s="14">
        <f t="shared" si="7"/>
        <v>-283.76249999999965</v>
      </c>
      <c r="O301" s="14">
        <f t="shared" si="3"/>
        <v>-360.62798185058693</v>
      </c>
      <c r="P301" s="14">
        <f t="shared" si="4"/>
        <v>76.865481850587287</v>
      </c>
      <c r="Q301" s="14">
        <f t="shared" si="5"/>
        <v>-360.62798185058693</v>
      </c>
      <c r="R301" s="14">
        <f t="shared" si="6"/>
        <v>76.865481850587287</v>
      </c>
    </row>
    <row r="302" spans="2:18" x14ac:dyDescent="0.25">
      <c r="B302" s="66">
        <f t="shared" si="0"/>
        <v>36.891250825451593</v>
      </c>
      <c r="C302" s="66">
        <f t="shared" si="8"/>
        <v>54.485391582639721</v>
      </c>
      <c r="D302" s="66">
        <f t="shared" si="2"/>
        <v>-54.485391582639721</v>
      </c>
      <c r="F302" s="67"/>
      <c r="N302" s="14">
        <f t="shared" si="7"/>
        <v>-279.64999999999964</v>
      </c>
      <c r="O302" s="14">
        <f t="shared" si="3"/>
        <v>-362.50842579770074</v>
      </c>
      <c r="P302" s="14">
        <f t="shared" si="4"/>
        <v>82.858425797701074</v>
      </c>
      <c r="Q302" s="14">
        <f t="shared" si="5"/>
        <v>-362.50842579770074</v>
      </c>
      <c r="R302" s="14">
        <f t="shared" si="6"/>
        <v>82.858425797701074</v>
      </c>
    </row>
    <row r="303" spans="2:18" x14ac:dyDescent="0.25">
      <c r="B303" s="66">
        <f t="shared" si="0"/>
        <v>38.019769992724548</v>
      </c>
      <c r="C303" s="66">
        <f t="shared" si="8"/>
        <v>54.776790556641309</v>
      </c>
      <c r="D303" s="66">
        <f t="shared" si="2"/>
        <v>-54.776790556641309</v>
      </c>
      <c r="F303" s="67"/>
      <c r="N303" s="14">
        <f t="shared" si="7"/>
        <v>-275.53749999999962</v>
      </c>
      <c r="O303" s="14">
        <f t="shared" si="3"/>
        <v>-364.26447748798722</v>
      </c>
      <c r="P303" s="14">
        <f t="shared" si="4"/>
        <v>88.726977487987597</v>
      </c>
      <c r="Q303" s="14">
        <f t="shared" si="5"/>
        <v>-364.26447748798722</v>
      </c>
      <c r="R303" s="14">
        <f t="shared" si="6"/>
        <v>88.726977487987597</v>
      </c>
    </row>
    <row r="304" spans="2:18" x14ac:dyDescent="0.25">
      <c r="B304" s="66">
        <f t="shared" si="0"/>
        <v>39.148289159997503</v>
      </c>
      <c r="C304" s="66">
        <f t="shared" si="8"/>
        <v>55.043515153348487</v>
      </c>
      <c r="D304" s="66">
        <f t="shared" si="2"/>
        <v>-55.043515153348487</v>
      </c>
      <c r="F304" s="67"/>
      <c r="N304" s="14">
        <f t="shared" si="7"/>
        <v>-271.42499999999961</v>
      </c>
      <c r="O304" s="14">
        <f t="shared" si="3"/>
        <v>-365.90231739262504</v>
      </c>
      <c r="P304" s="14">
        <f t="shared" si="4"/>
        <v>94.477317392625423</v>
      </c>
      <c r="Q304" s="14">
        <f t="shared" si="5"/>
        <v>-365.90231739262504</v>
      </c>
      <c r="R304" s="14">
        <f t="shared" si="6"/>
        <v>94.477317392625423</v>
      </c>
    </row>
    <row r="305" spans="2:18" x14ac:dyDescent="0.25">
      <c r="B305" s="66">
        <f t="shared" si="0"/>
        <v>40.276808327270459</v>
      </c>
      <c r="C305" s="66">
        <f t="shared" si="8"/>
        <v>55.285922495386252</v>
      </c>
      <c r="D305" s="66">
        <f t="shared" si="2"/>
        <v>-55.285922495386252</v>
      </c>
      <c r="F305" s="67"/>
      <c r="N305" s="14">
        <f t="shared" si="7"/>
        <v>-267.3124999999996</v>
      </c>
      <c r="O305" s="14">
        <f t="shared" si="3"/>
        <v>-367.42754958104899</v>
      </c>
      <c r="P305" s="14">
        <f t="shared" si="4"/>
        <v>100.11504958104942</v>
      </c>
      <c r="Q305" s="14">
        <f t="shared" si="5"/>
        <v>-367.42754958104899</v>
      </c>
      <c r="R305" s="14">
        <f t="shared" si="6"/>
        <v>100.11504958104942</v>
      </c>
    </row>
    <row r="306" spans="2:18" x14ac:dyDescent="0.25">
      <c r="B306" s="66">
        <f t="shared" si="0"/>
        <v>41.405327494543414</v>
      </c>
      <c r="C306" s="66">
        <f t="shared" si="8"/>
        <v>55.504331190214359</v>
      </c>
      <c r="D306" s="66">
        <f t="shared" si="2"/>
        <v>-55.504331190214359</v>
      </c>
      <c r="F306" s="67"/>
      <c r="N306" s="14">
        <f t="shared" si="7"/>
        <v>-263.19999999999959</v>
      </c>
      <c r="O306" s="14">
        <f t="shared" si="3"/>
        <v>-368.84527392553059</v>
      </c>
      <c r="P306" s="14">
        <f t="shared" si="4"/>
        <v>105.64527392553103</v>
      </c>
      <c r="Q306" s="14">
        <f t="shared" si="5"/>
        <v>-368.84527392553059</v>
      </c>
      <c r="R306" s="14">
        <f t="shared" si="6"/>
        <v>105.64527392553103</v>
      </c>
    </row>
    <row r="307" spans="2:18" x14ac:dyDescent="0.25">
      <c r="B307" s="66">
        <f t="shared" si="0"/>
        <v>42.533846661816369</v>
      </c>
      <c r="C307" s="66">
        <f t="shared" si="8"/>
        <v>55.699023551210878</v>
      </c>
      <c r="D307" s="66">
        <f t="shared" si="2"/>
        <v>-55.699023551210878</v>
      </c>
      <c r="F307" s="67"/>
      <c r="N307" s="14">
        <f t="shared" si="7"/>
        <v>-259.08749999999958</v>
      </c>
      <c r="O307" s="14">
        <f t="shared" si="3"/>
        <v>-370.16014700530087</v>
      </c>
      <c r="P307" s="14">
        <f t="shared" si="4"/>
        <v>111.07264700530129</v>
      </c>
      <c r="Q307" s="14">
        <f t="shared" si="5"/>
        <v>-370.16014700530087</v>
      </c>
      <c r="R307" s="14">
        <f t="shared" si="6"/>
        <v>111.07264700530129</v>
      </c>
    </row>
    <row r="308" spans="2:18" x14ac:dyDescent="0.25">
      <c r="B308" s="66">
        <f t="shared" si="0"/>
        <v>43.662365829089325</v>
      </c>
      <c r="C308" s="66">
        <f t="shared" si="8"/>
        <v>55.87024751351904</v>
      </c>
      <c r="D308" s="66">
        <f t="shared" si="2"/>
        <v>-55.87024751351904</v>
      </c>
      <c r="F308" s="67"/>
      <c r="N308" s="14">
        <f t="shared" si="7"/>
        <v>-254.97499999999957</v>
      </c>
      <c r="O308" s="14">
        <f t="shared" si="3"/>
        <v>-371.37643380235613</v>
      </c>
      <c r="P308" s="14">
        <f t="shared" si="4"/>
        <v>116.40143380235656</v>
      </c>
      <c r="Q308" s="14">
        <f t="shared" si="5"/>
        <v>-371.37643380235613</v>
      </c>
      <c r="R308" s="14">
        <f t="shared" si="6"/>
        <v>116.40143380235656</v>
      </c>
    </row>
    <row r="309" spans="2:18" x14ac:dyDescent="0.25">
      <c r="B309" s="66">
        <f t="shared" si="0"/>
        <v>44.79088499636228</v>
      </c>
      <c r="C309" s="66">
        <f t="shared" si="8"/>
        <v>56.01821827641087</v>
      </c>
      <c r="D309" s="66">
        <f t="shared" si="2"/>
        <v>-56.01821827641087</v>
      </c>
      <c r="F309" s="67"/>
      <c r="N309" s="14">
        <f t="shared" si="7"/>
        <v>-250.86249999999956</v>
      </c>
      <c r="O309" s="14">
        <f t="shared" si="3"/>
        <v>-372.49805183770656</v>
      </c>
      <c r="P309" s="14">
        <f t="shared" si="4"/>
        <v>121.635551837707</v>
      </c>
      <c r="Q309" s="14">
        <f t="shared" si="5"/>
        <v>-372.49805183770656</v>
      </c>
      <c r="R309" s="14">
        <f t="shared" si="6"/>
        <v>121.635551837707</v>
      </c>
    </row>
    <row r="310" spans="2:18" x14ac:dyDescent="0.25">
      <c r="B310" s="66">
        <f t="shared" si="0"/>
        <v>45.919404163635235</v>
      </c>
      <c r="C310" s="66">
        <f t="shared" si="8"/>
        <v>56.14311969853064</v>
      </c>
      <c r="D310" s="66">
        <f t="shared" si="2"/>
        <v>-56.14311969853064</v>
      </c>
      <c r="F310" s="67"/>
      <c r="N310" s="14">
        <f t="shared" si="7"/>
        <v>-246.74999999999955</v>
      </c>
      <c r="O310" s="14">
        <f t="shared" si="3"/>
        <v>-373.52860905851441</v>
      </c>
      <c r="P310" s="14">
        <f t="shared" si="4"/>
        <v>126.77860905851486</v>
      </c>
      <c r="Q310" s="14">
        <f t="shared" si="5"/>
        <v>-373.52860905851441</v>
      </c>
      <c r="R310" s="14">
        <f t="shared" si="6"/>
        <v>126.77860905851486</v>
      </c>
    </row>
    <row r="311" spans="2:18" x14ac:dyDescent="0.25">
      <c r="B311" s="66">
        <f t="shared" si="0"/>
        <v>47.047923330908191</v>
      </c>
      <c r="C311" s="66">
        <f t="shared" si="8"/>
        <v>56.245105467779695</v>
      </c>
      <c r="D311" s="66">
        <f t="shared" si="2"/>
        <v>-56.245105467779695</v>
      </c>
      <c r="F311" s="67"/>
      <c r="N311" s="14">
        <f t="shared" si="7"/>
        <v>-242.63749999999953</v>
      </c>
      <c r="O311" s="14">
        <f t="shared" si="3"/>
        <v>-374.4714365259631</v>
      </c>
      <c r="P311" s="14">
        <f t="shared" si="4"/>
        <v>131.83393652596359</v>
      </c>
      <c r="Q311" s="14">
        <f t="shared" si="5"/>
        <v>-374.4714365259631</v>
      </c>
      <c r="R311" s="14">
        <f t="shared" si="6"/>
        <v>131.83393652596359</v>
      </c>
    </row>
    <row r="312" spans="2:18" x14ac:dyDescent="0.25">
      <c r="B312" s="66">
        <f t="shared" si="0"/>
        <v>48.176442498181146</v>
      </c>
      <c r="C312" s="66">
        <f t="shared" si="8"/>
        <v>56.324300063631313</v>
      </c>
      <c r="D312" s="66">
        <f t="shared" si="2"/>
        <v>-56.324300063631313</v>
      </c>
      <c r="F312" s="67"/>
      <c r="N312" s="14">
        <f t="shared" si="7"/>
        <v>-238.52499999999952</v>
      </c>
      <c r="O312" s="14">
        <f t="shared" si="3"/>
        <v>-375.32961675115581</v>
      </c>
      <c r="P312" s="14">
        <f t="shared" si="4"/>
        <v>136.80461675115629</v>
      </c>
      <c r="Q312" s="14">
        <f t="shared" si="5"/>
        <v>-375.32961675115581</v>
      </c>
      <c r="R312" s="14">
        <f t="shared" si="6"/>
        <v>136.80461675115629</v>
      </c>
    </row>
    <row r="313" spans="2:18" x14ac:dyDescent="0.25">
      <c r="B313" s="66">
        <f t="shared" si="0"/>
        <v>49.304961665454101</v>
      </c>
      <c r="C313" s="66">
        <f t="shared" si="8"/>
        <v>56.380799526190572</v>
      </c>
      <c r="D313" s="66">
        <f t="shared" si="2"/>
        <v>-56.380799526190572</v>
      </c>
      <c r="F313" s="67"/>
      <c r="N313" s="14">
        <f t="shared" si="7"/>
        <v>-234.41249999999951</v>
      </c>
      <c r="O313" s="14">
        <f t="shared" si="3"/>
        <v>-376.10600836762103</v>
      </c>
      <c r="P313" s="14">
        <f t="shared" si="4"/>
        <v>141.69350836762149</v>
      </c>
      <c r="Q313" s="14">
        <f t="shared" si="5"/>
        <v>-376.10600836762103</v>
      </c>
      <c r="R313" s="14">
        <f t="shared" si="6"/>
        <v>141.69350836762149</v>
      </c>
    </row>
    <row r="314" spans="2:18" x14ac:dyDescent="0.25">
      <c r="B314" s="66">
        <f t="shared" si="0"/>
        <v>50.433480832727057</v>
      </c>
      <c r="C314" s="66">
        <f t="shared" si="8"/>
        <v>56.414672043230013</v>
      </c>
      <c r="D314" s="66">
        <f t="shared" si="2"/>
        <v>-56.414672043230013</v>
      </c>
      <c r="F314" s="67"/>
      <c r="N314" s="14">
        <f t="shared" si="7"/>
        <v>-230.2999999999995</v>
      </c>
      <c r="O314" s="14">
        <f t="shared" si="3"/>
        <v>-376.803267703654</v>
      </c>
      <c r="P314" s="14">
        <f t="shared" si="4"/>
        <v>146.5032677036545</v>
      </c>
      <c r="Q314" s="14">
        <f t="shared" si="5"/>
        <v>-376.803267703654</v>
      </c>
      <c r="R314" s="14">
        <f t="shared" si="6"/>
        <v>146.5032677036545</v>
      </c>
    </row>
    <row r="315" spans="2:18" x14ac:dyDescent="0.25">
      <c r="B315" s="66">
        <f t="shared" si="0"/>
        <v>51.562000000000012</v>
      </c>
      <c r="C315" s="66">
        <f t="shared" si="8"/>
        <v>56.425958363647666</v>
      </c>
      <c r="D315" s="66">
        <f t="shared" si="2"/>
        <v>-56.425958363647666</v>
      </c>
      <c r="F315" s="67"/>
      <c r="N315" s="14">
        <f t="shared" si="7"/>
        <v>-226.18749999999949</v>
      </c>
      <c r="O315" s="14">
        <f t="shared" si="3"/>
        <v>-377.42386771800147</v>
      </c>
      <c r="P315" s="14">
        <f t="shared" si="4"/>
        <v>151.23636771800201</v>
      </c>
      <c r="Q315" s="14">
        <f t="shared" si="5"/>
        <v>-377.42386771800147</v>
      </c>
      <c r="R315" s="14">
        <f t="shared" si="6"/>
        <v>151.23636771800201</v>
      </c>
    </row>
    <row r="316" spans="2:18" x14ac:dyDescent="0.25">
      <c r="B316" s="66">
        <f t="shared" si="0"/>
        <v>52.690519167272967</v>
      </c>
      <c r="C316" s="66">
        <f t="shared" si="8"/>
        <v>56.414672043230013</v>
      </c>
      <c r="D316" s="66">
        <f t="shared" si="2"/>
        <v>-56.414672043230013</v>
      </c>
      <c r="F316" s="67"/>
      <c r="N316" s="14">
        <f t="shared" si="7"/>
        <v>-222.07499999999948</v>
      </c>
      <c r="O316" s="14">
        <f t="shared" si="3"/>
        <v>-377.97011468252629</v>
      </c>
      <c r="P316" s="14">
        <f t="shared" si="4"/>
        <v>155.89511468252681</v>
      </c>
      <c r="Q316" s="14">
        <f t="shared" si="5"/>
        <v>-377.97011468252629</v>
      </c>
      <c r="R316" s="14">
        <f t="shared" si="6"/>
        <v>155.89511468252681</v>
      </c>
    </row>
    <row r="317" spans="2:18" x14ac:dyDescent="0.25">
      <c r="B317" s="66">
        <f t="shared" si="0"/>
        <v>53.819038334545922</v>
      </c>
      <c r="C317" s="66">
        <f t="shared" si="8"/>
        <v>56.380799526190565</v>
      </c>
      <c r="D317" s="66">
        <f t="shared" si="2"/>
        <v>-56.380799526190565</v>
      </c>
      <c r="F317" s="67"/>
      <c r="N317" s="14">
        <f t="shared" si="7"/>
        <v>-217.96249999999947</v>
      </c>
      <c r="O317" s="14">
        <f t="shared" si="3"/>
        <v>-378.44416293109805</v>
      </c>
      <c r="P317" s="14">
        <f t="shared" si="4"/>
        <v>160.48166293109861</v>
      </c>
      <c r="Q317" s="14">
        <f t="shared" si="5"/>
        <v>-378.44416293109805</v>
      </c>
      <c r="R317" s="14">
        <f t="shared" si="6"/>
        <v>160.48166293109861</v>
      </c>
    </row>
    <row r="318" spans="2:18" x14ac:dyDescent="0.25">
      <c r="B318" s="66">
        <f t="shared" si="0"/>
        <v>54.947557501818878</v>
      </c>
      <c r="C318" s="66">
        <f t="shared" si="8"/>
        <v>56.324300063631313</v>
      </c>
      <c r="D318" s="66">
        <f t="shared" si="2"/>
        <v>-56.324300063631313</v>
      </c>
      <c r="F318" s="67"/>
      <c r="N318" s="14">
        <f t="shared" si="7"/>
        <v>-213.84999999999945</v>
      </c>
      <c r="O318" s="14">
        <f t="shared" si="3"/>
        <v>-378.84802794173208</v>
      </c>
      <c r="P318" s="14">
        <f t="shared" si="4"/>
        <v>164.99802794173263</v>
      </c>
      <c r="Q318" s="14">
        <f t="shared" si="5"/>
        <v>-378.84802794173208</v>
      </c>
      <c r="R318" s="14">
        <f t="shared" si="6"/>
        <v>164.99802794173263</v>
      </c>
    </row>
    <row r="319" spans="2:18" x14ac:dyDescent="0.25">
      <c r="B319" s="66">
        <f t="shared" si="0"/>
        <v>56.076076669091833</v>
      </c>
      <c r="C319" s="66">
        <f t="shared" si="8"/>
        <v>56.245105467779695</v>
      </c>
      <c r="D319" s="66">
        <f t="shared" si="2"/>
        <v>-56.245105467779695</v>
      </c>
      <c r="F319" s="67"/>
      <c r="N319" s="14">
        <f t="shared" si="7"/>
        <v>-209.73749999999944</v>
      </c>
      <c r="O319" s="14">
        <f t="shared" si="3"/>
        <v>-379.18359797639471</v>
      </c>
      <c r="P319" s="14">
        <f t="shared" si="4"/>
        <v>169.44609797639524</v>
      </c>
      <c r="Q319" s="14">
        <f t="shared" si="5"/>
        <v>-379.18359797639471</v>
      </c>
      <c r="R319" s="14">
        <f t="shared" si="6"/>
        <v>169.44609797639524</v>
      </c>
    </row>
    <row r="320" spans="2:18" x14ac:dyDescent="0.25">
      <c r="B320" s="66">
        <f t="shared" si="0"/>
        <v>57.204595836364788</v>
      </c>
      <c r="C320" s="66">
        <f t="shared" si="8"/>
        <v>56.14311969853064</v>
      </c>
      <c r="D320" s="66">
        <f t="shared" si="2"/>
        <v>-56.14311969853064</v>
      </c>
      <c r="F320" s="67"/>
      <c r="N320" s="14">
        <f t="shared" si="7"/>
        <v>-205.62499999999943</v>
      </c>
      <c r="O320" s="14">
        <f t="shared" si="3"/>
        <v>-379.45264446795318</v>
      </c>
      <c r="P320" s="14">
        <f t="shared" si="4"/>
        <v>173.82764446795375</v>
      </c>
      <c r="Q320" s="14">
        <f t="shared" si="5"/>
        <v>-379.45264446795318</v>
      </c>
      <c r="R320" s="14">
        <f t="shared" si="6"/>
        <v>173.82764446795375</v>
      </c>
    </row>
    <row r="321" spans="2:18" x14ac:dyDescent="0.25">
      <c r="B321" s="66">
        <f t="shared" si="0"/>
        <v>58.333115003637744</v>
      </c>
      <c r="C321" s="66">
        <f t="shared" si="8"/>
        <v>56.018218276410863</v>
      </c>
      <c r="D321" s="66">
        <f t="shared" si="2"/>
        <v>-56.018218276410863</v>
      </c>
      <c r="F321" s="67"/>
      <c r="N321" s="14">
        <f t="shared" si="7"/>
        <v>-201.51249999999942</v>
      </c>
      <c r="O321" s="14">
        <f t="shared" si="3"/>
        <v>-379.65683131494188</v>
      </c>
      <c r="P321" s="14">
        <f t="shared" si="4"/>
        <v>178.14433131494249</v>
      </c>
      <c r="Q321" s="14">
        <f t="shared" si="5"/>
        <v>-379.65683131494188</v>
      </c>
      <c r="R321" s="14">
        <f t="shared" si="6"/>
        <v>178.14433131494249</v>
      </c>
    </row>
    <row r="322" spans="2:18" x14ac:dyDescent="0.25">
      <c r="B322" s="66">
        <f t="shared" si="0"/>
        <v>59.461634170910699</v>
      </c>
      <c r="C322" s="66">
        <f t="shared" si="8"/>
        <v>55.87024751351904</v>
      </c>
      <c r="D322" s="66">
        <f t="shared" si="2"/>
        <v>-55.87024751351904</v>
      </c>
      <c r="F322" s="67"/>
      <c r="N322" s="14">
        <f t="shared" si="7"/>
        <v>-197.39999999999941</v>
      </c>
      <c r="O322" s="14">
        <f t="shared" si="3"/>
        <v>-379.79772322094675</v>
      </c>
      <c r="P322" s="14">
        <f t="shared" si="4"/>
        <v>182.39772322094734</v>
      </c>
      <c r="Q322" s="14">
        <f t="shared" si="5"/>
        <v>-379.79772322094675</v>
      </c>
      <c r="R322" s="14">
        <f t="shared" si="6"/>
        <v>182.39772322094734</v>
      </c>
    </row>
    <row r="323" spans="2:18" x14ac:dyDescent="0.25">
      <c r="B323" s="66">
        <f t="shared" si="0"/>
        <v>60.590153338183654</v>
      </c>
      <c r="C323" s="66">
        <f t="shared" si="8"/>
        <v>55.699023551210871</v>
      </c>
      <c r="D323" s="66">
        <f t="shared" si="2"/>
        <v>-55.699023551210871</v>
      </c>
      <c r="F323" s="67"/>
      <c r="N323" s="14">
        <f t="shared" si="7"/>
        <v>-193.2874999999994</v>
      </c>
      <c r="O323" s="14">
        <f t="shared" si="3"/>
        <v>-379.87679319555036</v>
      </c>
      <c r="P323" s="14">
        <f t="shared" si="4"/>
        <v>186.58929319555099</v>
      </c>
      <c r="Q323" s="14">
        <f t="shared" si="5"/>
        <v>-379.87679319555036</v>
      </c>
      <c r="R323" s="14">
        <f t="shared" si="6"/>
        <v>186.58929319555099</v>
      </c>
    </row>
    <row r="324" spans="2:18" x14ac:dyDescent="0.25">
      <c r="B324" s="66">
        <f t="shared" si="0"/>
        <v>61.71867250545661</v>
      </c>
      <c r="C324" s="66">
        <f t="shared" si="8"/>
        <v>55.504331190214351</v>
      </c>
      <c r="D324" s="66">
        <f t="shared" si="2"/>
        <v>-55.504331190214351</v>
      </c>
      <c r="F324" s="67"/>
      <c r="N324" s="14">
        <f t="shared" si="7"/>
        <v>-189.17499999999939</v>
      </c>
      <c r="O324" s="14">
        <f t="shared" si="3"/>
        <v>-379.89542931716778</v>
      </c>
      <c r="P324" s="14">
        <f t="shared" si="4"/>
        <v>190.7204293171684</v>
      </c>
      <c r="Q324" s="14">
        <f t="shared" si="5"/>
        <v>-379.89542931716778</v>
      </c>
      <c r="R324" s="14">
        <f t="shared" si="6"/>
        <v>190.7204293171684</v>
      </c>
    </row>
    <row r="325" spans="2:18" x14ac:dyDescent="0.25">
      <c r="B325" s="66">
        <f t="shared" si="0"/>
        <v>62.847191672729565</v>
      </c>
      <c r="C325" s="66">
        <f t="shared" si="8"/>
        <v>55.285922495386252</v>
      </c>
      <c r="D325" s="66">
        <f t="shared" si="2"/>
        <v>-55.285922495386252</v>
      </c>
      <c r="F325" s="67"/>
      <c r="N325" s="14">
        <f t="shared" si="7"/>
        <v>-185.06249999999937</v>
      </c>
      <c r="O325" s="14">
        <f t="shared" si="3"/>
        <v>-379.85494084416359</v>
      </c>
      <c r="P325" s="14">
        <f t="shared" si="4"/>
        <v>194.79244084416419</v>
      </c>
      <c r="Q325" s="14">
        <f t="shared" si="5"/>
        <v>-379.85494084416359</v>
      </c>
      <c r="R325" s="14">
        <f t="shared" si="6"/>
        <v>194.79244084416419</v>
      </c>
    </row>
    <row r="326" spans="2:18" x14ac:dyDescent="0.25">
      <c r="B326" s="66">
        <f t="shared" si="0"/>
        <v>63.97571084000252</v>
      </c>
      <c r="C326" s="66">
        <f t="shared" si="8"/>
        <v>55.04351515334848</v>
      </c>
      <c r="D326" s="66">
        <f t="shared" si="2"/>
        <v>-55.04351515334848</v>
      </c>
      <c r="F326" s="67"/>
      <c r="N326" s="14">
        <f t="shared" si="7"/>
        <v>-180.94999999999936</v>
      </c>
      <c r="O326" s="14">
        <f t="shared" si="3"/>
        <v>-379.75656374888462</v>
      </c>
      <c r="P326" s="14">
        <f t="shared" si="4"/>
        <v>198.80656374888525</v>
      </c>
      <c r="Q326" s="14">
        <f t="shared" si="5"/>
        <v>-379.75656374888462</v>
      </c>
      <c r="R326" s="14">
        <f t="shared" si="6"/>
        <v>198.80656374888525</v>
      </c>
    </row>
    <row r="327" spans="2:18" x14ac:dyDescent="0.25">
      <c r="B327" s="66">
        <f t="shared" si="0"/>
        <v>65.104230007275476</v>
      </c>
      <c r="C327" s="66">
        <f t="shared" si="8"/>
        <v>54.776790556641302</v>
      </c>
      <c r="D327" s="66">
        <f t="shared" si="2"/>
        <v>-54.776790556641302</v>
      </c>
      <c r="F327" s="67"/>
      <c r="N327" s="14">
        <f t="shared" si="7"/>
        <v>-176.83749999999935</v>
      </c>
      <c r="O327" s="14">
        <f t="shared" si="3"/>
        <v>-379.6014657392974</v>
      </c>
      <c r="P327" s="14">
        <f t="shared" si="4"/>
        <v>202.76396573929807</v>
      </c>
      <c r="Q327" s="14">
        <f t="shared" si="5"/>
        <v>-379.6014657392974</v>
      </c>
      <c r="R327" s="14">
        <f t="shared" si="6"/>
        <v>202.76396573929807</v>
      </c>
    </row>
    <row r="328" spans="2:18" x14ac:dyDescent="0.25">
      <c r="B328" s="66">
        <f t="shared" si="0"/>
        <v>66.232749174548431</v>
      </c>
      <c r="C328" s="66">
        <f t="shared" si="8"/>
        <v>54.485391582639714</v>
      </c>
      <c r="D328" s="66">
        <f t="shared" si="2"/>
        <v>-54.485391582639714</v>
      </c>
      <c r="F328" s="67"/>
      <c r="N328" s="14">
        <f t="shared" si="7"/>
        <v>-172.72499999999934</v>
      </c>
      <c r="O328" s="14">
        <f t="shared" si="3"/>
        <v>-379.39075082447255</v>
      </c>
      <c r="P328" s="14">
        <f t="shared" si="4"/>
        <v>206.66575082447321</v>
      </c>
      <c r="Q328" s="14">
        <f t="shared" si="5"/>
        <v>-379.39075082447255</v>
      </c>
      <c r="R328" s="14">
        <f t="shared" si="6"/>
        <v>206.66575082447321</v>
      </c>
    </row>
    <row r="329" spans="2:18" x14ac:dyDescent="0.25">
      <c r="B329" s="66">
        <f t="shared" si="0"/>
        <v>67.361268341821386</v>
      </c>
      <c r="C329" s="66">
        <f t="shared" si="8"/>
        <v>54.168920029101749</v>
      </c>
      <c r="D329" s="66">
        <f t="shared" si="2"/>
        <v>-54.168920029101749</v>
      </c>
      <c r="F329" s="67"/>
      <c r="N329" s="14">
        <f t="shared" si="7"/>
        <v>-168.61249999999933</v>
      </c>
      <c r="O329" s="14">
        <f t="shared" si="3"/>
        <v>-379.12546347295608</v>
      </c>
      <c r="P329" s="14">
        <f t="shared" si="4"/>
        <v>210.51296347295678</v>
      </c>
      <c r="Q329" s="14">
        <f t="shared" si="5"/>
        <v>-379.12546347295608</v>
      </c>
      <c r="R329" s="14">
        <f t="shared" si="6"/>
        <v>210.51296347295678</v>
      </c>
    </row>
    <row r="330" spans="2:18" x14ac:dyDescent="0.25">
      <c r="B330" s="66">
        <f t="shared" ref="B330:B365" si="9">B329+0.01*($C$21-$C$22)</f>
        <v>68.489787509094342</v>
      </c>
      <c r="C330" s="66">
        <f t="shared" ref="C330:C361" si="10">SQRT($C$257^2-(B330-$C$20)^2)</f>
        <v>53.826933660603871</v>
      </c>
      <c r="D330" s="66">
        <f t="shared" ref="D330:D365" si="11">-C330</f>
        <v>-53.826933660603871</v>
      </c>
      <c r="F330" s="67"/>
      <c r="N330" s="14">
        <f t="shared" si="7"/>
        <v>-164.49999999999932</v>
      </c>
      <c r="O330" s="14">
        <f t="shared" si="3"/>
        <v>-378.80659240691307</v>
      </c>
      <c r="P330" s="14">
        <f t="shared" si="4"/>
        <v>214.30659240691375</v>
      </c>
      <c r="Q330" s="14">
        <f t="shared" si="5"/>
        <v>-378.80659240691307</v>
      </c>
      <c r="R330" s="14">
        <f t="shared" si="6"/>
        <v>214.30659240691375</v>
      </c>
    </row>
    <row r="331" spans="2:18" x14ac:dyDescent="0.25">
      <c r="B331" s="66">
        <f t="shared" si="9"/>
        <v>69.618306676367297</v>
      </c>
      <c r="C331" s="66">
        <f t="shared" si="10"/>
        <v>53.458942810956088</v>
      </c>
      <c r="D331" s="66">
        <f t="shared" si="11"/>
        <v>-53.458942810956088</v>
      </c>
      <c r="F331" s="67"/>
      <c r="N331" s="14">
        <f t="shared" si="7"/>
        <v>-160.38749999999931</v>
      </c>
      <c r="O331" s="14">
        <f t="shared" si="3"/>
        <v>-378.43507406964068</v>
      </c>
      <c r="P331" s="14">
        <f t="shared" si="4"/>
        <v>218.0475740696414</v>
      </c>
      <c r="Q331" s="14">
        <f t="shared" si="5"/>
        <v>-378.43507406964068</v>
      </c>
      <c r="R331" s="14">
        <f t="shared" si="6"/>
        <v>218.0475740696414</v>
      </c>
    </row>
    <row r="332" spans="2:18" x14ac:dyDescent="0.25">
      <c r="B332" s="66">
        <f t="shared" si="9"/>
        <v>70.746825843640252</v>
      </c>
      <c r="C332" s="66">
        <f t="shared" si="10"/>
        <v>53.064406475577329</v>
      </c>
      <c r="D332" s="66">
        <f t="shared" si="11"/>
        <v>-53.064406475577329</v>
      </c>
      <c r="F332" s="67"/>
      <c r="N332" s="14">
        <f t="shared" si="7"/>
        <v>-156.2749999999993</v>
      </c>
      <c r="O332" s="14">
        <f t="shared" si="3"/>
        <v>-378.01179579950656</v>
      </c>
      <c r="P332" s="14">
        <f t="shared" si="4"/>
        <v>221.73679579950726</v>
      </c>
      <c r="Q332" s="14">
        <f t="shared" si="5"/>
        <v>-378.01179579950656</v>
      </c>
      <c r="R332" s="14">
        <f t="shared" si="6"/>
        <v>221.73679579950726</v>
      </c>
    </row>
    <row r="333" spans="2:18" x14ac:dyDescent="0.25">
      <c r="B333" s="66">
        <f t="shared" si="9"/>
        <v>71.875345010913207</v>
      </c>
      <c r="C333" s="66">
        <f t="shared" si="10"/>
        <v>52.642727814235727</v>
      </c>
      <c r="D333" s="66">
        <f t="shared" si="11"/>
        <v>-52.642727814235727</v>
      </c>
      <c r="F333" s="67"/>
      <c r="N333" s="14">
        <f t="shared" si="7"/>
        <v>-152.16249999999928</v>
      </c>
      <c r="O333" s="14">
        <f t="shared" si="3"/>
        <v>-377.53759873943602</v>
      </c>
      <c r="P333" s="14">
        <f t="shared" si="4"/>
        <v>225.37509873943671</v>
      </c>
      <c r="Q333" s="14">
        <f t="shared" si="5"/>
        <v>-377.53759873943602</v>
      </c>
      <c r="R333" s="14">
        <f t="shared" si="6"/>
        <v>225.37509873943671</v>
      </c>
    </row>
    <row r="334" spans="2:18" x14ac:dyDescent="0.25">
      <c r="B334" s="66">
        <f t="shared" si="9"/>
        <v>73.003864178186163</v>
      </c>
      <c r="C334" s="66">
        <f t="shared" si="10"/>
        <v>52.193248967853279</v>
      </c>
      <c r="D334" s="66">
        <f t="shared" si="11"/>
        <v>-52.193248967853279</v>
      </c>
      <c r="F334" s="67"/>
      <c r="N334" s="14">
        <f t="shared" si="7"/>
        <v>-148.04999999999927</v>
      </c>
      <c r="O334" s="14">
        <f t="shared" ref="O334:O397" si="12">(1/2)*(N334-SQRT(4*S_y^2-3*N334^2))</f>
        <v>-377.01328050767893</v>
      </c>
      <c r="P334" s="14">
        <f t="shared" ref="P334:P397" si="13">(1/2)*(N334+SQRT(4*S_y^2-3*N334^2))</f>
        <v>228.96328050767966</v>
      </c>
      <c r="Q334" s="14">
        <f t="shared" si="5"/>
        <v>-377.01328050767893</v>
      </c>
      <c r="R334" s="14">
        <f t="shared" si="6"/>
        <v>228.96328050767966</v>
      </c>
    </row>
    <row r="335" spans="2:18" x14ac:dyDescent="0.25">
      <c r="B335" s="66">
        <f t="shared" si="9"/>
        <v>74.132383345459118</v>
      </c>
      <c r="C335" s="66">
        <f t="shared" si="10"/>
        <v>51.715245072368376</v>
      </c>
      <c r="D335" s="66">
        <f t="shared" si="11"/>
        <v>-51.715245072368376</v>
      </c>
      <c r="F335" s="67"/>
      <c r="N335" s="14">
        <f t="shared" si="7"/>
        <v>-143.93749999999926</v>
      </c>
      <c r="O335" s="14">
        <f t="shared" si="12"/>
        <v>-376.4395976526323</v>
      </c>
      <c r="P335" s="14">
        <f t="shared" si="13"/>
        <v>232.50209765263307</v>
      </c>
      <c r="Q335" s="14">
        <f t="shared" ref="Q335:Q398" si="14">IF(ISNUMBER(O335),O335,IF(AND(ISNUMBER(O334),NOT(ISNUMBER(O335))),N335/2,IF(AND(ISNUMBER(O336),NOT(ISNUMBER(O335))),N335/2,NA())))</f>
        <v>-376.4395976526323</v>
      </c>
      <c r="R335" s="14">
        <f t="shared" ref="R335:R398" si="15">IF(ISNUMBER(P335),P335,IF(AND(ISNUMBER(P334),NOT(ISNUMBER(P335))),N335/2,IF(AND(ISNUMBER(P336),NOT(ISNUMBER(P335))),N335/2,NA())))</f>
        <v>232.50209765263307</v>
      </c>
    </row>
    <row r="336" spans="2:18" x14ac:dyDescent="0.25">
      <c r="B336" s="66">
        <f t="shared" si="9"/>
        <v>75.260902512732073</v>
      </c>
      <c r="C336" s="66">
        <f t="shared" si="10"/>
        <v>51.207917326797435</v>
      </c>
      <c r="D336" s="66">
        <f t="shared" si="11"/>
        <v>-51.207917326797435</v>
      </c>
      <c r="F336" s="67"/>
      <c r="N336" s="14">
        <f t="shared" ref="N336:N399" si="16">N335+0.005*2*(-$N$270)</f>
        <v>-139.82499999999925</v>
      </c>
      <c r="O336" s="14">
        <f t="shared" si="12"/>
        <v>-375.81726791192705</v>
      </c>
      <c r="P336" s="14">
        <f t="shared" si="13"/>
        <v>235.9922679119278</v>
      </c>
      <c r="Q336" s="14">
        <f t="shared" si="14"/>
        <v>-375.81726791192705</v>
      </c>
      <c r="R336" s="14">
        <f t="shared" si="15"/>
        <v>235.9922679119278</v>
      </c>
    </row>
    <row r="337" spans="2:18" x14ac:dyDescent="0.25">
      <c r="B337" s="66">
        <f t="shared" si="9"/>
        <v>76.389421680005029</v>
      </c>
      <c r="C337" s="66">
        <f t="shared" si="10"/>
        <v>50.670384940113848</v>
      </c>
      <c r="D337" s="66">
        <f t="shared" si="11"/>
        <v>-50.670384940113848</v>
      </c>
      <c r="F337" s="67"/>
      <c r="N337" s="14">
        <f t="shared" si="16"/>
        <v>-135.71249999999924</v>
      </c>
      <c r="O337" s="14">
        <f t="shared" si="12"/>
        <v>-375.14697229374644</v>
      </c>
      <c r="P337" s="14">
        <f t="shared" si="13"/>
        <v>239.43447229374723</v>
      </c>
      <c r="Q337" s="14">
        <f t="shared" si="14"/>
        <v>-375.14697229374644</v>
      </c>
      <c r="R337" s="14">
        <f t="shared" si="15"/>
        <v>239.43447229374723</v>
      </c>
    </row>
    <row r="338" spans="2:18" x14ac:dyDescent="0.25">
      <c r="B338" s="66">
        <f t="shared" si="9"/>
        <v>77.517940847277984</v>
      </c>
      <c r="C338" s="66">
        <f t="shared" si="10"/>
        <v>50.101675740325355</v>
      </c>
      <c r="D338" s="66">
        <f t="shared" si="11"/>
        <v>-50.101675740325355</v>
      </c>
      <c r="F338" s="67"/>
      <c r="N338" s="14">
        <f t="shared" si="16"/>
        <v>-131.59999999999923</v>
      </c>
      <c r="O338" s="14">
        <f t="shared" si="12"/>
        <v>-374.4293569963815</v>
      </c>
      <c r="P338" s="14">
        <f t="shared" si="13"/>
        <v>242.82935699638227</v>
      </c>
      <c r="Q338" s="14">
        <f t="shared" si="14"/>
        <v>-374.4293569963815</v>
      </c>
      <c r="R338" s="14">
        <f t="shared" si="15"/>
        <v>242.82935699638227</v>
      </c>
    </row>
    <row r="339" spans="2:18" x14ac:dyDescent="0.25">
      <c r="B339" s="66">
        <f t="shared" si="9"/>
        <v>78.646460014550939</v>
      </c>
      <c r="C339" s="66">
        <f t="shared" si="10"/>
        <v>49.500715176412264</v>
      </c>
      <c r="D339" s="66">
        <f t="shared" si="11"/>
        <v>-49.500715176412264</v>
      </c>
      <c r="F339" s="67"/>
      <c r="N339" s="14">
        <f t="shared" si="16"/>
        <v>-127.48749999999923</v>
      </c>
      <c r="O339" s="14">
        <f t="shared" si="12"/>
        <v>-373.66503518030578</v>
      </c>
      <c r="P339" s="14">
        <f t="shared" si="13"/>
        <v>246.17753518030653</v>
      </c>
      <c r="Q339" s="14">
        <f t="shared" si="14"/>
        <v>-373.66503518030578</v>
      </c>
      <c r="R339" s="14">
        <f t="shared" si="15"/>
        <v>246.17753518030653</v>
      </c>
    </row>
    <row r="340" spans="2:18" x14ac:dyDescent="0.25">
      <c r="B340" s="66">
        <f t="shared" si="9"/>
        <v>79.774979181823895</v>
      </c>
      <c r="C340" s="66">
        <f t="shared" si="10"/>
        <v>48.866313375801859</v>
      </c>
      <c r="D340" s="66">
        <f t="shared" si="11"/>
        <v>-48.866313375801859</v>
      </c>
      <c r="F340" s="67"/>
      <c r="N340" s="14">
        <f t="shared" si="16"/>
        <v>-123.37499999999923</v>
      </c>
      <c r="O340" s="14">
        <f t="shared" si="12"/>
        <v>-372.85458860554309</v>
      </c>
      <c r="P340" s="14">
        <f t="shared" si="13"/>
        <v>249.47958860554388</v>
      </c>
      <c r="Q340" s="14">
        <f t="shared" si="14"/>
        <v>-372.85458860554309</v>
      </c>
      <c r="R340" s="14">
        <f t="shared" si="15"/>
        <v>249.47958860554388</v>
      </c>
    </row>
    <row r="341" spans="2:18" x14ac:dyDescent="0.25">
      <c r="B341" s="66">
        <f t="shared" si="9"/>
        <v>80.90349834909685</v>
      </c>
      <c r="C341" s="66">
        <f t="shared" si="10"/>
        <v>48.197149831562101</v>
      </c>
      <c r="D341" s="66">
        <f t="shared" si="11"/>
        <v>-48.197149831562101</v>
      </c>
      <c r="F341" s="67"/>
      <c r="N341" s="14">
        <f t="shared" si="16"/>
        <v>-119.26249999999924</v>
      </c>
      <c r="O341" s="14">
        <f t="shared" si="12"/>
        <v>-371.99856914576532</v>
      </c>
      <c r="P341" s="14">
        <f t="shared" si="13"/>
        <v>252.73606914576607</v>
      </c>
      <c r="Q341" s="14">
        <f t="shared" si="14"/>
        <v>-371.99856914576532</v>
      </c>
      <c r="R341" s="14">
        <f t="shared" si="15"/>
        <v>252.73606914576607</v>
      </c>
    </row>
    <row r="342" spans="2:18" x14ac:dyDescent="0.25">
      <c r="B342" s="66">
        <f t="shared" si="9"/>
        <v>82.032017516369805</v>
      </c>
      <c r="C342" s="66">
        <f t="shared" si="10"/>
        <v>47.491755177169622</v>
      </c>
      <c r="D342" s="66">
        <f t="shared" si="11"/>
        <v>-47.491755177169622</v>
      </c>
      <c r="F342" s="67"/>
      <c r="N342" s="14">
        <f t="shared" si="16"/>
        <v>-115.14999999999924</v>
      </c>
      <c r="O342" s="14">
        <f t="shared" si="12"/>
        <v>-371.09750018938018</v>
      </c>
      <c r="P342" s="14">
        <f t="shared" si="13"/>
        <v>255.94750018938092</v>
      </c>
      <c r="Q342" s="14">
        <f t="shared" si="14"/>
        <v>-371.09750018938018</v>
      </c>
      <c r="R342" s="14">
        <f t="shared" si="15"/>
        <v>255.94750018938092</v>
      </c>
    </row>
    <row r="343" spans="2:18" x14ac:dyDescent="0.25">
      <c r="B343" s="66">
        <f t="shared" si="9"/>
        <v>83.160536683642761</v>
      </c>
      <c r="C343" s="66">
        <f t="shared" si="10"/>
        <v>46.74848935215536</v>
      </c>
      <c r="D343" s="66">
        <f t="shared" si="11"/>
        <v>-46.74848935215536</v>
      </c>
      <c r="F343" s="67"/>
      <c r="N343" s="14">
        <f t="shared" si="16"/>
        <v>-111.03749999999924</v>
      </c>
      <c r="O343" s="14">
        <f t="shared" si="12"/>
        <v>-370.15187793682799</v>
      </c>
      <c r="P343" s="14">
        <f t="shared" si="13"/>
        <v>259.11437793682876</v>
      </c>
      <c r="Q343" s="14">
        <f t="shared" si="14"/>
        <v>-370.15187793682799</v>
      </c>
      <c r="R343" s="14">
        <f t="shared" si="15"/>
        <v>259.11437793682876</v>
      </c>
    </row>
    <row r="344" spans="2:18" x14ac:dyDescent="0.25">
      <c r="B344" s="66">
        <f t="shared" si="9"/>
        <v>84.289055850915716</v>
      </c>
      <c r="C344" s="66">
        <f t="shared" si="10"/>
        <v>45.965515254233182</v>
      </c>
      <c r="D344" s="66">
        <f t="shared" si="11"/>
        <v>-45.965515254233182</v>
      </c>
      <c r="F344" s="67"/>
      <c r="N344" s="14">
        <f t="shared" si="16"/>
        <v>-106.92499999999924</v>
      </c>
      <c r="O344" s="14">
        <f t="shared" si="12"/>
        <v>-369.16217260237994</v>
      </c>
      <c r="P344" s="14">
        <f t="shared" si="13"/>
        <v>262.23717260238067</v>
      </c>
      <c r="Q344" s="14">
        <f t="shared" si="14"/>
        <v>-369.16217260237994</v>
      </c>
      <c r="R344" s="14">
        <f t="shared" si="15"/>
        <v>262.23717260238067</v>
      </c>
    </row>
    <row r="345" spans="2:18" x14ac:dyDescent="0.25">
      <c r="B345" s="66">
        <f t="shared" si="9"/>
        <v>85.417575018188671</v>
      </c>
      <c r="C345" s="66">
        <f t="shared" si="10"/>
        <v>45.140766690918078</v>
      </c>
      <c r="D345" s="66">
        <f t="shared" si="11"/>
        <v>-45.140766690918078</v>
      </c>
      <c r="F345" s="67"/>
      <c r="N345" s="14">
        <f t="shared" si="16"/>
        <v>-102.81249999999925</v>
      </c>
      <c r="O345" s="14">
        <f t="shared" si="12"/>
        <v>-368.12882952790858</v>
      </c>
      <c r="P345" s="14">
        <f t="shared" si="13"/>
        <v>265.31632952790937</v>
      </c>
      <c r="Q345" s="14">
        <f t="shared" si="14"/>
        <v>-368.12882952790858</v>
      </c>
      <c r="R345" s="14">
        <f t="shared" si="15"/>
        <v>265.31632952790937</v>
      </c>
    </row>
    <row r="346" spans="2:18" x14ac:dyDescent="0.25">
      <c r="B346" s="66">
        <f t="shared" si="9"/>
        <v>86.546094185461627</v>
      </c>
      <c r="C346" s="66">
        <f t="shared" si="10"/>
        <v>44.271909053923231</v>
      </c>
      <c r="D346" s="66">
        <f t="shared" si="11"/>
        <v>-44.271909053923231</v>
      </c>
      <c r="F346" s="67"/>
      <c r="N346" s="14">
        <f t="shared" si="16"/>
        <v>-98.69999999999925</v>
      </c>
      <c r="O346" s="14">
        <f t="shared" si="12"/>
        <v>-367.05227021536984</v>
      </c>
      <c r="P346" s="14">
        <f t="shared" si="13"/>
        <v>268.35227021537059</v>
      </c>
      <c r="Q346" s="14">
        <f t="shared" si="14"/>
        <v>-367.05227021536984</v>
      </c>
      <c r="R346" s="14">
        <f t="shared" si="15"/>
        <v>268.35227021537059</v>
      </c>
    </row>
    <row r="347" spans="2:18" x14ac:dyDescent="0.25">
      <c r="B347" s="66">
        <f t="shared" si="9"/>
        <v>87.674613352734582</v>
      </c>
      <c r="C347" s="66">
        <f t="shared" si="10"/>
        <v>43.356290594237834</v>
      </c>
      <c r="D347" s="66">
        <f t="shared" si="11"/>
        <v>-43.356290594237834</v>
      </c>
      <c r="F347" s="67"/>
      <c r="N347" s="14">
        <f t="shared" si="16"/>
        <v>-94.587499999999253</v>
      </c>
      <c r="O347" s="14">
        <f t="shared" si="12"/>
        <v>-365.93289328407985</v>
      </c>
      <c r="P347" s="14">
        <f t="shared" si="13"/>
        <v>271.34539328408056</v>
      </c>
      <c r="Q347" s="14">
        <f t="shared" si="14"/>
        <v>-365.93289328407985</v>
      </c>
      <c r="R347" s="14">
        <f t="shared" si="15"/>
        <v>271.34539328408056</v>
      </c>
    </row>
    <row r="348" spans="2:18" x14ac:dyDescent="0.25">
      <c r="B348" s="66">
        <f t="shared" si="9"/>
        <v>88.803132520007537</v>
      </c>
      <c r="C348" s="66">
        <f t="shared" si="10"/>
        <v>42.390881400170684</v>
      </c>
      <c r="D348" s="66">
        <f t="shared" si="11"/>
        <v>-42.390881400170684</v>
      </c>
      <c r="F348" s="67"/>
      <c r="N348" s="14">
        <f t="shared" si="16"/>
        <v>-90.474999999999255</v>
      </c>
      <c r="O348" s="14">
        <f t="shared" si="12"/>
        <v>-364.77107535828662</v>
      </c>
      <c r="P348" s="14">
        <f t="shared" si="13"/>
        <v>274.2960753582874</v>
      </c>
      <c r="Q348" s="14">
        <f t="shared" si="14"/>
        <v>-364.77107535828662</v>
      </c>
      <c r="R348" s="14">
        <f t="shared" si="15"/>
        <v>274.2960753582874</v>
      </c>
    </row>
    <row r="349" spans="2:18" x14ac:dyDescent="0.25">
      <c r="B349" s="66">
        <f t="shared" si="9"/>
        <v>89.931651687280493</v>
      </c>
      <c r="C349" s="66">
        <f t="shared" si="10"/>
        <v>41.372196057894648</v>
      </c>
      <c r="D349" s="66">
        <f t="shared" si="11"/>
        <v>-41.372196057894648</v>
      </c>
      <c r="F349" s="67"/>
      <c r="N349" s="14">
        <f t="shared" si="16"/>
        <v>-86.362499999999258</v>
      </c>
      <c r="O349" s="14">
        <f t="shared" si="12"/>
        <v>-363.5671718900112</v>
      </c>
      <c r="P349" s="14">
        <f t="shared" si="13"/>
        <v>277.20467189001192</v>
      </c>
      <c r="Q349" s="14">
        <f t="shared" si="14"/>
        <v>-363.5671718900112</v>
      </c>
      <c r="R349" s="14">
        <f t="shared" si="15"/>
        <v>277.20467189001192</v>
      </c>
    </row>
    <row r="350" spans="2:18" x14ac:dyDescent="0.25">
      <c r="B350" s="66">
        <f t="shared" si="9"/>
        <v>91.060170854553448</v>
      </c>
      <c r="C350" s="66">
        <f t="shared" si="10"/>
        <v>40.296194316592782</v>
      </c>
      <c r="D350" s="66">
        <f t="shared" si="11"/>
        <v>-40.296194316592782</v>
      </c>
      <c r="F350" s="67"/>
      <c r="N350" s="14">
        <f t="shared" si="16"/>
        <v>-82.249999999999261</v>
      </c>
      <c r="O350" s="14">
        <f t="shared" si="12"/>
        <v>-362.32151792166098</v>
      </c>
      <c r="P350" s="14">
        <f t="shared" si="13"/>
        <v>280.07151792166167</v>
      </c>
      <c r="Q350" s="14">
        <f t="shared" si="14"/>
        <v>-362.32151792166098</v>
      </c>
      <c r="R350" s="14">
        <f t="shared" si="15"/>
        <v>280.07151792166167</v>
      </c>
    </row>
    <row r="351" spans="2:18" x14ac:dyDescent="0.25">
      <c r="B351" s="66">
        <f t="shared" si="9"/>
        <v>92.188690021826403</v>
      </c>
      <c r="C351" s="66">
        <f t="shared" si="10"/>
        <v>39.158151579543826</v>
      </c>
      <c r="D351" s="66">
        <f t="shared" si="11"/>
        <v>-39.158151579543826</v>
      </c>
      <c r="F351" s="67"/>
      <c r="N351" s="14">
        <f t="shared" si="16"/>
        <v>-78.137499999999264</v>
      </c>
      <c r="O351" s="14">
        <f t="shared" si="12"/>
        <v>-361.03442879249542</v>
      </c>
      <c r="P351" s="14">
        <f t="shared" si="13"/>
        <v>282.89692879249617</v>
      </c>
      <c r="Q351" s="14">
        <f t="shared" si="14"/>
        <v>-361.03442879249542</v>
      </c>
      <c r="R351" s="14">
        <f t="shared" si="15"/>
        <v>282.89692879249617</v>
      </c>
    </row>
    <row r="352" spans="2:18" x14ac:dyDescent="0.25">
      <c r="B352" s="66">
        <f t="shared" si="9"/>
        <v>93.317209189099358</v>
      </c>
      <c r="C352" s="66">
        <f t="shared" si="10"/>
        <v>37.952487175818298</v>
      </c>
      <c r="D352" s="66">
        <f t="shared" si="11"/>
        <v>-37.952487175818298</v>
      </c>
      <c r="F352" s="67"/>
      <c r="N352" s="14">
        <f t="shared" si="16"/>
        <v>-74.024999999999267</v>
      </c>
      <c r="O352" s="14">
        <f t="shared" si="12"/>
        <v>-359.70620079263995</v>
      </c>
      <c r="P352" s="14">
        <f t="shared" si="13"/>
        <v>285.68120079264065</v>
      </c>
      <c r="Q352" s="14">
        <f t="shared" si="14"/>
        <v>-359.70620079263995</v>
      </c>
      <c r="R352" s="14">
        <f t="shared" si="15"/>
        <v>285.68120079264065</v>
      </c>
    </row>
    <row r="353" spans="2:18" x14ac:dyDescent="0.25">
      <c r="B353" s="66">
        <f t="shared" si="9"/>
        <v>94.445728356372314</v>
      </c>
      <c r="C353" s="66">
        <f t="shared" si="10"/>
        <v>36.672532221172965</v>
      </c>
      <c r="D353" s="66">
        <f t="shared" si="11"/>
        <v>-36.672532221172965</v>
      </c>
      <c r="F353" s="67"/>
      <c r="N353" s="14">
        <f t="shared" si="16"/>
        <v>-69.91249999999927</v>
      </c>
      <c r="O353" s="14">
        <f t="shared" si="12"/>
        <v>-358.33711176799693</v>
      </c>
      <c r="P353" s="14">
        <f t="shared" si="13"/>
        <v>288.4246117679977</v>
      </c>
      <c r="Q353" s="14">
        <f t="shared" si="14"/>
        <v>-358.33711176799693</v>
      </c>
      <c r="R353" s="14">
        <f t="shared" si="15"/>
        <v>288.4246117679977</v>
      </c>
    </row>
    <row r="354" spans="2:18" x14ac:dyDescent="0.25">
      <c r="B354" s="66">
        <f t="shared" si="9"/>
        <v>95.574247523645269</v>
      </c>
      <c r="C354" s="66">
        <f t="shared" si="10"/>
        <v>35.310208795382124</v>
      </c>
      <c r="D354" s="66">
        <f t="shared" si="11"/>
        <v>-35.310208795382124</v>
      </c>
      <c r="F354" s="67"/>
      <c r="N354" s="14">
        <f t="shared" si="16"/>
        <v>-65.799999999999272</v>
      </c>
      <c r="O354" s="14">
        <f t="shared" si="12"/>
        <v>-356.92742167909159</v>
      </c>
      <c r="P354" s="14">
        <f t="shared" si="13"/>
        <v>291.12742167909232</v>
      </c>
      <c r="Q354" s="14">
        <f t="shared" si="14"/>
        <v>-356.92742167909159</v>
      </c>
      <c r="R354" s="14">
        <f t="shared" si="15"/>
        <v>291.12742167909232</v>
      </c>
    </row>
    <row r="355" spans="2:18" x14ac:dyDescent="0.25">
      <c r="B355" s="66">
        <f t="shared" si="9"/>
        <v>96.702766690918224</v>
      </c>
      <c r="C355" s="66">
        <f t="shared" si="10"/>
        <v>33.855575018188475</v>
      </c>
      <c r="D355" s="66">
        <f t="shared" si="11"/>
        <v>-33.855575018188475</v>
      </c>
      <c r="F355" s="67"/>
      <c r="N355" s="14">
        <f t="shared" si="16"/>
        <v>-61.687499999999275</v>
      </c>
      <c r="O355" s="14">
        <f t="shared" si="12"/>
        <v>-355.47737311660256</v>
      </c>
      <c r="P355" s="14">
        <f t="shared" si="13"/>
        <v>293.78987311660325</v>
      </c>
      <c r="Q355" s="14">
        <f t="shared" si="14"/>
        <v>-355.47737311660256</v>
      </c>
      <c r="R355" s="14">
        <f t="shared" si="15"/>
        <v>293.78987311660325</v>
      </c>
    </row>
    <row r="356" spans="2:18" x14ac:dyDescent="0.25">
      <c r="B356" s="66">
        <f t="shared" si="9"/>
        <v>97.83128585819118</v>
      </c>
      <c r="C356" s="66">
        <f t="shared" si="10"/>
        <v>32.296160196362194</v>
      </c>
      <c r="D356" s="66">
        <f t="shared" si="11"/>
        <v>-32.296160196362194</v>
      </c>
      <c r="F356" s="67"/>
      <c r="N356" s="14">
        <f t="shared" si="16"/>
        <v>-57.574999999999278</v>
      </c>
      <c r="O356" s="14">
        <f t="shared" si="12"/>
        <v>-353.9871917760683</v>
      </c>
      <c r="P356" s="14">
        <f t="shared" si="13"/>
        <v>296.41219177606905</v>
      </c>
      <c r="Q356" s="14">
        <f t="shared" si="14"/>
        <v>-353.9871917760683</v>
      </c>
      <c r="R356" s="14">
        <f t="shared" si="15"/>
        <v>296.41219177606905</v>
      </c>
    </row>
    <row r="357" spans="2:18" x14ac:dyDescent="0.25">
      <c r="B357" s="66">
        <f t="shared" si="9"/>
        <v>98.959805025464135</v>
      </c>
      <c r="C357" s="66">
        <f t="shared" si="10"/>
        <v>30.615957538907494</v>
      </c>
      <c r="D357" s="66">
        <f t="shared" si="11"/>
        <v>-30.615957538907494</v>
      </c>
      <c r="F357" s="67"/>
      <c r="N357" s="14">
        <f t="shared" si="16"/>
        <v>-53.462499999999281</v>
      </c>
      <c r="O357" s="14">
        <f t="shared" si="12"/>
        <v>-352.45708689402397</v>
      </c>
      <c r="P357" s="14">
        <f t="shared" si="13"/>
        <v>298.99458689402468</v>
      </c>
      <c r="Q357" s="14">
        <f t="shared" si="14"/>
        <v>-352.45708689402397</v>
      </c>
      <c r="R357" s="14">
        <f t="shared" si="15"/>
        <v>298.99458689402468</v>
      </c>
    </row>
    <row r="358" spans="2:18" x14ac:dyDescent="0.25">
      <c r="B358" s="66">
        <f t="shared" si="9"/>
        <v>100.08832419273709</v>
      </c>
      <c r="C358" s="66">
        <f t="shared" si="10"/>
        <v>28.7938298528952</v>
      </c>
      <c r="D358" s="66">
        <f t="shared" si="11"/>
        <v>-28.7938298528952</v>
      </c>
      <c r="F358" s="67"/>
      <c r="N358" s="14">
        <f t="shared" si="16"/>
        <v>-49.349999999999284</v>
      </c>
      <c r="O358" s="14">
        <f t="shared" si="12"/>
        <v>-350.8872516476041</v>
      </c>
      <c r="P358" s="14">
        <f t="shared" si="13"/>
        <v>301.53725164760488</v>
      </c>
      <c r="Q358" s="14">
        <f t="shared" si="14"/>
        <v>-350.8872516476041</v>
      </c>
      <c r="R358" s="14">
        <f t="shared" si="15"/>
        <v>301.53725164760488</v>
      </c>
    </row>
    <row r="359" spans="2:18" x14ac:dyDescent="0.25">
      <c r="B359" s="66">
        <f t="shared" si="9"/>
        <v>101.21684336001005</v>
      </c>
      <c r="C359" s="66">
        <f t="shared" si="10"/>
        <v>26.800845287956239</v>
      </c>
      <c r="D359" s="66">
        <f t="shared" si="11"/>
        <v>-26.800845287956239</v>
      </c>
      <c r="F359" s="67"/>
      <c r="N359" s="14">
        <f t="shared" si="16"/>
        <v>-45.237499999999287</v>
      </c>
      <c r="O359" s="14">
        <f t="shared" si="12"/>
        <v>-349.27786351944906</v>
      </c>
      <c r="P359" s="14">
        <f t="shared" si="13"/>
        <v>304.04036351944978</v>
      </c>
      <c r="Q359" s="14">
        <f t="shared" si="14"/>
        <v>-349.27786351944906</v>
      </c>
      <c r="R359" s="14">
        <f t="shared" si="15"/>
        <v>304.04036351944978</v>
      </c>
    </row>
    <row r="360" spans="2:18" x14ac:dyDescent="0.25">
      <c r="B360" s="66">
        <f t="shared" si="9"/>
        <v>102.345362527283</v>
      </c>
      <c r="C360" s="66">
        <f t="shared" si="10"/>
        <v>24.59550502995717</v>
      </c>
      <c r="D360" s="66">
        <f t="shared" si="11"/>
        <v>-24.59550502995717</v>
      </c>
      <c r="F360" s="67"/>
      <c r="N360" s="14">
        <f t="shared" si="16"/>
        <v>-41.124999999999289</v>
      </c>
      <c r="O360" s="14">
        <f t="shared" si="12"/>
        <v>-347.62908462956716</v>
      </c>
      <c r="P360" s="14">
        <f t="shared" si="13"/>
        <v>306.50408462956784</v>
      </c>
      <c r="Q360" s="14">
        <f t="shared" si="14"/>
        <v>-347.62908462956716</v>
      </c>
      <c r="R360" s="14">
        <f t="shared" si="15"/>
        <v>306.50408462956784</v>
      </c>
    </row>
    <row r="361" spans="2:18" x14ac:dyDescent="0.25">
      <c r="B361" s="66">
        <f t="shared" si="9"/>
        <v>103.47388169455596</v>
      </c>
      <c r="C361" s="66">
        <f t="shared" si="10"/>
        <v>22.114368998154259</v>
      </c>
      <c r="D361" s="66">
        <f t="shared" si="11"/>
        <v>-22.114368998154259</v>
      </c>
      <c r="F361" s="67"/>
      <c r="N361" s="14">
        <f t="shared" si="16"/>
        <v>-37.012499999999292</v>
      </c>
      <c r="O361" s="14">
        <f t="shared" si="12"/>
        <v>-345.94106203563604</v>
      </c>
      <c r="P361" s="14">
        <f t="shared" si="13"/>
        <v>308.92856203563679</v>
      </c>
      <c r="Q361" s="14">
        <f t="shared" si="14"/>
        <v>-345.94106203563604</v>
      </c>
      <c r="R361" s="14">
        <f t="shared" si="15"/>
        <v>308.92856203563679</v>
      </c>
    </row>
    <row r="362" spans="2:18" x14ac:dyDescent="0.25">
      <c r="B362" s="66">
        <f t="shared" si="9"/>
        <v>104.60240086182891</v>
      </c>
      <c r="C362" s="66">
        <f t="shared" ref="C362:C364" si="17">SQRT($C$257^2-(B362-$C$20)^2)</f>
        <v>19.251094869450906</v>
      </c>
      <c r="D362" s="66">
        <f t="shared" si="11"/>
        <v>-19.251094869450906</v>
      </c>
      <c r="F362" s="67"/>
      <c r="N362" s="14">
        <f t="shared" si="16"/>
        <v>-32.899999999999295</v>
      </c>
      <c r="O362" s="14">
        <f t="shared" si="12"/>
        <v>-344.21392800306717</v>
      </c>
      <c r="P362" s="14">
        <f t="shared" si="13"/>
        <v>311.31392800306787</v>
      </c>
      <c r="Q362" s="14">
        <f t="shared" si="14"/>
        <v>-344.21392800306717</v>
      </c>
      <c r="R362" s="14">
        <f t="shared" si="15"/>
        <v>311.31392800306787</v>
      </c>
    </row>
    <row r="363" spans="2:18" x14ac:dyDescent="0.25">
      <c r="B363" s="66">
        <f t="shared" si="9"/>
        <v>105.73092002910187</v>
      </c>
      <c r="C363" s="66">
        <f t="shared" si="17"/>
        <v>15.799268341820982</v>
      </c>
      <c r="D363" s="66">
        <f t="shared" si="11"/>
        <v>-15.799268341820982</v>
      </c>
      <c r="F363" s="67"/>
      <c r="N363" s="14">
        <f t="shared" si="16"/>
        <v>-28.787499999999294</v>
      </c>
      <c r="O363" s="14">
        <f t="shared" si="12"/>
        <v>-342.44780024601101</v>
      </c>
      <c r="P363" s="14">
        <f t="shared" si="13"/>
        <v>313.66030024601167</v>
      </c>
      <c r="Q363" s="14">
        <f t="shared" si="14"/>
        <v>-342.44780024601101</v>
      </c>
      <c r="R363" s="14">
        <f t="shared" si="15"/>
        <v>313.66030024601167</v>
      </c>
    </row>
    <row r="364" spans="2:18" x14ac:dyDescent="0.25">
      <c r="B364" s="66">
        <f t="shared" si="9"/>
        <v>106.85943919637482</v>
      </c>
      <c r="C364" s="66">
        <f t="shared" si="17"/>
        <v>11.22862393970559</v>
      </c>
      <c r="D364" s="66">
        <f t="shared" si="11"/>
        <v>-11.22862393970559</v>
      </c>
      <c r="F364" s="67"/>
      <c r="N364" s="14">
        <f t="shared" si="16"/>
        <v>-24.674999999999294</v>
      </c>
      <c r="O364" s="14">
        <f t="shared" si="12"/>
        <v>-340.64278214034232</v>
      </c>
      <c r="P364" s="14">
        <f t="shared" si="13"/>
        <v>315.96778214034305</v>
      </c>
      <c r="Q364" s="14">
        <f t="shared" si="14"/>
        <v>-340.64278214034232</v>
      </c>
      <c r="R364" s="14">
        <f t="shared" si="15"/>
        <v>315.96778214034305</v>
      </c>
    </row>
    <row r="365" spans="2:18" x14ac:dyDescent="0.25">
      <c r="B365" s="66">
        <f t="shared" si="9"/>
        <v>107.98795836364778</v>
      </c>
      <c r="C365" s="66">
        <f>IFERROR(SQRT($C$257^2-(B365-$C$20)^2),0)</f>
        <v>0</v>
      </c>
      <c r="D365" s="66">
        <f t="shared" si="11"/>
        <v>0</v>
      </c>
      <c r="F365" s="67"/>
      <c r="N365" s="14">
        <f t="shared" si="16"/>
        <v>-20.562499999999293</v>
      </c>
      <c r="O365" s="14">
        <f t="shared" si="12"/>
        <v>-338.79896290953599</v>
      </c>
      <c r="P365" s="14">
        <f t="shared" si="13"/>
        <v>318.23646290953667</v>
      </c>
      <c r="Q365" s="14">
        <f t="shared" si="14"/>
        <v>-338.79896290953599</v>
      </c>
      <c r="R365" s="14">
        <f t="shared" si="15"/>
        <v>318.23646290953667</v>
      </c>
    </row>
    <row r="366" spans="2:18" x14ac:dyDescent="0.25">
      <c r="N366" s="14">
        <f t="shared" si="16"/>
        <v>-16.449999999999292</v>
      </c>
      <c r="O366" s="14">
        <f t="shared" si="12"/>
        <v>-336.91641778421865</v>
      </c>
      <c r="P366" s="14">
        <f t="shared" si="13"/>
        <v>320.4664177842194</v>
      </c>
      <c r="Q366" s="14">
        <f t="shared" si="14"/>
        <v>-336.91641778421865</v>
      </c>
      <c r="R366" s="14">
        <f t="shared" si="15"/>
        <v>320.4664177842194</v>
      </c>
    </row>
    <row r="367" spans="2:18" x14ac:dyDescent="0.25">
      <c r="N367" s="14">
        <f t="shared" si="16"/>
        <v>-12.337499999999292</v>
      </c>
      <c r="O367" s="14">
        <f t="shared" si="12"/>
        <v>-334.99520813606949</v>
      </c>
      <c r="P367" s="14">
        <f t="shared" si="13"/>
        <v>322.6577081360702</v>
      </c>
      <c r="Q367" s="14">
        <f t="shared" si="14"/>
        <v>-334.99520813606949</v>
      </c>
      <c r="R367" s="14">
        <f t="shared" si="15"/>
        <v>322.6577081360702</v>
      </c>
    </row>
    <row r="368" spans="2:18" x14ac:dyDescent="0.25">
      <c r="N368" s="14">
        <f t="shared" si="16"/>
        <v>-8.2249999999992909</v>
      </c>
      <c r="O368" s="14">
        <f t="shared" si="12"/>
        <v>-333.03538158662633</v>
      </c>
      <c r="P368" s="14">
        <f t="shared" si="13"/>
        <v>324.81038158662699</v>
      </c>
      <c r="Q368" s="14">
        <f t="shared" si="14"/>
        <v>-333.03538158662633</v>
      </c>
      <c r="R368" s="14">
        <f t="shared" si="15"/>
        <v>324.81038158662699</v>
      </c>
    </row>
    <row r="369" spans="14:18" x14ac:dyDescent="0.25">
      <c r="N369" s="14">
        <f t="shared" si="16"/>
        <v>-4.1124999999992911</v>
      </c>
      <c r="O369" s="14">
        <f t="shared" si="12"/>
        <v>-331.03697209145059</v>
      </c>
      <c r="P369" s="14">
        <f t="shared" si="13"/>
        <v>326.92447209145132</v>
      </c>
      <c r="Q369" s="14">
        <f t="shared" si="14"/>
        <v>-331.03697209145059</v>
      </c>
      <c r="R369" s="14">
        <f t="shared" si="15"/>
        <v>326.92447209145132</v>
      </c>
    </row>
    <row r="370" spans="14:18" x14ac:dyDescent="0.25">
      <c r="N370" s="14">
        <f t="shared" si="16"/>
        <v>7.0876637892069994E-13</v>
      </c>
      <c r="O370" s="14">
        <f t="shared" si="12"/>
        <v>-328.99999999999966</v>
      </c>
      <c r="P370" s="14">
        <f t="shared" si="13"/>
        <v>329.00000000000034</v>
      </c>
      <c r="Q370" s="14">
        <f t="shared" si="14"/>
        <v>-328.99999999999966</v>
      </c>
      <c r="R370" s="14">
        <f t="shared" si="15"/>
        <v>329.00000000000034</v>
      </c>
    </row>
    <row r="371" spans="14:18" x14ac:dyDescent="0.25">
      <c r="N371" s="14">
        <f t="shared" si="16"/>
        <v>4.1125000000007086</v>
      </c>
      <c r="O371" s="14">
        <f t="shared" si="12"/>
        <v>-326.92447209145058</v>
      </c>
      <c r="P371" s="14">
        <f t="shared" si="13"/>
        <v>331.03697209145133</v>
      </c>
      <c r="Q371" s="14">
        <f t="shared" si="14"/>
        <v>-326.92447209145058</v>
      </c>
      <c r="R371" s="14">
        <f t="shared" si="15"/>
        <v>331.03697209145133</v>
      </c>
    </row>
    <row r="372" spans="14:18" x14ac:dyDescent="0.25">
      <c r="N372" s="14">
        <f t="shared" si="16"/>
        <v>8.2250000000007084</v>
      </c>
      <c r="O372" s="14">
        <f t="shared" si="12"/>
        <v>-324.81038158662625</v>
      </c>
      <c r="P372" s="14">
        <f t="shared" si="13"/>
        <v>333.03538158662695</v>
      </c>
      <c r="Q372" s="14">
        <f t="shared" si="14"/>
        <v>-324.81038158662625</v>
      </c>
      <c r="R372" s="14">
        <f t="shared" si="15"/>
        <v>333.03538158662695</v>
      </c>
    </row>
    <row r="373" spans="14:18" x14ac:dyDescent="0.25">
      <c r="N373" s="14">
        <f t="shared" si="16"/>
        <v>12.337500000000709</v>
      </c>
      <c r="O373" s="14">
        <f t="shared" si="12"/>
        <v>-322.65770813606952</v>
      </c>
      <c r="P373" s="14">
        <f t="shared" si="13"/>
        <v>334.99520813607018</v>
      </c>
      <c r="Q373" s="14">
        <f t="shared" si="14"/>
        <v>-322.65770813606952</v>
      </c>
      <c r="R373" s="14">
        <f t="shared" si="15"/>
        <v>334.99520813607018</v>
      </c>
    </row>
    <row r="374" spans="14:18" x14ac:dyDescent="0.25">
      <c r="N374" s="14">
        <f t="shared" si="16"/>
        <v>16.45000000000071</v>
      </c>
      <c r="O374" s="14">
        <f t="shared" si="12"/>
        <v>-320.46641778421861</v>
      </c>
      <c r="P374" s="14">
        <f t="shared" si="13"/>
        <v>336.91641778421933</v>
      </c>
      <c r="Q374" s="14">
        <f t="shared" si="14"/>
        <v>-320.46641778421861</v>
      </c>
      <c r="R374" s="14">
        <f t="shared" si="15"/>
        <v>336.91641778421933</v>
      </c>
    </row>
    <row r="375" spans="14:18" x14ac:dyDescent="0.25">
      <c r="N375" s="14">
        <f t="shared" si="16"/>
        <v>20.562500000000711</v>
      </c>
      <c r="O375" s="14">
        <f t="shared" si="12"/>
        <v>-318.23646290953587</v>
      </c>
      <c r="P375" s="14">
        <f t="shared" si="13"/>
        <v>338.79896290953656</v>
      </c>
      <c r="Q375" s="14">
        <f t="shared" si="14"/>
        <v>-318.23646290953587</v>
      </c>
      <c r="R375" s="14">
        <f t="shared" si="15"/>
        <v>338.79896290953656</v>
      </c>
    </row>
    <row r="376" spans="14:18" x14ac:dyDescent="0.25">
      <c r="N376" s="14">
        <f t="shared" si="16"/>
        <v>24.675000000000711</v>
      </c>
      <c r="O376" s="14">
        <f t="shared" si="12"/>
        <v>-315.96778214034225</v>
      </c>
      <c r="P376" s="14">
        <f t="shared" si="13"/>
        <v>340.642782140343</v>
      </c>
      <c r="Q376" s="14">
        <f t="shared" si="14"/>
        <v>-315.96778214034225</v>
      </c>
      <c r="R376" s="14">
        <f t="shared" si="15"/>
        <v>340.642782140343</v>
      </c>
    </row>
    <row r="377" spans="14:18" x14ac:dyDescent="0.25">
      <c r="N377" s="14">
        <f t="shared" si="16"/>
        <v>28.787500000000712</v>
      </c>
      <c r="O377" s="14">
        <f t="shared" si="12"/>
        <v>-313.66030024601088</v>
      </c>
      <c r="P377" s="14">
        <f t="shared" si="13"/>
        <v>342.44780024601158</v>
      </c>
      <c r="Q377" s="14">
        <f t="shared" si="14"/>
        <v>-313.66030024601088</v>
      </c>
      <c r="R377" s="14">
        <f t="shared" si="15"/>
        <v>342.44780024601158</v>
      </c>
    </row>
    <row r="378" spans="14:18" x14ac:dyDescent="0.25">
      <c r="N378" s="14">
        <f t="shared" si="16"/>
        <v>32.900000000000709</v>
      </c>
      <c r="O378" s="14">
        <f t="shared" si="12"/>
        <v>-311.31392800306708</v>
      </c>
      <c r="P378" s="14">
        <f t="shared" si="13"/>
        <v>344.21392800306774</v>
      </c>
      <c r="Q378" s="14">
        <f t="shared" si="14"/>
        <v>-311.31392800306708</v>
      </c>
      <c r="R378" s="14">
        <f t="shared" si="15"/>
        <v>344.21392800306774</v>
      </c>
    </row>
    <row r="379" spans="14:18" x14ac:dyDescent="0.25">
      <c r="N379" s="14">
        <f t="shared" si="16"/>
        <v>37.012500000000706</v>
      </c>
      <c r="O379" s="14">
        <f t="shared" si="12"/>
        <v>-308.92856203563593</v>
      </c>
      <c r="P379" s="14">
        <f t="shared" si="13"/>
        <v>345.94106203563666</v>
      </c>
      <c r="Q379" s="14">
        <f t="shared" si="14"/>
        <v>-308.92856203563593</v>
      </c>
      <c r="R379" s="14">
        <f t="shared" si="15"/>
        <v>345.94106203563666</v>
      </c>
    </row>
    <row r="380" spans="14:18" x14ac:dyDescent="0.25">
      <c r="N380" s="14">
        <f t="shared" si="16"/>
        <v>41.125000000000703</v>
      </c>
      <c r="O380" s="14">
        <f t="shared" si="12"/>
        <v>-306.50408462956705</v>
      </c>
      <c r="P380" s="14">
        <f t="shared" si="13"/>
        <v>347.62908462956773</v>
      </c>
      <c r="Q380" s="14">
        <f t="shared" si="14"/>
        <v>-306.50408462956705</v>
      </c>
      <c r="R380" s="14">
        <f t="shared" si="15"/>
        <v>347.62908462956773</v>
      </c>
    </row>
    <row r="381" spans="14:18" x14ac:dyDescent="0.25">
      <c r="N381" s="14">
        <f t="shared" si="16"/>
        <v>45.237500000000701</v>
      </c>
      <c r="O381" s="14">
        <f t="shared" si="12"/>
        <v>-304.04036351944887</v>
      </c>
      <c r="P381" s="14">
        <f t="shared" si="13"/>
        <v>349.27786351944962</v>
      </c>
      <c r="Q381" s="14">
        <f t="shared" si="14"/>
        <v>-304.04036351944887</v>
      </c>
      <c r="R381" s="14">
        <f t="shared" si="15"/>
        <v>349.27786351944962</v>
      </c>
    </row>
    <row r="382" spans="14:18" x14ac:dyDescent="0.25">
      <c r="N382" s="14">
        <f t="shared" si="16"/>
        <v>49.350000000000698</v>
      </c>
      <c r="O382" s="14">
        <f t="shared" si="12"/>
        <v>-301.53725164760402</v>
      </c>
      <c r="P382" s="14">
        <f t="shared" si="13"/>
        <v>350.88725164760473</v>
      </c>
      <c r="Q382" s="14">
        <f t="shared" si="14"/>
        <v>-301.53725164760402</v>
      </c>
      <c r="R382" s="14">
        <f t="shared" si="15"/>
        <v>350.88725164760473</v>
      </c>
    </row>
    <row r="383" spans="14:18" x14ac:dyDescent="0.25">
      <c r="N383" s="14">
        <f t="shared" si="16"/>
        <v>53.462500000000695</v>
      </c>
      <c r="O383" s="14">
        <f t="shared" si="12"/>
        <v>-298.99458689402383</v>
      </c>
      <c r="P383" s="14">
        <f t="shared" si="13"/>
        <v>352.45708689402448</v>
      </c>
      <c r="Q383" s="14">
        <f t="shared" si="14"/>
        <v>-298.99458689402383</v>
      </c>
      <c r="R383" s="14">
        <f t="shared" si="15"/>
        <v>352.45708689402448</v>
      </c>
    </row>
    <row r="384" spans="14:18" x14ac:dyDescent="0.25">
      <c r="N384" s="14">
        <f t="shared" si="16"/>
        <v>57.575000000000692</v>
      </c>
      <c r="O384" s="14">
        <f t="shared" si="12"/>
        <v>-296.41219177606808</v>
      </c>
      <c r="P384" s="14">
        <f t="shared" si="13"/>
        <v>353.98719177606881</v>
      </c>
      <c r="Q384" s="14">
        <f t="shared" si="14"/>
        <v>-296.41219177606808</v>
      </c>
      <c r="R384" s="14">
        <f t="shared" si="15"/>
        <v>353.98719177606881</v>
      </c>
    </row>
    <row r="385" spans="14:18" x14ac:dyDescent="0.25">
      <c r="N385" s="14">
        <f t="shared" si="16"/>
        <v>61.687500000000689</v>
      </c>
      <c r="O385" s="14">
        <f t="shared" si="12"/>
        <v>-293.78987311660234</v>
      </c>
      <c r="P385" s="14">
        <f t="shared" si="13"/>
        <v>355.47737311660302</v>
      </c>
      <c r="Q385" s="14">
        <f t="shared" si="14"/>
        <v>-293.78987311660234</v>
      </c>
      <c r="R385" s="14">
        <f t="shared" si="15"/>
        <v>355.47737311660302</v>
      </c>
    </row>
    <row r="386" spans="14:18" x14ac:dyDescent="0.25">
      <c r="N386" s="14">
        <f t="shared" si="16"/>
        <v>65.800000000000693</v>
      </c>
      <c r="O386" s="14">
        <f t="shared" si="12"/>
        <v>-291.12742167909141</v>
      </c>
      <c r="P386" s="14">
        <f t="shared" si="13"/>
        <v>356.92742167909205</v>
      </c>
      <c r="Q386" s="14">
        <f t="shared" si="14"/>
        <v>-291.12742167909141</v>
      </c>
      <c r="R386" s="14">
        <f t="shared" si="15"/>
        <v>356.92742167909205</v>
      </c>
    </row>
    <row r="387" spans="14:18" x14ac:dyDescent="0.25">
      <c r="N387" s="14">
        <f t="shared" si="16"/>
        <v>69.912500000000691</v>
      </c>
      <c r="O387" s="14">
        <f t="shared" si="12"/>
        <v>-288.42461176799674</v>
      </c>
      <c r="P387" s="14">
        <f t="shared" si="13"/>
        <v>358.33711176799744</v>
      </c>
      <c r="Q387" s="14">
        <f t="shared" si="14"/>
        <v>-288.42461176799674</v>
      </c>
      <c r="R387" s="14">
        <f t="shared" si="15"/>
        <v>358.33711176799744</v>
      </c>
    </row>
    <row r="388" spans="14:18" x14ac:dyDescent="0.25">
      <c r="N388" s="14">
        <f t="shared" si="16"/>
        <v>74.025000000000688</v>
      </c>
      <c r="O388" s="14">
        <f t="shared" si="12"/>
        <v>-285.68120079263974</v>
      </c>
      <c r="P388" s="14">
        <f t="shared" si="13"/>
        <v>359.7062007926404</v>
      </c>
      <c r="Q388" s="14">
        <f t="shared" si="14"/>
        <v>-285.68120079263974</v>
      </c>
      <c r="R388" s="14">
        <f t="shared" si="15"/>
        <v>359.7062007926404</v>
      </c>
    </row>
    <row r="389" spans="14:18" x14ac:dyDescent="0.25">
      <c r="N389" s="14">
        <f t="shared" si="16"/>
        <v>78.137500000000685</v>
      </c>
      <c r="O389" s="14">
        <f t="shared" si="12"/>
        <v>-282.8969287924952</v>
      </c>
      <c r="P389" s="14">
        <f t="shared" si="13"/>
        <v>361.03442879249593</v>
      </c>
      <c r="Q389" s="14">
        <f t="shared" si="14"/>
        <v>-282.8969287924952</v>
      </c>
      <c r="R389" s="14">
        <f t="shared" si="15"/>
        <v>361.03442879249593</v>
      </c>
    </row>
    <row r="390" spans="14:18" x14ac:dyDescent="0.25">
      <c r="N390" s="14">
        <f t="shared" si="16"/>
        <v>82.250000000000682</v>
      </c>
      <c r="O390" s="14">
        <f t="shared" si="12"/>
        <v>-280.0715179216607</v>
      </c>
      <c r="P390" s="14">
        <f t="shared" si="13"/>
        <v>362.32151792166138</v>
      </c>
      <c r="Q390" s="14">
        <f t="shared" si="14"/>
        <v>-280.0715179216607</v>
      </c>
      <c r="R390" s="14">
        <f t="shared" si="15"/>
        <v>362.32151792166138</v>
      </c>
    </row>
    <row r="391" spans="14:18" x14ac:dyDescent="0.25">
      <c r="N391" s="14">
        <f t="shared" si="16"/>
        <v>86.362500000000679</v>
      </c>
      <c r="O391" s="14">
        <f t="shared" si="12"/>
        <v>-277.20467189001096</v>
      </c>
      <c r="P391" s="14">
        <f t="shared" si="13"/>
        <v>363.56717189001159</v>
      </c>
      <c r="Q391" s="14">
        <f t="shared" si="14"/>
        <v>-277.20467189001096</v>
      </c>
      <c r="R391" s="14">
        <f t="shared" si="15"/>
        <v>363.56717189001159</v>
      </c>
    </row>
    <row r="392" spans="14:18" x14ac:dyDescent="0.25">
      <c r="N392" s="14">
        <f t="shared" si="16"/>
        <v>90.475000000000676</v>
      </c>
      <c r="O392" s="14">
        <f t="shared" si="12"/>
        <v>-274.29607535828637</v>
      </c>
      <c r="P392" s="14">
        <f t="shared" si="13"/>
        <v>364.77107535828708</v>
      </c>
      <c r="Q392" s="14">
        <f t="shared" si="14"/>
        <v>-274.29607535828637</v>
      </c>
      <c r="R392" s="14">
        <f t="shared" si="15"/>
        <v>364.77107535828708</v>
      </c>
    </row>
    <row r="393" spans="14:18" x14ac:dyDescent="0.25">
      <c r="N393" s="14">
        <f t="shared" si="16"/>
        <v>94.587500000000674</v>
      </c>
      <c r="O393" s="14">
        <f t="shared" si="12"/>
        <v>-271.34539328407959</v>
      </c>
      <c r="P393" s="14">
        <f t="shared" si="13"/>
        <v>365.93289328408025</v>
      </c>
      <c r="Q393" s="14">
        <f t="shared" si="14"/>
        <v>-271.34539328407959</v>
      </c>
      <c r="R393" s="14">
        <f t="shared" si="15"/>
        <v>365.93289328408025</v>
      </c>
    </row>
    <row r="394" spans="14:18" x14ac:dyDescent="0.25">
      <c r="N394" s="14">
        <f t="shared" si="16"/>
        <v>98.700000000000671</v>
      </c>
      <c r="O394" s="14">
        <f t="shared" si="12"/>
        <v>-268.35227021536957</v>
      </c>
      <c r="P394" s="14">
        <f t="shared" si="13"/>
        <v>367.05227021537019</v>
      </c>
      <c r="Q394" s="14">
        <f t="shared" si="14"/>
        <v>-268.35227021536957</v>
      </c>
      <c r="R394" s="14">
        <f t="shared" si="15"/>
        <v>367.05227021537019</v>
      </c>
    </row>
    <row r="395" spans="14:18" x14ac:dyDescent="0.25">
      <c r="N395" s="14">
        <f t="shared" si="16"/>
        <v>102.81250000000067</v>
      </c>
      <c r="O395" s="14">
        <f t="shared" si="12"/>
        <v>-265.31632952790829</v>
      </c>
      <c r="P395" s="14">
        <f t="shared" si="13"/>
        <v>368.12882952790898</v>
      </c>
      <c r="Q395" s="14">
        <f t="shared" si="14"/>
        <v>-265.31632952790829</v>
      </c>
      <c r="R395" s="14">
        <f t="shared" si="15"/>
        <v>368.12882952790898</v>
      </c>
    </row>
    <row r="396" spans="14:18" x14ac:dyDescent="0.25">
      <c r="N396" s="14">
        <f t="shared" si="16"/>
        <v>106.92500000000067</v>
      </c>
      <c r="O396" s="14">
        <f t="shared" si="12"/>
        <v>-262.23717260237964</v>
      </c>
      <c r="P396" s="14">
        <f t="shared" si="13"/>
        <v>369.16217260238028</v>
      </c>
      <c r="Q396" s="14">
        <f t="shared" si="14"/>
        <v>-262.23717260237964</v>
      </c>
      <c r="R396" s="14">
        <f t="shared" si="15"/>
        <v>369.16217260238028</v>
      </c>
    </row>
    <row r="397" spans="14:18" x14ac:dyDescent="0.25">
      <c r="N397" s="14">
        <f t="shared" si="16"/>
        <v>111.03750000000066</v>
      </c>
      <c r="O397" s="14">
        <f t="shared" si="12"/>
        <v>-259.11437793682768</v>
      </c>
      <c r="P397" s="14">
        <f t="shared" si="13"/>
        <v>370.15187793682838</v>
      </c>
      <c r="Q397" s="14">
        <f t="shared" si="14"/>
        <v>-259.11437793682768</v>
      </c>
      <c r="R397" s="14">
        <f t="shared" si="15"/>
        <v>370.15187793682838</v>
      </c>
    </row>
    <row r="398" spans="14:18" x14ac:dyDescent="0.25">
      <c r="N398" s="14">
        <f t="shared" si="16"/>
        <v>115.15000000000066</v>
      </c>
      <c r="O398" s="14">
        <f t="shared" ref="O398:O461" si="18">(1/2)*(N398-SQRT(4*S_y^2-3*N398^2))</f>
        <v>-255.94750018937981</v>
      </c>
      <c r="P398" s="14">
        <f t="shared" ref="P398:P461" si="19">(1/2)*(N398+SQRT(4*S_y^2-3*N398^2))</f>
        <v>371.09750018938047</v>
      </c>
      <c r="Q398" s="14">
        <f t="shared" si="14"/>
        <v>-255.94750018937981</v>
      </c>
      <c r="R398" s="14">
        <f t="shared" si="15"/>
        <v>371.09750018938047</v>
      </c>
    </row>
    <row r="399" spans="14:18" x14ac:dyDescent="0.25">
      <c r="N399" s="14">
        <f t="shared" si="16"/>
        <v>119.26250000000066</v>
      </c>
      <c r="O399" s="14">
        <f t="shared" si="18"/>
        <v>-252.73606914576496</v>
      </c>
      <c r="P399" s="14">
        <f t="shared" si="19"/>
        <v>371.9985691457656</v>
      </c>
      <c r="Q399" s="14">
        <f t="shared" ref="Q399:Q462" si="20">IF(ISNUMBER(O399),O399,IF(AND(ISNUMBER(O398),NOT(ISNUMBER(O399))),N399/2,IF(AND(ISNUMBER(O400),NOT(ISNUMBER(O399))),N399/2,NA())))</f>
        <v>-252.73606914576496</v>
      </c>
      <c r="R399" s="14">
        <f t="shared" ref="R399:R462" si="21">IF(ISNUMBER(P399),P399,IF(AND(ISNUMBER(P398),NOT(ISNUMBER(P399))),N399/2,IF(AND(ISNUMBER(P400),NOT(ISNUMBER(P399))),N399/2,NA())))</f>
        <v>371.9985691457656</v>
      </c>
    </row>
    <row r="400" spans="14:18" x14ac:dyDescent="0.25">
      <c r="N400" s="14">
        <f t="shared" ref="N400:N463" si="22">N399+0.005*2*(-$N$270)</f>
        <v>123.37500000000065</v>
      </c>
      <c r="O400" s="14">
        <f t="shared" si="18"/>
        <v>-249.47958860554269</v>
      </c>
      <c r="P400" s="14">
        <f t="shared" si="19"/>
        <v>372.85458860554337</v>
      </c>
      <c r="Q400" s="14">
        <f t="shared" si="20"/>
        <v>-249.47958860554269</v>
      </c>
      <c r="R400" s="14">
        <f t="shared" si="21"/>
        <v>372.85458860554337</v>
      </c>
    </row>
    <row r="401" spans="14:18" x14ac:dyDescent="0.25">
      <c r="N401" s="14">
        <f t="shared" si="22"/>
        <v>127.48750000000065</v>
      </c>
      <c r="O401" s="14">
        <f t="shared" si="18"/>
        <v>-246.17753518030537</v>
      </c>
      <c r="P401" s="14">
        <f t="shared" si="19"/>
        <v>373.66503518030601</v>
      </c>
      <c r="Q401" s="14">
        <f t="shared" si="20"/>
        <v>-246.17753518030537</v>
      </c>
      <c r="R401" s="14">
        <f t="shared" si="21"/>
        <v>373.66503518030601</v>
      </c>
    </row>
    <row r="402" spans="14:18" x14ac:dyDescent="0.25">
      <c r="N402" s="14">
        <f t="shared" si="22"/>
        <v>131.60000000000065</v>
      </c>
      <c r="O402" s="14">
        <f t="shared" si="18"/>
        <v>-242.82935699638111</v>
      </c>
      <c r="P402" s="14">
        <f t="shared" si="19"/>
        <v>374.42935699638178</v>
      </c>
      <c r="Q402" s="14">
        <f t="shared" si="20"/>
        <v>-242.82935699638111</v>
      </c>
      <c r="R402" s="14">
        <f t="shared" si="21"/>
        <v>374.42935699638178</v>
      </c>
    </row>
    <row r="403" spans="14:18" x14ac:dyDescent="0.25">
      <c r="N403" s="14">
        <f t="shared" si="22"/>
        <v>135.71250000000066</v>
      </c>
      <c r="O403" s="14">
        <f t="shared" si="18"/>
        <v>-239.43447229374607</v>
      </c>
      <c r="P403" s="14">
        <f t="shared" si="19"/>
        <v>375.14697229374673</v>
      </c>
      <c r="Q403" s="14">
        <f t="shared" si="20"/>
        <v>-239.43447229374607</v>
      </c>
      <c r="R403" s="14">
        <f t="shared" si="21"/>
        <v>375.14697229374673</v>
      </c>
    </row>
    <row r="404" spans="14:18" x14ac:dyDescent="0.25">
      <c r="N404" s="14">
        <f t="shared" si="22"/>
        <v>139.82500000000067</v>
      </c>
      <c r="O404" s="14">
        <f t="shared" si="18"/>
        <v>-235.99226791192658</v>
      </c>
      <c r="P404" s="14">
        <f t="shared" si="19"/>
        <v>375.81726791192727</v>
      </c>
      <c r="Q404" s="14">
        <f t="shared" si="20"/>
        <v>-235.99226791192658</v>
      </c>
      <c r="R404" s="14">
        <f t="shared" si="21"/>
        <v>375.81726791192727</v>
      </c>
    </row>
    <row r="405" spans="14:18" x14ac:dyDescent="0.25">
      <c r="N405" s="14">
        <f t="shared" si="22"/>
        <v>143.93750000000068</v>
      </c>
      <c r="O405" s="14">
        <f t="shared" si="18"/>
        <v>-232.50209765263185</v>
      </c>
      <c r="P405" s="14">
        <f t="shared" si="19"/>
        <v>376.43959765263253</v>
      </c>
      <c r="Q405" s="14">
        <f t="shared" si="20"/>
        <v>-232.50209765263185</v>
      </c>
      <c r="R405" s="14">
        <f t="shared" si="21"/>
        <v>376.43959765263253</v>
      </c>
    </row>
    <row r="406" spans="14:18" x14ac:dyDescent="0.25">
      <c r="N406" s="14">
        <f t="shared" si="22"/>
        <v>148.05000000000069</v>
      </c>
      <c r="O406" s="14">
        <f t="shared" si="18"/>
        <v>-228.96328050767843</v>
      </c>
      <c r="P406" s="14">
        <f t="shared" si="19"/>
        <v>377.01328050767916</v>
      </c>
      <c r="Q406" s="14">
        <f t="shared" si="20"/>
        <v>-228.96328050767843</v>
      </c>
      <c r="R406" s="14">
        <f t="shared" si="21"/>
        <v>377.01328050767916</v>
      </c>
    </row>
    <row r="407" spans="14:18" x14ac:dyDescent="0.25">
      <c r="N407" s="14">
        <f t="shared" si="22"/>
        <v>152.1625000000007</v>
      </c>
      <c r="O407" s="14">
        <f t="shared" si="18"/>
        <v>-225.37509873943543</v>
      </c>
      <c r="P407" s="14">
        <f t="shared" si="19"/>
        <v>377.53759873943613</v>
      </c>
      <c r="Q407" s="14">
        <f t="shared" si="20"/>
        <v>-225.37509873943543</v>
      </c>
      <c r="R407" s="14">
        <f t="shared" si="21"/>
        <v>377.53759873943613</v>
      </c>
    </row>
    <row r="408" spans="14:18" x14ac:dyDescent="0.25">
      <c r="N408" s="14">
        <f t="shared" si="22"/>
        <v>156.27500000000072</v>
      </c>
      <c r="O408" s="14">
        <f t="shared" si="18"/>
        <v>-221.73679579950598</v>
      </c>
      <c r="P408" s="14">
        <f t="shared" si="19"/>
        <v>378.01179579950667</v>
      </c>
      <c r="Q408" s="14">
        <f t="shared" si="20"/>
        <v>-221.73679579950598</v>
      </c>
      <c r="R408" s="14">
        <f t="shared" si="21"/>
        <v>378.01179579950667</v>
      </c>
    </row>
    <row r="409" spans="14:18" x14ac:dyDescent="0.25">
      <c r="N409" s="14">
        <f t="shared" si="22"/>
        <v>160.38750000000073</v>
      </c>
      <c r="O409" s="14">
        <f t="shared" si="18"/>
        <v>-218.04757406964012</v>
      </c>
      <c r="P409" s="14">
        <f t="shared" si="19"/>
        <v>378.43507406964085</v>
      </c>
      <c r="Q409" s="14">
        <f t="shared" si="20"/>
        <v>-218.04757406964012</v>
      </c>
      <c r="R409" s="14">
        <f t="shared" si="21"/>
        <v>378.43507406964085</v>
      </c>
    </row>
    <row r="410" spans="14:18" x14ac:dyDescent="0.25">
      <c r="N410" s="14">
        <f t="shared" si="22"/>
        <v>164.50000000000074</v>
      </c>
      <c r="O410" s="14">
        <f t="shared" si="18"/>
        <v>-214.30659240691247</v>
      </c>
      <c r="P410" s="14">
        <f t="shared" si="19"/>
        <v>378.80659240691318</v>
      </c>
      <c r="Q410" s="14">
        <f t="shared" si="20"/>
        <v>-214.30659240691247</v>
      </c>
      <c r="R410" s="14">
        <f t="shared" si="21"/>
        <v>378.80659240691318</v>
      </c>
    </row>
    <row r="411" spans="14:18" x14ac:dyDescent="0.25">
      <c r="N411" s="14">
        <f t="shared" si="22"/>
        <v>168.61250000000075</v>
      </c>
      <c r="O411" s="14">
        <f t="shared" si="18"/>
        <v>-210.51296347295551</v>
      </c>
      <c r="P411" s="14">
        <f t="shared" si="19"/>
        <v>379.12546347295626</v>
      </c>
      <c r="Q411" s="14">
        <f t="shared" si="20"/>
        <v>-210.51296347295551</v>
      </c>
      <c r="R411" s="14">
        <f t="shared" si="21"/>
        <v>379.12546347295626</v>
      </c>
    </row>
    <row r="412" spans="14:18" x14ac:dyDescent="0.25">
      <c r="N412" s="14">
        <f t="shared" si="22"/>
        <v>172.72500000000076</v>
      </c>
      <c r="O412" s="14">
        <f t="shared" si="18"/>
        <v>-206.66575082447181</v>
      </c>
      <c r="P412" s="14">
        <f t="shared" si="19"/>
        <v>379.39075082447255</v>
      </c>
      <c r="Q412" s="14">
        <f t="shared" si="20"/>
        <v>-206.66575082447181</v>
      </c>
      <c r="R412" s="14">
        <f t="shared" si="21"/>
        <v>379.39075082447255</v>
      </c>
    </row>
    <row r="413" spans="14:18" x14ac:dyDescent="0.25">
      <c r="N413" s="14">
        <f t="shared" si="22"/>
        <v>176.83750000000077</v>
      </c>
      <c r="O413" s="14">
        <f t="shared" si="18"/>
        <v>-202.76396573929674</v>
      </c>
      <c r="P413" s="14">
        <f t="shared" si="19"/>
        <v>379.60146573929751</v>
      </c>
      <c r="Q413" s="14">
        <f t="shared" si="20"/>
        <v>-202.76396573929674</v>
      </c>
      <c r="R413" s="14">
        <f t="shared" si="21"/>
        <v>379.60146573929751</v>
      </c>
    </row>
    <row r="414" spans="14:18" x14ac:dyDescent="0.25">
      <c r="N414" s="14">
        <f t="shared" si="22"/>
        <v>180.95000000000078</v>
      </c>
      <c r="O414" s="14">
        <f t="shared" si="18"/>
        <v>-198.80656374888386</v>
      </c>
      <c r="P414" s="14">
        <f t="shared" si="19"/>
        <v>379.75656374888467</v>
      </c>
      <c r="Q414" s="14">
        <f t="shared" si="20"/>
        <v>-198.80656374888386</v>
      </c>
      <c r="R414" s="14">
        <f t="shared" si="21"/>
        <v>379.75656374888467</v>
      </c>
    </row>
    <row r="415" spans="14:18" x14ac:dyDescent="0.25">
      <c r="N415" s="14">
        <f t="shared" si="22"/>
        <v>185.0625000000008</v>
      </c>
      <c r="O415" s="14">
        <f t="shared" si="18"/>
        <v>-194.7924408441628</v>
      </c>
      <c r="P415" s="14">
        <f t="shared" si="19"/>
        <v>379.85494084416359</v>
      </c>
      <c r="Q415" s="14">
        <f t="shared" si="20"/>
        <v>-194.7924408441628</v>
      </c>
      <c r="R415" s="14">
        <f t="shared" si="21"/>
        <v>379.85494084416359</v>
      </c>
    </row>
    <row r="416" spans="14:18" x14ac:dyDescent="0.25">
      <c r="N416" s="14">
        <f t="shared" si="22"/>
        <v>189.17500000000081</v>
      </c>
      <c r="O416" s="14">
        <f t="shared" si="18"/>
        <v>-190.72042931716695</v>
      </c>
      <c r="P416" s="14">
        <f t="shared" si="19"/>
        <v>379.89542931716778</v>
      </c>
      <c r="Q416" s="14">
        <f t="shared" si="20"/>
        <v>-190.72042931716695</v>
      </c>
      <c r="R416" s="14">
        <f t="shared" si="21"/>
        <v>379.89542931716778</v>
      </c>
    </row>
    <row r="417" spans="14:18" x14ac:dyDescent="0.25">
      <c r="N417" s="14">
        <f t="shared" si="22"/>
        <v>193.28750000000082</v>
      </c>
      <c r="O417" s="14">
        <f t="shared" si="18"/>
        <v>-186.58929319554954</v>
      </c>
      <c r="P417" s="14">
        <f t="shared" si="19"/>
        <v>379.87679319555036</v>
      </c>
      <c r="Q417" s="14">
        <f t="shared" si="20"/>
        <v>-186.58929319554954</v>
      </c>
      <c r="R417" s="14">
        <f t="shared" si="21"/>
        <v>379.87679319555036</v>
      </c>
    </row>
    <row r="418" spans="14:18" x14ac:dyDescent="0.25">
      <c r="N418" s="14">
        <f t="shared" si="22"/>
        <v>197.40000000000083</v>
      </c>
      <c r="O418" s="14">
        <f t="shared" si="18"/>
        <v>-182.39772322094595</v>
      </c>
      <c r="P418" s="14">
        <f t="shared" si="19"/>
        <v>379.79772322094675</v>
      </c>
      <c r="Q418" s="14">
        <f t="shared" si="20"/>
        <v>-182.39772322094595</v>
      </c>
      <c r="R418" s="14">
        <f t="shared" si="21"/>
        <v>379.79772322094675</v>
      </c>
    </row>
    <row r="419" spans="14:18" x14ac:dyDescent="0.25">
      <c r="N419" s="14">
        <f t="shared" si="22"/>
        <v>201.51250000000084</v>
      </c>
      <c r="O419" s="14">
        <f t="shared" si="18"/>
        <v>-178.14433131494098</v>
      </c>
      <c r="P419" s="14">
        <f t="shared" si="19"/>
        <v>379.65683131494183</v>
      </c>
      <c r="Q419" s="14">
        <f t="shared" si="20"/>
        <v>-178.14433131494098</v>
      </c>
      <c r="R419" s="14">
        <f t="shared" si="21"/>
        <v>379.65683131494183</v>
      </c>
    </row>
    <row r="420" spans="14:18" x14ac:dyDescent="0.25">
      <c r="N420" s="14">
        <f t="shared" si="22"/>
        <v>205.62500000000085</v>
      </c>
      <c r="O420" s="14">
        <f t="shared" si="18"/>
        <v>-173.8276444679523</v>
      </c>
      <c r="P420" s="14">
        <f t="shared" si="19"/>
        <v>379.45264446795318</v>
      </c>
      <c r="Q420" s="14">
        <f t="shared" si="20"/>
        <v>-173.8276444679523</v>
      </c>
      <c r="R420" s="14">
        <f t="shared" si="21"/>
        <v>379.45264446795318</v>
      </c>
    </row>
    <row r="421" spans="14:18" x14ac:dyDescent="0.25">
      <c r="N421" s="14">
        <f t="shared" si="22"/>
        <v>209.73750000000086</v>
      </c>
      <c r="O421" s="14">
        <f t="shared" si="18"/>
        <v>-169.44609797639367</v>
      </c>
      <c r="P421" s="14">
        <f t="shared" si="19"/>
        <v>379.18359797639454</v>
      </c>
      <c r="Q421" s="14">
        <f t="shared" si="20"/>
        <v>-169.44609797639367</v>
      </c>
      <c r="R421" s="14">
        <f t="shared" si="21"/>
        <v>379.18359797639454</v>
      </c>
    </row>
    <row r="422" spans="14:18" x14ac:dyDescent="0.25">
      <c r="N422" s="14">
        <f t="shared" si="22"/>
        <v>213.85000000000088</v>
      </c>
      <c r="O422" s="14">
        <f t="shared" si="18"/>
        <v>-164.99802794173112</v>
      </c>
      <c r="P422" s="14">
        <f t="shared" si="19"/>
        <v>378.84802794173197</v>
      </c>
      <c r="Q422" s="14">
        <f t="shared" si="20"/>
        <v>-164.99802794173112</v>
      </c>
      <c r="R422" s="14">
        <f t="shared" si="21"/>
        <v>378.84802794173197</v>
      </c>
    </row>
    <row r="423" spans="14:18" x14ac:dyDescent="0.25">
      <c r="N423" s="14">
        <f t="shared" si="22"/>
        <v>217.96250000000089</v>
      </c>
      <c r="O423" s="14">
        <f t="shared" si="18"/>
        <v>-160.48166293109699</v>
      </c>
      <c r="P423" s="14">
        <f t="shared" si="19"/>
        <v>378.44416293109788</v>
      </c>
      <c r="Q423" s="14">
        <f t="shared" si="20"/>
        <v>-160.48166293109699</v>
      </c>
      <c r="R423" s="14">
        <f t="shared" si="21"/>
        <v>378.44416293109788</v>
      </c>
    </row>
    <row r="424" spans="14:18" x14ac:dyDescent="0.25">
      <c r="N424" s="14">
        <f t="shared" si="22"/>
        <v>222.0750000000009</v>
      </c>
      <c r="O424" s="14">
        <f t="shared" si="18"/>
        <v>-155.89511468252519</v>
      </c>
      <c r="P424" s="14">
        <f t="shared" si="19"/>
        <v>377.97011468252606</v>
      </c>
      <c r="Q424" s="14">
        <f t="shared" si="20"/>
        <v>-155.89511468252519</v>
      </c>
      <c r="R424" s="14">
        <f t="shared" si="21"/>
        <v>377.97011468252606</v>
      </c>
    </row>
    <row r="425" spans="14:18" x14ac:dyDescent="0.25">
      <c r="N425" s="14">
        <f t="shared" si="22"/>
        <v>226.18750000000091</v>
      </c>
      <c r="O425" s="14">
        <f t="shared" si="18"/>
        <v>-151.23636771800039</v>
      </c>
      <c r="P425" s="14">
        <f t="shared" si="19"/>
        <v>377.4238677180013</v>
      </c>
      <c r="Q425" s="14">
        <f t="shared" si="20"/>
        <v>-151.23636771800039</v>
      </c>
      <c r="R425" s="14">
        <f t="shared" si="21"/>
        <v>377.4238677180013</v>
      </c>
    </row>
    <row r="426" spans="14:18" x14ac:dyDescent="0.25">
      <c r="N426" s="14">
        <f t="shared" si="22"/>
        <v>230.30000000000092</v>
      </c>
      <c r="O426" s="14">
        <f t="shared" si="18"/>
        <v>-146.50326770365288</v>
      </c>
      <c r="P426" s="14">
        <f t="shared" si="19"/>
        <v>376.80326770365377</v>
      </c>
      <c r="Q426" s="14">
        <f t="shared" si="20"/>
        <v>-146.50326770365288</v>
      </c>
      <c r="R426" s="14">
        <f t="shared" si="21"/>
        <v>376.80326770365377</v>
      </c>
    </row>
    <row r="427" spans="14:18" x14ac:dyDescent="0.25">
      <c r="N427" s="14">
        <f t="shared" si="22"/>
        <v>234.41250000000093</v>
      </c>
      <c r="O427" s="14">
        <f t="shared" si="18"/>
        <v>-141.69350836761981</v>
      </c>
      <c r="P427" s="14">
        <f t="shared" si="19"/>
        <v>376.10600836762075</v>
      </c>
      <c r="Q427" s="14">
        <f t="shared" si="20"/>
        <v>-141.69350836761981</v>
      </c>
      <c r="R427" s="14">
        <f t="shared" si="21"/>
        <v>376.10600836762075</v>
      </c>
    </row>
    <row r="428" spans="14:18" x14ac:dyDescent="0.25">
      <c r="N428" s="14">
        <f t="shared" si="22"/>
        <v>238.52500000000094</v>
      </c>
      <c r="O428" s="14">
        <f t="shared" si="18"/>
        <v>-136.80461675115455</v>
      </c>
      <c r="P428" s="14">
        <f t="shared" si="19"/>
        <v>375.32961675115553</v>
      </c>
      <c r="Q428" s="14">
        <f t="shared" si="20"/>
        <v>-136.80461675115455</v>
      </c>
      <c r="R428" s="14">
        <f t="shared" si="21"/>
        <v>375.32961675115553</v>
      </c>
    </row>
    <row r="429" spans="14:18" x14ac:dyDescent="0.25">
      <c r="N429" s="14">
        <f t="shared" si="22"/>
        <v>242.63750000000095</v>
      </c>
      <c r="O429" s="14">
        <f t="shared" si="18"/>
        <v>-131.83393652596186</v>
      </c>
      <c r="P429" s="14">
        <f t="shared" si="19"/>
        <v>374.47143652596282</v>
      </c>
      <c r="Q429" s="14">
        <f t="shared" si="20"/>
        <v>-131.83393652596186</v>
      </c>
      <c r="R429" s="14">
        <f t="shared" si="21"/>
        <v>374.47143652596282</v>
      </c>
    </row>
    <row r="430" spans="14:18" x14ac:dyDescent="0.25">
      <c r="N430" s="14">
        <f t="shared" si="22"/>
        <v>246.75000000000097</v>
      </c>
      <c r="O430" s="14">
        <f t="shared" si="18"/>
        <v>-126.77860905851307</v>
      </c>
      <c r="P430" s="14">
        <f t="shared" si="19"/>
        <v>373.52860905851401</v>
      </c>
      <c r="Q430" s="14">
        <f t="shared" si="20"/>
        <v>-126.77860905851307</v>
      </c>
      <c r="R430" s="14">
        <f t="shared" si="21"/>
        <v>373.52860905851401</v>
      </c>
    </row>
    <row r="431" spans="14:18" x14ac:dyDescent="0.25">
      <c r="N431" s="14">
        <f t="shared" si="22"/>
        <v>250.86250000000098</v>
      </c>
      <c r="O431" s="14">
        <f t="shared" si="18"/>
        <v>-121.63555183770521</v>
      </c>
      <c r="P431" s="14">
        <f t="shared" si="19"/>
        <v>372.49805183770616</v>
      </c>
      <c r="Q431" s="14">
        <f t="shared" si="20"/>
        <v>-121.63555183770521</v>
      </c>
      <c r="R431" s="14">
        <f t="shared" si="21"/>
        <v>372.49805183770616</v>
      </c>
    </row>
    <row r="432" spans="14:18" x14ac:dyDescent="0.25">
      <c r="N432" s="14">
        <f t="shared" si="22"/>
        <v>254.97500000000099</v>
      </c>
      <c r="O432" s="14">
        <f t="shared" si="18"/>
        <v>-116.40143380235477</v>
      </c>
      <c r="P432" s="14">
        <f t="shared" si="19"/>
        <v>371.37643380235579</v>
      </c>
      <c r="Q432" s="14">
        <f t="shared" si="20"/>
        <v>-116.40143380235477</v>
      </c>
      <c r="R432" s="14">
        <f t="shared" si="21"/>
        <v>371.37643380235579</v>
      </c>
    </row>
    <row r="433" spans="14:18" x14ac:dyDescent="0.25">
      <c r="N433" s="14">
        <f t="shared" si="22"/>
        <v>259.087500000001</v>
      </c>
      <c r="O433" s="14">
        <f t="shared" si="18"/>
        <v>-111.07264700529942</v>
      </c>
      <c r="P433" s="14">
        <f t="shared" si="19"/>
        <v>370.16014700530042</v>
      </c>
      <c r="Q433" s="14">
        <f t="shared" si="20"/>
        <v>-111.07264700529942</v>
      </c>
      <c r="R433" s="14">
        <f t="shared" si="21"/>
        <v>370.16014700530042</v>
      </c>
    </row>
    <row r="434" spans="14:18" x14ac:dyDescent="0.25">
      <c r="N434" s="14">
        <f t="shared" si="22"/>
        <v>263.20000000000101</v>
      </c>
      <c r="O434" s="14">
        <f t="shared" si="18"/>
        <v>-105.64527392552915</v>
      </c>
      <c r="P434" s="14">
        <f t="shared" si="19"/>
        <v>368.84527392553014</v>
      </c>
      <c r="Q434" s="14">
        <f t="shared" si="20"/>
        <v>-105.64527392552915</v>
      </c>
      <c r="R434" s="14">
        <f t="shared" si="21"/>
        <v>368.84527392553014</v>
      </c>
    </row>
    <row r="435" spans="14:18" x14ac:dyDescent="0.25">
      <c r="N435" s="14">
        <f t="shared" si="22"/>
        <v>267.31250000000102</v>
      </c>
      <c r="O435" s="14">
        <f t="shared" si="18"/>
        <v>-100.11504958104746</v>
      </c>
      <c r="P435" s="14">
        <f t="shared" si="19"/>
        <v>367.42754958104848</v>
      </c>
      <c r="Q435" s="14">
        <f t="shared" si="20"/>
        <v>-100.11504958104746</v>
      </c>
      <c r="R435" s="14">
        <f t="shared" si="21"/>
        <v>367.42754958104848</v>
      </c>
    </row>
    <row r="436" spans="14:18" x14ac:dyDescent="0.25">
      <c r="N436" s="14">
        <f t="shared" si="22"/>
        <v>271.42500000000103</v>
      </c>
      <c r="O436" s="14">
        <f t="shared" si="18"/>
        <v>-94.477317392623462</v>
      </c>
      <c r="P436" s="14">
        <f t="shared" si="19"/>
        <v>365.90231739262447</v>
      </c>
      <c r="Q436" s="14">
        <f t="shared" si="20"/>
        <v>-94.477317392623462</v>
      </c>
      <c r="R436" s="14">
        <f t="shared" si="21"/>
        <v>365.90231739262447</v>
      </c>
    </row>
    <row r="437" spans="14:18" x14ac:dyDescent="0.25">
      <c r="N437" s="14">
        <f t="shared" si="22"/>
        <v>275.53750000000105</v>
      </c>
      <c r="O437" s="14">
        <f t="shared" si="18"/>
        <v>-88.726977487985579</v>
      </c>
      <c r="P437" s="14">
        <f t="shared" si="19"/>
        <v>364.2644774879866</v>
      </c>
      <c r="Q437" s="14">
        <f t="shared" si="20"/>
        <v>-88.726977487985579</v>
      </c>
      <c r="R437" s="14">
        <f t="shared" si="21"/>
        <v>364.2644774879866</v>
      </c>
    </row>
    <row r="438" spans="14:18" x14ac:dyDescent="0.25">
      <c r="N438" s="14">
        <f t="shared" si="22"/>
        <v>279.65000000000106</v>
      </c>
      <c r="O438" s="14">
        <f t="shared" si="18"/>
        <v>-82.858425797698999</v>
      </c>
      <c r="P438" s="14">
        <f t="shared" si="19"/>
        <v>362.50842579770006</v>
      </c>
      <c r="Q438" s="14">
        <f t="shared" si="20"/>
        <v>-82.858425797698999</v>
      </c>
      <c r="R438" s="14">
        <f t="shared" si="21"/>
        <v>362.50842579770006</v>
      </c>
    </row>
    <row r="439" spans="14:18" x14ac:dyDescent="0.25">
      <c r="N439" s="14">
        <f t="shared" si="22"/>
        <v>283.76250000000107</v>
      </c>
      <c r="O439" s="14">
        <f t="shared" si="18"/>
        <v>-76.865481850585155</v>
      </c>
      <c r="P439" s="14">
        <f t="shared" si="19"/>
        <v>360.62798185058625</v>
      </c>
      <c r="Q439" s="14">
        <f t="shared" si="20"/>
        <v>-76.865481850585155</v>
      </c>
      <c r="R439" s="14">
        <f t="shared" si="21"/>
        <v>360.62798185058625</v>
      </c>
    </row>
    <row r="440" spans="14:18" x14ac:dyDescent="0.25">
      <c r="N440" s="14">
        <f t="shared" si="22"/>
        <v>287.87500000000108</v>
      </c>
      <c r="O440" s="14">
        <f t="shared" si="18"/>
        <v>-70.741302589471559</v>
      </c>
      <c r="P440" s="14">
        <f t="shared" si="19"/>
        <v>358.61630258947264</v>
      </c>
      <c r="Q440" s="14">
        <f t="shared" si="20"/>
        <v>-70.741302589471559</v>
      </c>
      <c r="R440" s="14">
        <f t="shared" si="21"/>
        <v>358.61630258947264</v>
      </c>
    </row>
    <row r="441" spans="14:18" x14ac:dyDescent="0.25">
      <c r="N441" s="14">
        <f t="shared" si="22"/>
        <v>291.98750000000109</v>
      </c>
      <c r="O441" s="14">
        <f t="shared" si="18"/>
        <v>-64.478278742091504</v>
      </c>
      <c r="P441" s="14">
        <f t="shared" si="19"/>
        <v>356.4657787420926</v>
      </c>
      <c r="Q441" s="14">
        <f t="shared" si="20"/>
        <v>-64.478278742091504</v>
      </c>
      <c r="R441" s="14">
        <f t="shared" si="21"/>
        <v>356.4657787420926</v>
      </c>
    </row>
    <row r="442" spans="14:18" x14ac:dyDescent="0.25">
      <c r="N442" s="14">
        <f t="shared" si="22"/>
        <v>296.1000000000011</v>
      </c>
      <c r="O442" s="14">
        <f t="shared" si="18"/>
        <v>-58.067909217028728</v>
      </c>
      <c r="P442" s="14">
        <f t="shared" si="19"/>
        <v>354.16790921702983</v>
      </c>
      <c r="Q442" s="14">
        <f t="shared" si="20"/>
        <v>-58.067909217028728</v>
      </c>
      <c r="R442" s="14">
        <f t="shared" si="21"/>
        <v>354.16790921702983</v>
      </c>
    </row>
    <row r="443" spans="14:18" x14ac:dyDescent="0.25">
      <c r="N443" s="14">
        <f t="shared" si="22"/>
        <v>300.21250000000111</v>
      </c>
      <c r="O443" s="14">
        <f t="shared" si="18"/>
        <v>-51.500647532826918</v>
      </c>
      <c r="P443" s="14">
        <f t="shared" si="19"/>
        <v>351.71314753282803</v>
      </c>
      <c r="Q443" s="14">
        <f t="shared" si="20"/>
        <v>-51.500647532826918</v>
      </c>
      <c r="R443" s="14">
        <f t="shared" si="21"/>
        <v>351.71314753282803</v>
      </c>
    </row>
    <row r="444" spans="14:18" x14ac:dyDescent="0.25">
      <c r="N444" s="14">
        <f t="shared" si="22"/>
        <v>304.32500000000113</v>
      </c>
      <c r="O444" s="14">
        <f t="shared" si="18"/>
        <v>-44.765712253219988</v>
      </c>
      <c r="P444" s="14">
        <f t="shared" si="19"/>
        <v>349.09071225322111</v>
      </c>
      <c r="Q444" s="14">
        <f t="shared" si="20"/>
        <v>-44.765712253219988</v>
      </c>
      <c r="R444" s="14">
        <f t="shared" si="21"/>
        <v>349.09071225322111</v>
      </c>
    </row>
    <row r="445" spans="14:18" x14ac:dyDescent="0.25">
      <c r="N445" s="14">
        <f t="shared" si="22"/>
        <v>308.43750000000114</v>
      </c>
      <c r="O445" s="14">
        <f t="shared" si="18"/>
        <v>-37.85085052364289</v>
      </c>
      <c r="P445" s="14">
        <f t="shared" si="19"/>
        <v>346.288350523644</v>
      </c>
      <c r="Q445" s="14">
        <f t="shared" si="20"/>
        <v>-37.85085052364289</v>
      </c>
      <c r="R445" s="14">
        <f t="shared" si="21"/>
        <v>346.288350523644</v>
      </c>
    </row>
    <row r="446" spans="14:18" x14ac:dyDescent="0.25">
      <c r="N446" s="14">
        <f t="shared" si="22"/>
        <v>312.55000000000115</v>
      </c>
      <c r="O446" s="14">
        <f t="shared" si="18"/>
        <v>-30.74203966483708</v>
      </c>
      <c r="P446" s="14">
        <f t="shared" si="19"/>
        <v>343.29203966483823</v>
      </c>
      <c r="Q446" s="14">
        <f t="shared" si="20"/>
        <v>-30.74203966483708</v>
      </c>
      <c r="R446" s="14">
        <f t="shared" si="21"/>
        <v>343.29203966483823</v>
      </c>
    </row>
    <row r="447" spans="14:18" x14ac:dyDescent="0.25">
      <c r="N447" s="14">
        <f t="shared" si="22"/>
        <v>316.66250000000116</v>
      </c>
      <c r="O447" s="14">
        <f t="shared" si="18"/>
        <v>-23.423105712075653</v>
      </c>
      <c r="P447" s="14">
        <f t="shared" si="19"/>
        <v>340.08560571207681</v>
      </c>
      <c r="Q447" s="14">
        <f t="shared" si="20"/>
        <v>-23.423105712075653</v>
      </c>
      <c r="R447" s="14">
        <f t="shared" si="21"/>
        <v>340.08560571207681</v>
      </c>
    </row>
    <row r="448" spans="14:18" x14ac:dyDescent="0.25">
      <c r="N448" s="14">
        <f t="shared" si="22"/>
        <v>320.77500000000117</v>
      </c>
      <c r="O448" s="14">
        <f t="shared" si="18"/>
        <v>-15.875228707033358</v>
      </c>
      <c r="P448" s="14">
        <f t="shared" si="19"/>
        <v>336.65022870703456</v>
      </c>
      <c r="Q448" s="14">
        <f t="shared" si="20"/>
        <v>-15.875228707033358</v>
      </c>
      <c r="R448" s="14">
        <f t="shared" si="21"/>
        <v>336.65022870703456</v>
      </c>
    </row>
    <row r="449" spans="14:18" x14ac:dyDescent="0.25">
      <c r="N449" s="14">
        <f t="shared" si="22"/>
        <v>324.88750000000118</v>
      </c>
      <c r="O449" s="14">
        <f t="shared" si="18"/>
        <v>-8.0762906339727465</v>
      </c>
      <c r="P449" s="14">
        <f t="shared" si="19"/>
        <v>332.96379063397393</v>
      </c>
      <c r="Q449" s="14">
        <f t="shared" si="20"/>
        <v>-8.0762906339727465</v>
      </c>
      <c r="R449" s="14">
        <f t="shared" si="21"/>
        <v>332.96379063397393</v>
      </c>
    </row>
    <row r="450" spans="14:18" x14ac:dyDescent="0.25">
      <c r="N450" s="14">
        <f t="shared" si="22"/>
        <v>329.00000000000119</v>
      </c>
      <c r="O450" s="14">
        <f t="shared" si="18"/>
        <v>2.3590018827235326E-12</v>
      </c>
      <c r="P450" s="14">
        <f t="shared" si="19"/>
        <v>328.99999999999886</v>
      </c>
      <c r="Q450" s="14">
        <f t="shared" si="20"/>
        <v>2.3590018827235326E-12</v>
      </c>
      <c r="R450" s="14">
        <f t="shared" si="21"/>
        <v>328.99999999999886</v>
      </c>
    </row>
    <row r="451" spans="14:18" x14ac:dyDescent="0.25">
      <c r="N451" s="14">
        <f t="shared" si="22"/>
        <v>333.11250000000121</v>
      </c>
      <c r="O451" s="14">
        <f t="shared" si="18"/>
        <v>8.3853084278777601</v>
      </c>
      <c r="P451" s="14">
        <f t="shared" si="19"/>
        <v>324.72719157212344</v>
      </c>
      <c r="Q451" s="14">
        <f t="shared" si="20"/>
        <v>8.3853084278777601</v>
      </c>
      <c r="R451" s="14">
        <f t="shared" si="21"/>
        <v>324.72719157212344</v>
      </c>
    </row>
    <row r="452" spans="14:18" x14ac:dyDescent="0.25">
      <c r="N452" s="14">
        <f t="shared" si="22"/>
        <v>337.22500000000122</v>
      </c>
      <c r="O452" s="14">
        <f t="shared" si="18"/>
        <v>17.118359746163151</v>
      </c>
      <c r="P452" s="14">
        <f t="shared" si="19"/>
        <v>320.10664025383807</v>
      </c>
      <c r="Q452" s="14">
        <f t="shared" si="20"/>
        <v>17.118359746163151</v>
      </c>
      <c r="R452" s="14">
        <f t="shared" si="21"/>
        <v>320.10664025383807</v>
      </c>
    </row>
    <row r="453" spans="14:18" x14ac:dyDescent="0.25">
      <c r="N453" s="14">
        <f t="shared" si="22"/>
        <v>341.33750000000123</v>
      </c>
      <c r="O453" s="14">
        <f t="shared" si="18"/>
        <v>26.247375819057851</v>
      </c>
      <c r="P453" s="14">
        <f t="shared" si="19"/>
        <v>315.09012418094335</v>
      </c>
      <c r="Q453" s="14">
        <f t="shared" si="20"/>
        <v>26.247375819057851</v>
      </c>
      <c r="R453" s="14">
        <f t="shared" si="21"/>
        <v>315.09012418094335</v>
      </c>
    </row>
    <row r="454" spans="14:18" x14ac:dyDescent="0.25">
      <c r="N454" s="14">
        <f t="shared" si="22"/>
        <v>345.45000000000124</v>
      </c>
      <c r="O454" s="14">
        <f t="shared" si="18"/>
        <v>35.833717863411124</v>
      </c>
      <c r="P454" s="14">
        <f t="shared" si="19"/>
        <v>309.61628213659014</v>
      </c>
      <c r="Q454" s="14">
        <f t="shared" si="20"/>
        <v>35.833717863411124</v>
      </c>
      <c r="R454" s="14">
        <f t="shared" si="21"/>
        <v>309.61628213659014</v>
      </c>
    </row>
    <row r="455" spans="14:18" x14ac:dyDescent="0.25">
      <c r="N455" s="14">
        <f t="shared" si="22"/>
        <v>349.56250000000125</v>
      </c>
      <c r="O455" s="14">
        <f t="shared" si="18"/>
        <v>45.957556739359148</v>
      </c>
      <c r="P455" s="14">
        <f t="shared" si="19"/>
        <v>303.60494326064213</v>
      </c>
      <c r="Q455" s="14">
        <f t="shared" si="20"/>
        <v>45.957556739359148</v>
      </c>
      <c r="R455" s="14">
        <f t="shared" si="21"/>
        <v>303.60494326064213</v>
      </c>
    </row>
    <row r="456" spans="14:18" x14ac:dyDescent="0.25">
      <c r="N456" s="14">
        <f t="shared" si="22"/>
        <v>353.67500000000126</v>
      </c>
      <c r="O456" s="14">
        <f t="shared" si="18"/>
        <v>56.727151647956717</v>
      </c>
      <c r="P456" s="14">
        <f t="shared" si="19"/>
        <v>296.94784835204456</v>
      </c>
      <c r="Q456" s="14">
        <f t="shared" si="20"/>
        <v>56.727151647956717</v>
      </c>
      <c r="R456" s="14">
        <f t="shared" si="21"/>
        <v>296.94784835204456</v>
      </c>
    </row>
    <row r="457" spans="14:18" x14ac:dyDescent="0.25">
      <c r="N457" s="14">
        <f t="shared" si="22"/>
        <v>357.78750000000127</v>
      </c>
      <c r="O457" s="14">
        <f t="shared" si="18"/>
        <v>68.295022010878569</v>
      </c>
      <c r="P457" s="14">
        <f t="shared" si="19"/>
        <v>289.49247798912268</v>
      </c>
      <c r="Q457" s="14">
        <f t="shared" si="20"/>
        <v>68.295022010878569</v>
      </c>
      <c r="R457" s="14">
        <f t="shared" si="21"/>
        <v>289.49247798912268</v>
      </c>
    </row>
    <row r="458" spans="14:18" x14ac:dyDescent="0.25">
      <c r="N458" s="14">
        <f t="shared" si="22"/>
        <v>361.90000000000128</v>
      </c>
      <c r="O458" s="14">
        <f t="shared" si="18"/>
        <v>80.888556376598444</v>
      </c>
      <c r="P458" s="14">
        <f t="shared" si="19"/>
        <v>281.01144362340284</v>
      </c>
      <c r="Q458" s="14">
        <f t="shared" si="20"/>
        <v>80.888556376598444</v>
      </c>
      <c r="R458" s="14">
        <f t="shared" si="21"/>
        <v>281.01144362340284</v>
      </c>
    </row>
    <row r="459" spans="14:18" x14ac:dyDescent="0.25">
      <c r="N459" s="14">
        <f t="shared" si="22"/>
        <v>366.0125000000013</v>
      </c>
      <c r="O459" s="14">
        <f t="shared" si="18"/>
        <v>94.874885646486987</v>
      </c>
      <c r="P459" s="14">
        <f t="shared" si="19"/>
        <v>271.13761435351432</v>
      </c>
      <c r="Q459" s="14">
        <f t="shared" si="20"/>
        <v>94.874885646486987</v>
      </c>
      <c r="R459" s="14">
        <f t="shared" si="21"/>
        <v>271.13761435351432</v>
      </c>
    </row>
    <row r="460" spans="14:18" x14ac:dyDescent="0.25">
      <c r="N460" s="14">
        <f t="shared" si="22"/>
        <v>370.12500000000131</v>
      </c>
      <c r="O460" s="14">
        <f t="shared" si="18"/>
        <v>110.92335189827728</v>
      </c>
      <c r="P460" s="14">
        <f t="shared" si="19"/>
        <v>259.201648101724</v>
      </c>
      <c r="Q460" s="14">
        <f t="shared" si="20"/>
        <v>110.92335189827728</v>
      </c>
      <c r="R460" s="14">
        <f t="shared" si="21"/>
        <v>259.201648101724</v>
      </c>
    </row>
    <row r="461" spans="14:18" x14ac:dyDescent="0.25">
      <c r="N461" s="14">
        <f t="shared" si="22"/>
        <v>374.23750000000132</v>
      </c>
      <c r="O461" s="14">
        <f t="shared" si="18"/>
        <v>130.54384217584453</v>
      </c>
      <c r="P461" s="14">
        <f t="shared" si="19"/>
        <v>243.69365782415679</v>
      </c>
      <c r="Q461" s="14">
        <f t="shared" si="20"/>
        <v>130.54384217584453</v>
      </c>
      <c r="R461" s="14">
        <f t="shared" si="21"/>
        <v>243.69365782415679</v>
      </c>
    </row>
    <row r="462" spans="14:18" x14ac:dyDescent="0.25">
      <c r="N462" s="14">
        <f t="shared" si="22"/>
        <v>378.35000000000133</v>
      </c>
      <c r="O462" s="14">
        <f t="shared" ref="O462:O470" si="23">(1/2)*(N462-SQRT(4*S_y^2-3*N462^2))</f>
        <v>159.51934075932203</v>
      </c>
      <c r="P462" s="14">
        <f t="shared" ref="P462:P470" si="24">(1/2)*(N462+SQRT(4*S_y^2-3*N462^2))</f>
        <v>218.8306592406793</v>
      </c>
      <c r="Q462" s="14">
        <f t="shared" si="20"/>
        <v>159.51934075932203</v>
      </c>
      <c r="R462" s="14">
        <f t="shared" si="21"/>
        <v>218.8306592406793</v>
      </c>
    </row>
    <row r="463" spans="14:18" x14ac:dyDescent="0.25">
      <c r="N463" s="14">
        <f t="shared" si="22"/>
        <v>382.46250000000134</v>
      </c>
      <c r="O463" s="14" t="e">
        <f t="shared" si="23"/>
        <v>#NUM!</v>
      </c>
      <c r="P463" s="14" t="e">
        <f t="shared" si="24"/>
        <v>#NUM!</v>
      </c>
      <c r="Q463" s="14">
        <f t="shared" ref="Q463:Q470" si="25">IF(ISNUMBER(O463),O463,IF(AND(ISNUMBER(O462),NOT(ISNUMBER(O463))),N463/2,IF(AND(ISNUMBER(O464),NOT(ISNUMBER(O463))),N463/2,NA())))</f>
        <v>191.23125000000067</v>
      </c>
      <c r="R463" s="14">
        <f t="shared" ref="R463:R470" si="26">IF(ISNUMBER(P463),P463,IF(AND(ISNUMBER(P462),NOT(ISNUMBER(P463))),N463/2,IF(AND(ISNUMBER(P464),NOT(ISNUMBER(P463))),N463/2,NA())))</f>
        <v>191.23125000000067</v>
      </c>
    </row>
    <row r="464" spans="14:18" x14ac:dyDescent="0.25">
      <c r="N464" s="14">
        <f t="shared" ref="N464:N470" si="27">N463+0.005*2*(-$N$270)</f>
        <v>386.57500000000135</v>
      </c>
      <c r="O464" s="14" t="e">
        <f t="shared" si="23"/>
        <v>#NUM!</v>
      </c>
      <c r="P464" s="14" t="e">
        <f t="shared" si="24"/>
        <v>#NUM!</v>
      </c>
      <c r="Q464" s="14" t="e">
        <f t="shared" si="25"/>
        <v>#N/A</v>
      </c>
      <c r="R464" s="14" t="e">
        <f t="shared" si="26"/>
        <v>#N/A</v>
      </c>
    </row>
    <row r="465" spans="14:18" x14ac:dyDescent="0.25">
      <c r="N465" s="14">
        <f t="shared" si="27"/>
        <v>390.68750000000136</v>
      </c>
      <c r="O465" s="14" t="e">
        <f t="shared" si="23"/>
        <v>#NUM!</v>
      </c>
      <c r="P465" s="14" t="e">
        <f t="shared" si="24"/>
        <v>#NUM!</v>
      </c>
      <c r="Q465" s="14" t="e">
        <f t="shared" si="25"/>
        <v>#N/A</v>
      </c>
      <c r="R465" s="14" t="e">
        <f t="shared" si="26"/>
        <v>#N/A</v>
      </c>
    </row>
    <row r="466" spans="14:18" x14ac:dyDescent="0.25">
      <c r="N466" s="14">
        <f t="shared" si="27"/>
        <v>394.80000000000138</v>
      </c>
      <c r="O466" s="14" t="e">
        <f t="shared" si="23"/>
        <v>#NUM!</v>
      </c>
      <c r="P466" s="14" t="e">
        <f t="shared" si="24"/>
        <v>#NUM!</v>
      </c>
      <c r="Q466" s="14" t="e">
        <f t="shared" si="25"/>
        <v>#N/A</v>
      </c>
      <c r="R466" s="14" t="e">
        <f t="shared" si="26"/>
        <v>#N/A</v>
      </c>
    </row>
    <row r="467" spans="14:18" x14ac:dyDescent="0.25">
      <c r="N467" s="14">
        <f t="shared" si="27"/>
        <v>398.91250000000139</v>
      </c>
      <c r="O467" s="14" t="e">
        <f t="shared" si="23"/>
        <v>#NUM!</v>
      </c>
      <c r="P467" s="14" t="e">
        <f t="shared" si="24"/>
        <v>#NUM!</v>
      </c>
      <c r="Q467" s="14" t="e">
        <f t="shared" si="25"/>
        <v>#N/A</v>
      </c>
      <c r="R467" s="14" t="e">
        <f t="shared" si="26"/>
        <v>#N/A</v>
      </c>
    </row>
    <row r="468" spans="14:18" x14ac:dyDescent="0.25">
      <c r="N468" s="14">
        <f t="shared" si="27"/>
        <v>403.0250000000014</v>
      </c>
      <c r="O468" s="14" t="e">
        <f t="shared" si="23"/>
        <v>#NUM!</v>
      </c>
      <c r="P468" s="14" t="e">
        <f t="shared" si="24"/>
        <v>#NUM!</v>
      </c>
      <c r="Q468" s="14" t="e">
        <f t="shared" si="25"/>
        <v>#N/A</v>
      </c>
      <c r="R468" s="14" t="e">
        <f t="shared" si="26"/>
        <v>#N/A</v>
      </c>
    </row>
    <row r="469" spans="14:18" x14ac:dyDescent="0.25">
      <c r="N469" s="14">
        <f t="shared" si="27"/>
        <v>407.13750000000141</v>
      </c>
      <c r="O469" s="14" t="e">
        <f t="shared" si="23"/>
        <v>#NUM!</v>
      </c>
      <c r="P469" s="14" t="e">
        <f t="shared" si="24"/>
        <v>#NUM!</v>
      </c>
      <c r="Q469" s="14" t="e">
        <f t="shared" si="25"/>
        <v>#N/A</v>
      </c>
      <c r="R469" s="14" t="e">
        <f t="shared" si="26"/>
        <v>#N/A</v>
      </c>
    </row>
    <row r="470" spans="14:18" x14ac:dyDescent="0.25">
      <c r="N470" s="14">
        <f t="shared" si="27"/>
        <v>411.25000000000142</v>
      </c>
      <c r="O470" s="14" t="e">
        <f t="shared" si="23"/>
        <v>#NUM!</v>
      </c>
      <c r="P470" s="14" t="e">
        <f t="shared" si="24"/>
        <v>#NUM!</v>
      </c>
      <c r="Q470" s="14" t="e">
        <f t="shared" si="25"/>
        <v>#N/A</v>
      </c>
      <c r="R470" s="14" t="e">
        <f t="shared" si="26"/>
        <v>#N/A</v>
      </c>
    </row>
  </sheetData>
  <sheetProtection algorithmName="SHA-512" hashValue="FI59NFlg3Kf1IS5NeM6qJgPqCREbTFAtYOhkJVTlPvkYbjE06Ccflgl/Ufe9cZezWd10Owc+CHLjGgY1fVfMLQ==" saltValue="+wHdSB1/rWnSWBAGyR3xnA==" spinCount="100000" sheet="1" objects="1" scenarios="1"/>
  <mergeCells count="8">
    <mergeCell ref="K269:L269"/>
    <mergeCell ref="B263:D263"/>
    <mergeCell ref="H279:J279"/>
    <mergeCell ref="B7:E7"/>
    <mergeCell ref="B16:E16"/>
    <mergeCell ref="B34:D34"/>
    <mergeCell ref="B41:D41"/>
    <mergeCell ref="H269:J269"/>
  </mergeCells>
  <conditionalFormatting sqref="D36:D38 C24:C25 C30">
    <cfRule type="containsText" dxfId="4" priority="3" operator="containsText" text="Fail">
      <formula>NOT(ISERROR(SEARCH("Fail",C24)))</formula>
    </cfRule>
  </conditionalFormatting>
  <conditionalFormatting sqref="C24:C25 C30">
    <cfRule type="containsText" dxfId="3" priority="2" operator="containsText" text="Pass">
      <formula>NOT(ISERROR(SEARCH("Pass",C24)))</formula>
    </cfRule>
  </conditionalFormatting>
  <conditionalFormatting sqref="C25 C31:C32 C18:C19">
    <cfRule type="cellIs" dxfId="2" priority="1" operator="lessThan">
      <formula>1</formula>
    </cfRule>
  </conditionalFormatting>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150FF-EC3C-4967-9A15-B44BA8CE0323}">
  <dimension ref="B1:J260"/>
  <sheetViews>
    <sheetView tabSelected="1" workbookViewId="0">
      <selection activeCell="E13" sqref="E13"/>
    </sheetView>
  </sheetViews>
  <sheetFormatPr defaultRowHeight="15" x14ac:dyDescent="0.25"/>
  <cols>
    <col min="1" max="2" width="9.140625" style="14"/>
    <col min="3" max="3" width="13.42578125" style="14" bestFit="1" customWidth="1"/>
    <col min="4" max="4" width="9.140625" style="14"/>
    <col min="5" max="5" width="56.85546875" style="14" bestFit="1" customWidth="1"/>
    <col min="6" max="16384" width="9.140625" style="14"/>
  </cols>
  <sheetData>
    <row r="1" spans="2:9" x14ac:dyDescent="0.25">
      <c r="B1" s="78" t="s">
        <v>13</v>
      </c>
    </row>
    <row r="2" spans="2:9" x14ac:dyDescent="0.25">
      <c r="B2" s="78" t="s">
        <v>100</v>
      </c>
    </row>
    <row r="3" spans="2:9" ht="15.75" thickBot="1" x14ac:dyDescent="0.3">
      <c r="B3" s="87" t="s">
        <v>170</v>
      </c>
      <c r="C3" s="87"/>
      <c r="D3" s="87"/>
      <c r="E3" s="87"/>
      <c r="F3" s="87"/>
    </row>
    <row r="4" spans="2:9" ht="15.75" thickBot="1" x14ac:dyDescent="0.3">
      <c r="B4" s="15" t="s">
        <v>14</v>
      </c>
      <c r="C4" s="16"/>
      <c r="D4" s="16"/>
      <c r="E4" s="17"/>
      <c r="G4" s="88" t="s">
        <v>15</v>
      </c>
      <c r="H4" s="89"/>
      <c r="I4" s="90"/>
    </row>
    <row r="5" spans="2:9" ht="18.75" thickBot="1" x14ac:dyDescent="0.4">
      <c r="B5" s="91" t="s">
        <v>16</v>
      </c>
      <c r="C5" s="92" t="s">
        <v>17</v>
      </c>
      <c r="D5" s="92" t="s">
        <v>18</v>
      </c>
      <c r="E5" s="93" t="s">
        <v>19</v>
      </c>
      <c r="G5" s="94" t="s">
        <v>20</v>
      </c>
      <c r="H5" s="95" t="s">
        <v>21</v>
      </c>
      <c r="I5" s="96" t="s">
        <v>22</v>
      </c>
    </row>
    <row r="6" spans="2:9" ht="18" x14ac:dyDescent="0.35">
      <c r="B6" s="21" t="s">
        <v>23</v>
      </c>
      <c r="C6" s="83">
        <v>-17</v>
      </c>
      <c r="D6" s="70" t="s">
        <v>24</v>
      </c>
      <c r="E6" s="71" t="s">
        <v>25</v>
      </c>
      <c r="G6" s="97" t="s">
        <v>21</v>
      </c>
      <c r="H6" s="98" t="s">
        <v>26</v>
      </c>
      <c r="I6" s="99" t="s">
        <v>27</v>
      </c>
    </row>
    <row r="7" spans="2:9" ht="18.75" thickBot="1" x14ac:dyDescent="0.4">
      <c r="B7" s="25" t="s">
        <v>28</v>
      </c>
      <c r="C7" s="84">
        <v>20</v>
      </c>
      <c r="D7" s="30" t="str">
        <f>$D$6</f>
        <v>MPa</v>
      </c>
      <c r="E7" s="31" t="s">
        <v>29</v>
      </c>
      <c r="G7" s="100" t="s">
        <v>22</v>
      </c>
      <c r="H7" s="101" t="s">
        <v>27</v>
      </c>
      <c r="I7" s="102" t="s">
        <v>30</v>
      </c>
    </row>
    <row r="8" spans="2:9" ht="18" x14ac:dyDescent="0.35">
      <c r="B8" s="25" t="s">
        <v>31</v>
      </c>
      <c r="C8" s="84">
        <v>1</v>
      </c>
      <c r="D8" s="30" t="str">
        <f t="shared" ref="D8:D11" si="0">$D$6</f>
        <v>MPa</v>
      </c>
      <c r="E8" s="31" t="s">
        <v>32</v>
      </c>
      <c r="G8" s="103">
        <f>C6</f>
        <v>-17</v>
      </c>
      <c r="H8" s="104">
        <f>C9</f>
        <v>11</v>
      </c>
      <c r="I8" s="105">
        <f>-C10</f>
        <v>-1</v>
      </c>
    </row>
    <row r="9" spans="2:9" ht="18" x14ac:dyDescent="0.35">
      <c r="B9" s="106" t="s">
        <v>33</v>
      </c>
      <c r="C9" s="84">
        <v>11</v>
      </c>
      <c r="D9" s="30" t="str">
        <f t="shared" si="0"/>
        <v>MPa</v>
      </c>
      <c r="E9" s="31" t="s">
        <v>34</v>
      </c>
      <c r="G9" s="50">
        <f>C9</f>
        <v>11</v>
      </c>
      <c r="H9" s="51">
        <f>C7</f>
        <v>20</v>
      </c>
      <c r="I9" s="31">
        <f>C11</f>
        <v>15</v>
      </c>
    </row>
    <row r="10" spans="2:9" ht="18.75" thickBot="1" x14ac:dyDescent="0.4">
      <c r="B10" s="106" t="s">
        <v>35</v>
      </c>
      <c r="C10" s="84">
        <v>1</v>
      </c>
      <c r="D10" s="30" t="str">
        <f t="shared" si="0"/>
        <v>MPa</v>
      </c>
      <c r="E10" s="31" t="s">
        <v>36</v>
      </c>
      <c r="G10" s="53">
        <f>-C10</f>
        <v>-1</v>
      </c>
      <c r="H10" s="54">
        <f>C11</f>
        <v>15</v>
      </c>
      <c r="I10" s="107">
        <f>C8</f>
        <v>1</v>
      </c>
    </row>
    <row r="11" spans="2:9" ht="18.75" thickBot="1" x14ac:dyDescent="0.4">
      <c r="B11" s="108" t="s">
        <v>37</v>
      </c>
      <c r="C11" s="85">
        <v>15</v>
      </c>
      <c r="D11" s="72" t="str">
        <f t="shared" si="0"/>
        <v>MPa</v>
      </c>
      <c r="E11" s="73" t="s">
        <v>38</v>
      </c>
    </row>
    <row r="12" spans="2:9" ht="18.75" thickBot="1" x14ac:dyDescent="0.4">
      <c r="B12" s="109" t="s">
        <v>95</v>
      </c>
      <c r="C12" s="196">
        <v>30</v>
      </c>
      <c r="D12" s="110" t="s">
        <v>24</v>
      </c>
      <c r="E12" s="111" t="s">
        <v>96</v>
      </c>
    </row>
    <row r="13" spans="2:9" x14ac:dyDescent="0.25">
      <c r="B13" s="112" t="s">
        <v>64</v>
      </c>
      <c r="C13" s="197">
        <v>46.2</v>
      </c>
      <c r="D13" s="48" t="s">
        <v>65</v>
      </c>
      <c r="E13" s="71" t="s">
        <v>105</v>
      </c>
    </row>
    <row r="14" spans="2:9" x14ac:dyDescent="0.25">
      <c r="B14" s="76" t="s">
        <v>66</v>
      </c>
      <c r="C14" s="8">
        <v>0.245</v>
      </c>
      <c r="D14" s="51" t="s">
        <v>67</v>
      </c>
      <c r="E14" s="31" t="s">
        <v>68</v>
      </c>
    </row>
    <row r="15" spans="2:9" ht="15.75" thickBot="1" x14ac:dyDescent="0.3">
      <c r="B15" s="113" t="s">
        <v>69</v>
      </c>
      <c r="C15" s="198">
        <f>1*2*3*0.0254^3</f>
        <v>9.8322383999999995E-5</v>
      </c>
      <c r="D15" s="54" t="s">
        <v>70</v>
      </c>
      <c r="E15" s="107" t="s">
        <v>106</v>
      </c>
    </row>
    <row r="16" spans="2:9" ht="15.75" thickBot="1" x14ac:dyDescent="0.3"/>
    <row r="17" spans="2:7" x14ac:dyDescent="0.25">
      <c r="B17" s="114" t="s">
        <v>107</v>
      </c>
      <c r="C17" s="115"/>
      <c r="D17" s="115"/>
      <c r="E17" s="116"/>
    </row>
    <row r="18" spans="2:7" x14ac:dyDescent="0.25">
      <c r="B18" s="117" t="str">
        <f>IF(OR(AND(C6=0,C9=0,C10=0),AND(C7=0,C9=0,C11=0),AND(C8=0,C10=0,C11=0)),"Plane Stress","Non-Plane Stress")</f>
        <v>Non-Plane Stress</v>
      </c>
      <c r="C18" s="68"/>
      <c r="D18" s="51" t="s">
        <v>108</v>
      </c>
      <c r="E18" s="31" t="s">
        <v>109</v>
      </c>
    </row>
    <row r="19" spans="2:7" ht="15.75" thickBot="1" x14ac:dyDescent="0.3">
      <c r="B19" s="118" t="str">
        <f>IF(B18="Plane Stress","Consider using 2D sheet instead!","Using 3D sheet instead of 2D sheet is right choice :) ")</f>
        <v xml:space="preserve">Using 3D sheet instead of 2D sheet is right choice :) </v>
      </c>
      <c r="C19" s="119"/>
      <c r="D19" s="119"/>
      <c r="E19" s="120"/>
    </row>
    <row r="20" spans="2:7" ht="15.75" thickBot="1" x14ac:dyDescent="0.3"/>
    <row r="21" spans="2:7" ht="15.75" thickBot="1" x14ac:dyDescent="0.3">
      <c r="B21" s="121" t="s">
        <v>39</v>
      </c>
      <c r="C21" s="122"/>
      <c r="D21" s="123"/>
    </row>
    <row r="22" spans="2:7" ht="18.75" thickBot="1" x14ac:dyDescent="0.4">
      <c r="B22" s="124" t="s">
        <v>40</v>
      </c>
      <c r="C22" s="125">
        <f>C6+C7+C8</f>
        <v>4</v>
      </c>
      <c r="D22" s="126" t="s">
        <v>24</v>
      </c>
      <c r="E22" s="127" t="s">
        <v>41</v>
      </c>
    </row>
    <row r="23" spans="2:7" ht="18.75" thickBot="1" x14ac:dyDescent="0.4">
      <c r="B23" s="128" t="s">
        <v>42</v>
      </c>
      <c r="C23" s="129">
        <f>C6*C7+C6*C8+C7*C8-C9^2-C11^2-(-C10)^2</f>
        <v>-684</v>
      </c>
      <c r="D23" s="130" t="s">
        <v>43</v>
      </c>
      <c r="E23" s="127"/>
    </row>
    <row r="24" spans="2:7" ht="18.75" thickBot="1" x14ac:dyDescent="0.4">
      <c r="B24" s="124" t="s">
        <v>44</v>
      </c>
      <c r="C24" s="131">
        <f>MDETERM(G8:I10)</f>
        <v>3014.0000000000005</v>
      </c>
      <c r="D24" s="132"/>
      <c r="E24" s="127"/>
    </row>
    <row r="25" spans="2:7" ht="15.75" thickBot="1" x14ac:dyDescent="0.3">
      <c r="B25" s="133"/>
      <c r="C25" s="133"/>
      <c r="D25" s="133"/>
    </row>
    <row r="26" spans="2:7" ht="15" customHeight="1" x14ac:dyDescent="0.25">
      <c r="B26" s="134" t="s">
        <v>45</v>
      </c>
      <c r="C26" s="135"/>
      <c r="D26" s="135"/>
      <c r="E26" s="136"/>
      <c r="G26" s="14" t="s">
        <v>46</v>
      </c>
    </row>
    <row r="27" spans="2:7" x14ac:dyDescent="0.25">
      <c r="B27" s="137"/>
      <c r="C27" s="138"/>
      <c r="D27" s="138"/>
      <c r="E27" s="139"/>
    </row>
    <row r="28" spans="2:7" x14ac:dyDescent="0.25">
      <c r="B28" s="137"/>
      <c r="C28" s="138"/>
      <c r="D28" s="138"/>
      <c r="E28" s="139"/>
    </row>
    <row r="29" spans="2:7" ht="18.75" thickBot="1" x14ac:dyDescent="0.4">
      <c r="B29" s="140" t="s">
        <v>47</v>
      </c>
      <c r="C29" s="141"/>
      <c r="D29" s="141" t="s">
        <v>48</v>
      </c>
      <c r="E29" s="142"/>
    </row>
    <row r="30" spans="2:7" ht="18" x14ac:dyDescent="0.35">
      <c r="B30" s="143" t="s">
        <v>163</v>
      </c>
      <c r="C30" s="199">
        <v>-21.39</v>
      </c>
      <c r="D30" s="144" t="str">
        <f>D6</f>
        <v>MPa</v>
      </c>
      <c r="E30" s="145" t="s">
        <v>49</v>
      </c>
    </row>
    <row r="31" spans="2:7" ht="18" x14ac:dyDescent="0.35">
      <c r="B31" s="146" t="s">
        <v>164</v>
      </c>
      <c r="C31" s="200">
        <v>-4.6852</v>
      </c>
      <c r="D31" s="147" t="str">
        <f>D6</f>
        <v>MPa</v>
      </c>
      <c r="E31" s="148" t="s">
        <v>50</v>
      </c>
    </row>
    <row r="32" spans="2:7" ht="18.75" thickBot="1" x14ac:dyDescent="0.4">
      <c r="B32" s="149" t="s">
        <v>165</v>
      </c>
      <c r="C32" s="201">
        <v>30.075199999999999</v>
      </c>
      <c r="D32" s="150" t="str">
        <f>D6</f>
        <v>MPa</v>
      </c>
      <c r="E32" s="151" t="s">
        <v>51</v>
      </c>
    </row>
    <row r="33" spans="2:5" ht="18" x14ac:dyDescent="0.35">
      <c r="B33" s="21" t="s">
        <v>52</v>
      </c>
      <c r="C33" s="152">
        <f>MAX(C30:C32)</f>
        <v>30.075199999999999</v>
      </c>
      <c r="D33" s="153" t="str">
        <f>D6</f>
        <v>MPa</v>
      </c>
      <c r="E33" s="71" t="s">
        <v>53</v>
      </c>
    </row>
    <row r="34" spans="2:5" ht="18" x14ac:dyDescent="0.35">
      <c r="B34" s="25" t="s">
        <v>54</v>
      </c>
      <c r="C34" s="154">
        <f>IF(AND(C30&lt;&gt;C33,C30&lt;&gt;C35),C30,IF(AND(C31&lt;&gt;C33,C31&lt;&gt;C35),C31,IF(AND(C32&lt;&gt;C33,C32&lt;&gt;C35),C32)))</f>
        <v>-4.6852</v>
      </c>
      <c r="D34" s="155" t="str">
        <f>D6</f>
        <v>MPa</v>
      </c>
      <c r="E34" s="31" t="s">
        <v>55</v>
      </c>
    </row>
    <row r="35" spans="2:5" ht="18.75" thickBot="1" x14ac:dyDescent="0.4">
      <c r="B35" s="37" t="s">
        <v>56</v>
      </c>
      <c r="C35" s="156">
        <f>MIN(C30:C32)</f>
        <v>-21.39</v>
      </c>
      <c r="D35" s="157" t="str">
        <f>D6</f>
        <v>MPa</v>
      </c>
      <c r="E35" s="107" t="s">
        <v>57</v>
      </c>
    </row>
    <row r="36" spans="2:5" ht="15.75" thickBot="1" x14ac:dyDescent="0.3"/>
    <row r="37" spans="2:5" x14ac:dyDescent="0.25">
      <c r="B37" s="158" t="s">
        <v>58</v>
      </c>
      <c r="C37" s="159"/>
      <c r="D37" s="159"/>
      <c r="E37" s="160"/>
    </row>
    <row r="38" spans="2:5" ht="18" x14ac:dyDescent="0.35">
      <c r="B38" s="25" t="s">
        <v>59</v>
      </c>
      <c r="C38" s="161">
        <f>MAX(C33:C35)</f>
        <v>30.075199999999999</v>
      </c>
      <c r="D38" s="155" t="str">
        <f>D6</f>
        <v>MPa</v>
      </c>
      <c r="E38" s="31" t="s">
        <v>166</v>
      </c>
    </row>
    <row r="39" spans="2:5" ht="18" x14ac:dyDescent="0.35">
      <c r="B39" s="25" t="s">
        <v>60</v>
      </c>
      <c r="C39" s="161">
        <f>MIN(C33:C35)</f>
        <v>-21.39</v>
      </c>
      <c r="D39" s="155" t="str">
        <f>D6</f>
        <v>MPa</v>
      </c>
      <c r="E39" s="31" t="s">
        <v>167</v>
      </c>
    </row>
    <row r="40" spans="2:5" ht="18" x14ac:dyDescent="0.35">
      <c r="B40" s="25" t="s">
        <v>61</v>
      </c>
      <c r="C40" s="162" cm="1">
        <f t="array" ref="C40">MAX(ABS(C33:C35))</f>
        <v>30.075199999999999</v>
      </c>
      <c r="D40" s="155" t="str">
        <f>D6</f>
        <v>MPa</v>
      </c>
      <c r="E40" s="31" t="s">
        <v>168</v>
      </c>
    </row>
    <row r="41" spans="2:5" ht="18.75" thickBot="1" x14ac:dyDescent="0.4">
      <c r="B41" s="44" t="s">
        <v>62</v>
      </c>
      <c r="C41" s="163">
        <f>(C33-C35)/2</f>
        <v>25.732599999999998</v>
      </c>
      <c r="D41" s="164" t="str">
        <f>D6</f>
        <v>MPa</v>
      </c>
      <c r="E41" s="73" t="s">
        <v>169</v>
      </c>
    </row>
    <row r="42" spans="2:5" x14ac:dyDescent="0.25">
      <c r="B42" s="47" t="s">
        <v>71</v>
      </c>
      <c r="C42" s="165">
        <f>(1/(2*C13*1000))*(C33^2+C34^2+C35^2-2*C14*(C33*C34+C34*C35+C35*C33))*1000*1000</f>
        <v>18605.639213523809</v>
      </c>
      <c r="D42" s="48" t="s">
        <v>72</v>
      </c>
      <c r="E42" s="71" t="s">
        <v>73</v>
      </c>
    </row>
    <row r="43" spans="2:5" x14ac:dyDescent="0.25">
      <c r="B43" s="50" t="s">
        <v>74</v>
      </c>
      <c r="C43" s="12">
        <f>C42*C15</f>
        <v>1.8293508033175458</v>
      </c>
      <c r="D43" s="51" t="s">
        <v>75</v>
      </c>
      <c r="E43" s="31" t="s">
        <v>76</v>
      </c>
    </row>
    <row r="44" spans="2:5" x14ac:dyDescent="0.25">
      <c r="B44" s="166" t="s">
        <v>148</v>
      </c>
      <c r="C44" s="51">
        <f>SQRT(((C33-C34)^2+(C34-C35)^2+(C35-C33)^2)/2)</f>
        <v>45.475282089504397</v>
      </c>
      <c r="D44" s="51" t="str">
        <f>D33</f>
        <v>MPa</v>
      </c>
      <c r="E44" s="31" t="s">
        <v>147</v>
      </c>
    </row>
    <row r="45" spans="2:5" ht="15.75" thickBot="1" x14ac:dyDescent="0.3">
      <c r="B45" s="167" t="s">
        <v>148</v>
      </c>
      <c r="C45" s="168">
        <f>1/SQRT(2)*SQRT((C6-C7)^2+(C7-C8)^2+(C8-C6)^2+6*(C9^2+C11^2+(C10^2)))</f>
        <v>45.475268003608285</v>
      </c>
      <c r="D45" s="54" t="str">
        <f>D34</f>
        <v>MPa</v>
      </c>
      <c r="E45" s="107" t="s">
        <v>149</v>
      </c>
    </row>
    <row r="46" spans="2:5" x14ac:dyDescent="0.25">
      <c r="B46" s="169"/>
    </row>
    <row r="53" spans="2:2" x14ac:dyDescent="0.25">
      <c r="B53" s="169"/>
    </row>
    <row r="54" spans="2:2" x14ac:dyDescent="0.25">
      <c r="B54" s="169"/>
    </row>
    <row r="124" spans="2:8" x14ac:dyDescent="0.25">
      <c r="B124" s="170" t="s">
        <v>77</v>
      </c>
      <c r="C124" s="170"/>
      <c r="D124" s="170"/>
      <c r="E124" s="170"/>
      <c r="F124" s="170"/>
      <c r="G124" s="170"/>
      <c r="H124" s="170"/>
    </row>
    <row r="125" spans="2:8" x14ac:dyDescent="0.25">
      <c r="B125" s="14" t="s">
        <v>78</v>
      </c>
      <c r="C125" s="14">
        <v>1.2334602944743091E-9</v>
      </c>
    </row>
    <row r="126" spans="2:8" x14ac:dyDescent="0.25">
      <c r="C126" s="14" t="s">
        <v>79</v>
      </c>
      <c r="D126" s="14" t="s">
        <v>80</v>
      </c>
      <c r="E126" s="14" t="s">
        <v>81</v>
      </c>
      <c r="F126" s="14" t="s">
        <v>82</v>
      </c>
      <c r="H126" s="14" t="s">
        <v>83</v>
      </c>
    </row>
    <row r="127" spans="2:8" x14ac:dyDescent="0.25">
      <c r="B127" s="14" t="s">
        <v>84</v>
      </c>
      <c r="C127" s="14">
        <v>1</v>
      </c>
      <c r="D127" s="171">
        <f>-C22</f>
        <v>-4</v>
      </c>
      <c r="E127" s="171">
        <f>C23</f>
        <v>-684</v>
      </c>
      <c r="F127" s="171">
        <f>C24</f>
        <v>3014.0000000000005</v>
      </c>
      <c r="G127" s="14" t="s">
        <v>85</v>
      </c>
      <c r="H127" s="14">
        <f>C127*C125^3+D127*C125^2+E127*C125+F127</f>
        <v>3013.9999991563136</v>
      </c>
    </row>
    <row r="157" spans="2:10" ht="15.75" thickBot="1" x14ac:dyDescent="0.3"/>
    <row r="158" spans="2:10" x14ac:dyDescent="0.25">
      <c r="B158" s="172" t="s">
        <v>86</v>
      </c>
      <c r="C158" s="173"/>
      <c r="D158" s="174"/>
      <c r="E158" s="175" t="s">
        <v>87</v>
      </c>
      <c r="F158" s="173"/>
      <c r="G158" s="176"/>
      <c r="H158" s="172" t="s">
        <v>88</v>
      </c>
      <c r="I158" s="173"/>
      <c r="J158" s="174"/>
    </row>
    <row r="159" spans="2:10" ht="45.75" thickBot="1" x14ac:dyDescent="0.3">
      <c r="B159" s="177" t="s">
        <v>89</v>
      </c>
      <c r="C159" s="178" t="s">
        <v>90</v>
      </c>
      <c r="D159" s="179" t="s">
        <v>91</v>
      </c>
      <c r="E159" s="180" t="s">
        <v>89</v>
      </c>
      <c r="F159" s="178" t="s">
        <v>90</v>
      </c>
      <c r="G159" s="181" t="s">
        <v>91</v>
      </c>
      <c r="H159" s="177" t="s">
        <v>89</v>
      </c>
      <c r="I159" s="178" t="s">
        <v>90</v>
      </c>
      <c r="J159" s="179" t="s">
        <v>91</v>
      </c>
    </row>
    <row r="160" spans="2:10" x14ac:dyDescent="0.25">
      <c r="B160" s="182">
        <f>C35</f>
        <v>-21.39</v>
      </c>
      <c r="C160" s="183">
        <f>IFERROR(SQRT(ABS(($C$34-$C$35)/2)^2-((B160-(($C$35+$C$34)/2))^2)),0)</f>
        <v>0</v>
      </c>
      <c r="D160" s="184">
        <f>-C160</f>
        <v>0</v>
      </c>
      <c r="E160" s="185">
        <f>C34</f>
        <v>-4.6852</v>
      </c>
      <c r="F160" s="104">
        <f>IFERROR(SQRT(ABS(($C$33-$C$34)/2)^2-((E160-(($C$34+$C$33)/2))^2)),0)</f>
        <v>0</v>
      </c>
      <c r="G160" s="186">
        <f>-F160</f>
        <v>0</v>
      </c>
      <c r="H160" s="182">
        <f>C35</f>
        <v>-21.39</v>
      </c>
      <c r="I160" s="104">
        <f>IFERROR(SQRT(ABS(($C$33-$C$35)/2)^2-((H160-(($C$35+$C$33)/2))^2)),0)</f>
        <v>0</v>
      </c>
      <c r="J160" s="105">
        <f>-I160</f>
        <v>0</v>
      </c>
    </row>
    <row r="161" spans="2:10" x14ac:dyDescent="0.25">
      <c r="B161" s="187">
        <f>B160+0.01*($C$34-$C$35)</f>
        <v>-21.222951999999999</v>
      </c>
      <c r="C161" s="66">
        <f t="shared" ref="C161:C224" si="1">IFERROR(SQRT(ABS(($C$34-$C$35)/2)^2-((B161-(($C$35+$C$34)/2))^2)),0)</f>
        <v>1.6621066139378737</v>
      </c>
      <c r="D161" s="188">
        <f t="shared" ref="D161:D224" si="2">-C161</f>
        <v>-1.6621066139378737</v>
      </c>
      <c r="E161" s="189">
        <f>E160+0.01*($C$33-$C$34)</f>
        <v>-4.3375960000000005</v>
      </c>
      <c r="F161" s="51">
        <f>IFERROR(SQRT(ABS(($C$33-$C$34)/2)^2-((E161-(($C$34+$C$33)/2))^2)),0)</f>
        <v>3.4586161308800785</v>
      </c>
      <c r="G161" s="190">
        <f t="shared" ref="G161:G224" si="3">-F161</f>
        <v>-3.4586161308800785</v>
      </c>
      <c r="H161" s="187">
        <f>H160+0.01*($C$33-$C$35)</f>
        <v>-20.875347999999999</v>
      </c>
      <c r="I161" s="51">
        <f t="shared" ref="I161:I224" si="4">IFERROR(SQRT(ABS(($C$33-$C$35)/2)^2-((H161-(($C$35+$C$33)/2))^2)),0)</f>
        <v>5.1207227448179582</v>
      </c>
      <c r="J161" s="31">
        <f t="shared" ref="J161:J224" si="5">-I161</f>
        <v>-5.1207227448179582</v>
      </c>
    </row>
    <row r="162" spans="2:10" x14ac:dyDescent="0.25">
      <c r="B162" s="187">
        <f t="shared" ref="B162:B225" si="6">B161+0.01*($C$34-$C$35)</f>
        <v>-21.055903999999998</v>
      </c>
      <c r="C162" s="66">
        <f t="shared" si="1"/>
        <v>2.3386720000000079</v>
      </c>
      <c r="D162" s="188">
        <f t="shared" si="2"/>
        <v>-2.3386720000000079</v>
      </c>
      <c r="E162" s="189">
        <f t="shared" ref="E162:E225" si="7">E161+0.01*($C$33-$C$34)</f>
        <v>-3.9899920000000004</v>
      </c>
      <c r="F162" s="51">
        <f t="shared" ref="F162:F225" si="8">IFERROR(SQRT(ABS(($C$33-$C$34)/2)^2-((E162-(($C$34+$C$33)/2))^2)),0)</f>
        <v>4.8664559999999923</v>
      </c>
      <c r="G162" s="190">
        <f t="shared" si="3"/>
        <v>-4.8664559999999923</v>
      </c>
      <c r="H162" s="187">
        <f t="shared" ref="H162:H225" si="9">H161+0.01*($C$33-$C$35)</f>
        <v>-20.360695999999997</v>
      </c>
      <c r="I162" s="51">
        <f t="shared" si="4"/>
        <v>7.2051280000000153</v>
      </c>
      <c r="J162" s="31">
        <f t="shared" si="5"/>
        <v>-7.2051280000000153</v>
      </c>
    </row>
    <row r="163" spans="2:10" x14ac:dyDescent="0.25">
      <c r="B163" s="187">
        <f t="shared" si="6"/>
        <v>-20.888855999999997</v>
      </c>
      <c r="C163" s="66">
        <f t="shared" si="1"/>
        <v>2.8496254109029944</v>
      </c>
      <c r="D163" s="188">
        <f t="shared" si="2"/>
        <v>-2.8496254109029944</v>
      </c>
      <c r="E163" s="189">
        <f t="shared" si="7"/>
        <v>-3.6423880000000004</v>
      </c>
      <c r="F163" s="51">
        <f t="shared" si="8"/>
        <v>5.9296800400574696</v>
      </c>
      <c r="G163" s="190">
        <f t="shared" si="3"/>
        <v>-5.9296800400574696</v>
      </c>
      <c r="H163" s="187">
        <f t="shared" si="9"/>
        <v>-19.846043999999996</v>
      </c>
      <c r="I163" s="51">
        <f t="shared" si="4"/>
        <v>8.7793054509604627</v>
      </c>
      <c r="J163" s="31">
        <f t="shared" si="5"/>
        <v>-8.7793054509604627</v>
      </c>
    </row>
    <row r="164" spans="2:10" x14ac:dyDescent="0.25">
      <c r="B164" s="187">
        <f t="shared" si="6"/>
        <v>-20.721807999999996</v>
      </c>
      <c r="C164" s="66">
        <f t="shared" si="1"/>
        <v>3.2734589004195658</v>
      </c>
      <c r="D164" s="188">
        <f t="shared" si="2"/>
        <v>-3.2734589004195658</v>
      </c>
      <c r="E164" s="189">
        <f t="shared" si="7"/>
        <v>-3.2947840000000004</v>
      </c>
      <c r="F164" s="51">
        <f t="shared" si="8"/>
        <v>6.8116194604032287</v>
      </c>
      <c r="G164" s="190">
        <f t="shared" si="3"/>
        <v>-6.8116194604032287</v>
      </c>
      <c r="H164" s="187">
        <f t="shared" si="9"/>
        <v>-19.331391999999994</v>
      </c>
      <c r="I164" s="51">
        <f t="shared" si="4"/>
        <v>10.085078360822804</v>
      </c>
      <c r="J164" s="31">
        <f t="shared" si="5"/>
        <v>-10.085078360822804</v>
      </c>
    </row>
    <row r="165" spans="2:10" x14ac:dyDescent="0.25">
      <c r="B165" s="187">
        <f t="shared" si="6"/>
        <v>-20.554759999999995</v>
      </c>
      <c r="C165" s="66">
        <f t="shared" si="1"/>
        <v>3.6407267536029244</v>
      </c>
      <c r="D165" s="188">
        <f t="shared" si="2"/>
        <v>-3.6407267536029244</v>
      </c>
      <c r="E165" s="189">
        <f t="shared" si="7"/>
        <v>-2.9471800000000004</v>
      </c>
      <c r="F165" s="51">
        <f t="shared" si="8"/>
        <v>7.5758535418525597</v>
      </c>
      <c r="G165" s="190">
        <f t="shared" si="3"/>
        <v>-7.5758535418525597</v>
      </c>
      <c r="H165" s="187">
        <f t="shared" si="9"/>
        <v>-18.816739999999992</v>
      </c>
      <c r="I165" s="51">
        <f t="shared" si="4"/>
        <v>11.216580295455485</v>
      </c>
      <c r="J165" s="31">
        <f t="shared" si="5"/>
        <v>-11.216580295455485</v>
      </c>
    </row>
    <row r="166" spans="2:10" x14ac:dyDescent="0.25">
      <c r="B166" s="187">
        <f t="shared" si="6"/>
        <v>-20.387711999999993</v>
      </c>
      <c r="C166" s="66">
        <f t="shared" si="1"/>
        <v>3.9671701939110338</v>
      </c>
      <c r="D166" s="188">
        <f t="shared" si="2"/>
        <v>-3.9671701939110338</v>
      </c>
      <c r="E166" s="189">
        <f t="shared" si="7"/>
        <v>-2.5995760000000003</v>
      </c>
      <c r="F166" s="51">
        <f t="shared" si="8"/>
        <v>8.2551376136454522</v>
      </c>
      <c r="G166" s="190">
        <f t="shared" si="3"/>
        <v>-8.2551376136454522</v>
      </c>
      <c r="H166" s="187">
        <f t="shared" si="9"/>
        <v>-18.302087999999991</v>
      </c>
      <c r="I166" s="51">
        <f t="shared" si="4"/>
        <v>12.222307807556493</v>
      </c>
      <c r="J166" s="31">
        <f t="shared" si="5"/>
        <v>-12.222307807556493</v>
      </c>
    </row>
    <row r="167" spans="2:10" x14ac:dyDescent="0.25">
      <c r="B167" s="187">
        <f t="shared" si="6"/>
        <v>-20.220663999999992</v>
      </c>
      <c r="C167" s="66">
        <f t="shared" si="1"/>
        <v>4.2621798802847497</v>
      </c>
      <c r="D167" s="188">
        <f t="shared" si="2"/>
        <v>-4.2621798802847497</v>
      </c>
      <c r="E167" s="189">
        <f t="shared" si="7"/>
        <v>-2.2519720000000003</v>
      </c>
      <c r="F167" s="51">
        <f t="shared" si="8"/>
        <v>8.8690123503812952</v>
      </c>
      <c r="G167" s="190">
        <f t="shared" si="3"/>
        <v>-8.8690123503812952</v>
      </c>
      <c r="H167" s="187">
        <f t="shared" si="9"/>
        <v>-17.787435999999989</v>
      </c>
      <c r="I167" s="51">
        <f t="shared" si="4"/>
        <v>13.131192230666048</v>
      </c>
      <c r="J167" s="31">
        <f t="shared" si="5"/>
        <v>-13.131192230666048</v>
      </c>
    </row>
    <row r="168" spans="2:10" x14ac:dyDescent="0.25">
      <c r="B168" s="187">
        <f t="shared" si="6"/>
        <v>-20.053615999999991</v>
      </c>
      <c r="C168" s="66">
        <f t="shared" si="1"/>
        <v>4.5318986360844544</v>
      </c>
      <c r="D168" s="188">
        <f t="shared" si="2"/>
        <v>-4.5318986360844544</v>
      </c>
      <c r="E168" s="189">
        <f t="shared" si="7"/>
        <v>-1.9043680000000003</v>
      </c>
      <c r="F168" s="51">
        <f t="shared" si="8"/>
        <v>9.4302601258171013</v>
      </c>
      <c r="G168" s="190">
        <f t="shared" si="3"/>
        <v>-9.4302601258171013</v>
      </c>
      <c r="H168" s="187">
        <f t="shared" si="9"/>
        <v>-17.272783999999987</v>
      </c>
      <c r="I168" s="51">
        <f t="shared" si="4"/>
        <v>13.962158761901563</v>
      </c>
      <c r="J168" s="31">
        <f t="shared" si="5"/>
        <v>-13.962158761901563</v>
      </c>
    </row>
    <row r="169" spans="2:10" x14ac:dyDescent="0.25">
      <c r="B169" s="187">
        <f t="shared" si="6"/>
        <v>-19.88656799999999</v>
      </c>
      <c r="C169" s="66">
        <f t="shared" si="1"/>
        <v>4.7806090715489535</v>
      </c>
      <c r="D169" s="188">
        <f t="shared" si="2"/>
        <v>-4.7806090715489535</v>
      </c>
      <c r="E169" s="189">
        <f t="shared" si="7"/>
        <v>-1.5567640000000003</v>
      </c>
      <c r="F169" s="51">
        <f t="shared" si="8"/>
        <v>9.9477924650800755</v>
      </c>
      <c r="G169" s="190">
        <f t="shared" si="3"/>
        <v>-9.9477924650800755</v>
      </c>
      <c r="H169" s="187">
        <f t="shared" si="9"/>
        <v>-16.758131999999986</v>
      </c>
      <c r="I169" s="51">
        <f t="shared" si="4"/>
        <v>14.728401536629034</v>
      </c>
      <c r="J169" s="31">
        <f t="shared" si="5"/>
        <v>-14.728401536629034</v>
      </c>
    </row>
    <row r="170" spans="2:10" x14ac:dyDescent="0.25">
      <c r="B170" s="187">
        <f t="shared" si="6"/>
        <v>-19.719519999999989</v>
      </c>
      <c r="C170" s="66">
        <f t="shared" si="1"/>
        <v>5.0114400000000163</v>
      </c>
      <c r="D170" s="188">
        <f t="shared" si="2"/>
        <v>-5.0114400000000163</v>
      </c>
      <c r="E170" s="189">
        <f t="shared" si="7"/>
        <v>-1.2091600000000002</v>
      </c>
      <c r="F170" s="51">
        <f t="shared" si="8"/>
        <v>10.428119999999996</v>
      </c>
      <c r="G170" s="190">
        <f t="shared" si="3"/>
        <v>-10.428119999999996</v>
      </c>
      <c r="H170" s="187">
        <f t="shared" si="9"/>
        <v>-16.243479999999984</v>
      </c>
      <c r="I170" s="51">
        <f t="shared" si="4"/>
        <v>15.439560000000023</v>
      </c>
      <c r="J170" s="31">
        <f t="shared" si="5"/>
        <v>-15.439560000000023</v>
      </c>
    </row>
    <row r="171" spans="2:10" x14ac:dyDescent="0.25">
      <c r="B171" s="187">
        <f t="shared" si="6"/>
        <v>-19.552471999999987</v>
      </c>
      <c r="C171" s="66">
        <f t="shared" si="1"/>
        <v>5.2267608117854572</v>
      </c>
      <c r="D171" s="188">
        <f t="shared" si="2"/>
        <v>-5.2267608117854572</v>
      </c>
      <c r="E171" s="189">
        <f t="shared" si="7"/>
        <v>-0.86155600000000021</v>
      </c>
      <c r="F171" s="51">
        <f t="shared" si="8"/>
        <v>10.876173107249809</v>
      </c>
      <c r="G171" s="190">
        <f t="shared" si="3"/>
        <v>-10.876173107249809</v>
      </c>
      <c r="H171" s="187">
        <f t="shared" si="9"/>
        <v>-15.728827999999984</v>
      </c>
      <c r="I171" s="51">
        <f t="shared" si="4"/>
        <v>16.102933919035269</v>
      </c>
      <c r="J171" s="31">
        <f t="shared" si="5"/>
        <v>-16.102933919035269</v>
      </c>
    </row>
    <row r="172" spans="2:10" x14ac:dyDescent="0.25">
      <c r="B172" s="187">
        <f t="shared" si="6"/>
        <v>-19.385423999999986</v>
      </c>
      <c r="C172" s="66">
        <f t="shared" si="1"/>
        <v>5.4284174696705287</v>
      </c>
      <c r="D172" s="188">
        <f t="shared" si="2"/>
        <v>-5.4284174696705287</v>
      </c>
      <c r="E172" s="189">
        <f t="shared" si="7"/>
        <v>-0.51395200000000019</v>
      </c>
      <c r="F172" s="51">
        <f t="shared" si="8"/>
        <v>11.295792982420311</v>
      </c>
      <c r="G172" s="190">
        <f t="shared" si="3"/>
        <v>-11.295792982420311</v>
      </c>
      <c r="H172" s="187">
        <f t="shared" si="9"/>
        <v>-15.214175999999984</v>
      </c>
      <c r="I172" s="51">
        <f t="shared" si="4"/>
        <v>16.724210452090841</v>
      </c>
      <c r="J172" s="31">
        <f t="shared" si="5"/>
        <v>-16.724210452090841</v>
      </c>
    </row>
    <row r="173" spans="2:10" x14ac:dyDescent="0.25">
      <c r="B173" s="187">
        <f t="shared" si="6"/>
        <v>-19.218375999999985</v>
      </c>
      <c r="C173" s="66">
        <f t="shared" si="1"/>
        <v>5.6178816112324927</v>
      </c>
      <c r="D173" s="188">
        <f t="shared" si="2"/>
        <v>-5.6178816112324927</v>
      </c>
      <c r="E173" s="189">
        <f t="shared" si="7"/>
        <v>-0.16634800000000022</v>
      </c>
      <c r="F173" s="51">
        <f t="shared" si="8"/>
        <v>11.690041901674089</v>
      </c>
      <c r="G173" s="190">
        <f t="shared" si="3"/>
        <v>-11.690041901674089</v>
      </c>
      <c r="H173" s="187">
        <f t="shared" si="9"/>
        <v>-14.699523999999984</v>
      </c>
      <c r="I173" s="51">
        <f t="shared" si="4"/>
        <v>17.307923512906584</v>
      </c>
      <c r="J173" s="31">
        <f t="shared" si="5"/>
        <v>-17.307923512906584</v>
      </c>
    </row>
    <row r="174" spans="2:10" x14ac:dyDescent="0.25">
      <c r="B174" s="187">
        <f t="shared" si="6"/>
        <v>-19.051327999999984</v>
      </c>
      <c r="C174" s="66">
        <f t="shared" si="1"/>
        <v>5.7963489630987715</v>
      </c>
      <c r="D174" s="188">
        <f t="shared" si="2"/>
        <v>-5.7963489630987715</v>
      </c>
      <c r="E174" s="189">
        <f t="shared" si="7"/>
        <v>0.18125599999999975</v>
      </c>
      <c r="F174" s="51">
        <f t="shared" si="8"/>
        <v>12.061408008290904</v>
      </c>
      <c r="G174" s="190">
        <f t="shared" si="3"/>
        <v>-12.061408008290904</v>
      </c>
      <c r="H174" s="187">
        <f t="shared" si="9"/>
        <v>-14.184871999999984</v>
      </c>
      <c r="I174" s="51">
        <f t="shared" si="4"/>
        <v>17.857756971389676</v>
      </c>
      <c r="J174" s="31">
        <f t="shared" si="5"/>
        <v>-17.857756971389676</v>
      </c>
    </row>
    <row r="175" spans="2:10" x14ac:dyDescent="0.25">
      <c r="B175" s="187">
        <f t="shared" si="6"/>
        <v>-18.884279999999983</v>
      </c>
      <c r="C175" s="66">
        <f t="shared" si="1"/>
        <v>5.9648066806561477</v>
      </c>
      <c r="D175" s="188">
        <f t="shared" si="2"/>
        <v>-5.9648066806561477</v>
      </c>
      <c r="E175" s="189">
        <f t="shared" si="7"/>
        <v>0.52885999999999966</v>
      </c>
      <c r="F175" s="51">
        <f t="shared" si="8"/>
        <v>12.411945437376042</v>
      </c>
      <c r="G175" s="190">
        <f t="shared" si="3"/>
        <v>-12.411945437376042</v>
      </c>
      <c r="H175" s="187">
        <f t="shared" si="9"/>
        <v>-13.670219999999984</v>
      </c>
      <c r="I175" s="51">
        <f t="shared" si="4"/>
        <v>18.376752118032186</v>
      </c>
      <c r="J175" s="31">
        <f t="shared" si="5"/>
        <v>-18.376752118032186</v>
      </c>
    </row>
    <row r="176" spans="2:10" x14ac:dyDescent="0.25">
      <c r="B176" s="187">
        <f t="shared" si="6"/>
        <v>-18.717231999999981</v>
      </c>
      <c r="C176" s="66">
        <f t="shared" si="1"/>
        <v>6.1240808375278837</v>
      </c>
      <c r="D176" s="188">
        <f t="shared" si="2"/>
        <v>-6.1240808375278837</v>
      </c>
      <c r="E176" s="189">
        <f t="shared" si="7"/>
        <v>0.87646399999999969</v>
      </c>
      <c r="F176" s="51">
        <f t="shared" si="8"/>
        <v>12.743373134955437</v>
      </c>
      <c r="G176" s="190">
        <f t="shared" si="3"/>
        <v>-12.743373134955437</v>
      </c>
      <c r="H176" s="187">
        <f t="shared" si="9"/>
        <v>-13.155567999999985</v>
      </c>
      <c r="I176" s="51">
        <f t="shared" si="4"/>
        <v>18.867453972483315</v>
      </c>
      <c r="J176" s="31">
        <f t="shared" si="5"/>
        <v>-18.867453972483315</v>
      </c>
    </row>
    <row r="177" spans="2:10" x14ac:dyDescent="0.25">
      <c r="B177" s="187">
        <f t="shared" si="6"/>
        <v>-18.55018399999998</v>
      </c>
      <c r="C177" s="66">
        <f t="shared" si="1"/>
        <v>6.2748707877488776</v>
      </c>
      <c r="D177" s="188">
        <f t="shared" si="2"/>
        <v>-6.2748707877488776</v>
      </c>
      <c r="E177" s="189">
        <f t="shared" si="7"/>
        <v>1.2240679999999997</v>
      </c>
      <c r="F177" s="51">
        <f t="shared" si="8"/>
        <v>13.057146360954063</v>
      </c>
      <c r="G177" s="190">
        <f t="shared" si="3"/>
        <v>-13.057146360954063</v>
      </c>
      <c r="H177" s="187">
        <f t="shared" si="9"/>
        <v>-12.640915999999985</v>
      </c>
      <c r="I177" s="51">
        <f t="shared" si="4"/>
        <v>19.332017148702938</v>
      </c>
      <c r="J177" s="31">
        <f t="shared" si="5"/>
        <v>-19.332017148702938</v>
      </c>
    </row>
    <row r="178" spans="2:10" x14ac:dyDescent="0.25">
      <c r="B178" s="187">
        <f t="shared" si="6"/>
        <v>-18.383135999999979</v>
      </c>
      <c r="C178" s="66">
        <f t="shared" si="1"/>
        <v>6.4177745856881137</v>
      </c>
      <c r="D178" s="188">
        <f t="shared" si="2"/>
        <v>-6.4177745856881137</v>
      </c>
      <c r="E178" s="189">
        <f t="shared" si="7"/>
        <v>1.5716719999999997</v>
      </c>
      <c r="F178" s="51">
        <f t="shared" si="8"/>
        <v>13.354509584571645</v>
      </c>
      <c r="G178" s="190">
        <f t="shared" si="3"/>
        <v>-13.354509584571645</v>
      </c>
      <c r="H178" s="187">
        <f t="shared" si="9"/>
        <v>-12.126263999999985</v>
      </c>
      <c r="I178" s="51">
        <f t="shared" si="4"/>
        <v>19.772284170259756</v>
      </c>
      <c r="J178" s="31">
        <f t="shared" si="5"/>
        <v>-19.772284170259756</v>
      </c>
    </row>
    <row r="179" spans="2:10" x14ac:dyDescent="0.25">
      <c r="B179" s="187">
        <f t="shared" si="6"/>
        <v>-18.216087999999978</v>
      </c>
      <c r="C179" s="66">
        <f t="shared" si="1"/>
        <v>6.5533081564852598</v>
      </c>
      <c r="D179" s="188">
        <f t="shared" si="2"/>
        <v>-6.5533081564852598</v>
      </c>
      <c r="E179" s="189">
        <f t="shared" si="7"/>
        <v>1.9192759999999998</v>
      </c>
      <c r="F179" s="51">
        <f t="shared" si="8"/>
        <v>13.636536375334609</v>
      </c>
      <c r="G179" s="190">
        <f t="shared" si="3"/>
        <v>-13.636536375334609</v>
      </c>
      <c r="H179" s="187">
        <f t="shared" si="9"/>
        <v>-11.611611999999985</v>
      </c>
      <c r="I179" s="51">
        <f t="shared" si="4"/>
        <v>20.189844531819865</v>
      </c>
      <c r="J179" s="31">
        <f t="shared" si="5"/>
        <v>-20.189844531819865</v>
      </c>
    </row>
    <row r="180" spans="2:10" x14ac:dyDescent="0.25">
      <c r="B180" s="187">
        <f t="shared" si="6"/>
        <v>-18.049039999999977</v>
      </c>
      <c r="C180" s="66">
        <f t="shared" si="1"/>
        <v>6.6819200000000176</v>
      </c>
      <c r="D180" s="188">
        <f t="shared" si="2"/>
        <v>-6.6819200000000176</v>
      </c>
      <c r="E180" s="189">
        <f t="shared" si="7"/>
        <v>2.2668799999999996</v>
      </c>
      <c r="F180" s="51">
        <f t="shared" si="8"/>
        <v>13.904159999999999</v>
      </c>
      <c r="G180" s="190">
        <f t="shared" si="3"/>
        <v>-13.904159999999999</v>
      </c>
      <c r="H180" s="187">
        <f t="shared" si="9"/>
        <v>-11.096959999999985</v>
      </c>
      <c r="I180" s="51">
        <f t="shared" si="4"/>
        <v>20.58608000000001</v>
      </c>
      <c r="J180" s="31">
        <f t="shared" si="5"/>
        <v>-20.58608000000001</v>
      </c>
    </row>
    <row r="181" spans="2:10" x14ac:dyDescent="0.25">
      <c r="B181" s="187">
        <f t="shared" si="6"/>
        <v>-17.881991999999975</v>
      </c>
      <c r="C181" s="66">
        <f t="shared" si="1"/>
        <v>6.8040026389130865</v>
      </c>
      <c r="D181" s="188">
        <f t="shared" si="2"/>
        <v>-6.8040026389130865</v>
      </c>
      <c r="E181" s="189">
        <f t="shared" si="7"/>
        <v>2.6144839999999996</v>
      </c>
      <c r="F181" s="51">
        <f t="shared" si="8"/>
        <v>14.158197244485045</v>
      </c>
      <c r="G181" s="190">
        <f t="shared" si="3"/>
        <v>-14.158197244485045</v>
      </c>
      <c r="H181" s="187">
        <f t="shared" si="9"/>
        <v>-10.582307999999985</v>
      </c>
      <c r="I181" s="51">
        <f t="shared" si="4"/>
        <v>20.962199883398124</v>
      </c>
      <c r="J181" s="31">
        <f t="shared" si="5"/>
        <v>-20.962199883398124</v>
      </c>
    </row>
    <row r="182" spans="2:10" x14ac:dyDescent="0.25">
      <c r="B182" s="187">
        <f t="shared" si="6"/>
        <v>-17.714943999999974</v>
      </c>
      <c r="C182" s="66">
        <f t="shared" si="1"/>
        <v>6.9199016514444942</v>
      </c>
      <c r="D182" s="188">
        <f t="shared" si="2"/>
        <v>-6.9199016514444942</v>
      </c>
      <c r="E182" s="189">
        <f t="shared" si="7"/>
        <v>2.9620879999999996</v>
      </c>
      <c r="F182" s="51">
        <f t="shared" si="8"/>
        <v>14.399367209716402</v>
      </c>
      <c r="G182" s="190">
        <f t="shared" si="3"/>
        <v>-14.399367209716402</v>
      </c>
      <c r="H182" s="187">
        <f t="shared" si="9"/>
        <v>-10.067655999999985</v>
      </c>
      <c r="I182" s="51">
        <f t="shared" si="4"/>
        <v>21.319268861160889</v>
      </c>
      <c r="J182" s="31">
        <f t="shared" si="5"/>
        <v>-21.319268861160889</v>
      </c>
    </row>
    <row r="183" spans="2:10" x14ac:dyDescent="0.25">
      <c r="B183" s="187">
        <f t="shared" si="6"/>
        <v>-17.547895999999973</v>
      </c>
      <c r="C183" s="66">
        <f t="shared" si="1"/>
        <v>7.0299228838148888</v>
      </c>
      <c r="D183" s="188">
        <f t="shared" si="2"/>
        <v>-7.0299228838148888</v>
      </c>
      <c r="E183" s="189">
        <f t="shared" si="7"/>
        <v>3.3096919999999996</v>
      </c>
      <c r="F183" s="51">
        <f t="shared" si="8"/>
        <v>14.628306319773865</v>
      </c>
      <c r="G183" s="190">
        <f t="shared" si="3"/>
        <v>-14.628306319773865</v>
      </c>
      <c r="H183" s="187">
        <f t="shared" si="9"/>
        <v>-9.5530039999999854</v>
      </c>
      <c r="I183" s="51">
        <f t="shared" si="4"/>
        <v>21.658229203588743</v>
      </c>
      <c r="J183" s="31">
        <f t="shared" si="5"/>
        <v>-21.658229203588743</v>
      </c>
    </row>
    <row r="184" spans="2:10" x14ac:dyDescent="0.25">
      <c r="B184" s="187">
        <f t="shared" si="6"/>
        <v>-17.380847999999972</v>
      </c>
      <c r="C184" s="66">
        <f t="shared" si="1"/>
        <v>7.1343382713813233</v>
      </c>
      <c r="D184" s="188">
        <f t="shared" si="2"/>
        <v>-7.1343382713813233</v>
      </c>
      <c r="E184" s="189">
        <f t="shared" si="7"/>
        <v>3.6572959999999997</v>
      </c>
      <c r="F184" s="51">
        <f t="shared" si="8"/>
        <v>14.845580434876366</v>
      </c>
      <c r="G184" s="190">
        <f t="shared" si="3"/>
        <v>-14.845580434876366</v>
      </c>
      <c r="H184" s="187">
        <f t="shared" si="9"/>
        <v>-9.0383519999999855</v>
      </c>
      <c r="I184" s="51">
        <f t="shared" si="4"/>
        <v>21.979918706257681</v>
      </c>
      <c r="J184" s="31">
        <f t="shared" si="5"/>
        <v>-21.979918706257681</v>
      </c>
    </row>
    <row r="185" spans="2:10" x14ac:dyDescent="0.25">
      <c r="B185" s="187">
        <f t="shared" si="6"/>
        <v>-17.213799999999971</v>
      </c>
      <c r="C185" s="66">
        <f t="shared" si="1"/>
        <v>7.2333905825691627</v>
      </c>
      <c r="D185" s="188">
        <f t="shared" si="2"/>
        <v>-7.2333905825691627</v>
      </c>
      <c r="E185" s="189">
        <f t="shared" si="7"/>
        <v>4.0048999999999992</v>
      </c>
      <c r="F185" s="51">
        <f t="shared" si="8"/>
        <v>15.051694722854299</v>
      </c>
      <c r="G185" s="190">
        <f t="shared" si="3"/>
        <v>-15.051694722854299</v>
      </c>
      <c r="H185" s="187">
        <f t="shared" si="9"/>
        <v>-8.5236999999999856</v>
      </c>
      <c r="I185" s="51">
        <f t="shared" si="4"/>
        <v>22.285085305423454</v>
      </c>
      <c r="J185" s="31">
        <f t="shared" si="5"/>
        <v>-22.285085305423454</v>
      </c>
    </row>
    <row r="186" spans="2:10" x14ac:dyDescent="0.25">
      <c r="B186" s="187">
        <f t="shared" si="6"/>
        <v>-17.046751999999969</v>
      </c>
      <c r="C186" s="66">
        <f t="shared" si="1"/>
        <v>7.327297318991242</v>
      </c>
      <c r="D186" s="188">
        <f t="shared" si="2"/>
        <v>-7.327297318991242</v>
      </c>
      <c r="E186" s="189">
        <f t="shared" si="7"/>
        <v>4.3525039999999988</v>
      </c>
      <c r="F186" s="51">
        <f t="shared" si="8"/>
        <v>15.247101774763095</v>
      </c>
      <c r="G186" s="190">
        <f t="shared" si="3"/>
        <v>-15.247101774763095</v>
      </c>
      <c r="H186" s="187">
        <f t="shared" si="9"/>
        <v>-8.0090479999999857</v>
      </c>
      <c r="I186" s="51">
        <f t="shared" si="4"/>
        <v>22.57439909375433</v>
      </c>
      <c r="J186" s="31">
        <f t="shared" si="5"/>
        <v>-22.57439909375433</v>
      </c>
    </row>
    <row r="187" spans="2:10" x14ac:dyDescent="0.25">
      <c r="B187" s="187">
        <f t="shared" si="6"/>
        <v>-16.879703999999968</v>
      </c>
      <c r="C187" s="66">
        <f t="shared" si="1"/>
        <v>7.4162539474578573</v>
      </c>
      <c r="D187" s="188">
        <f t="shared" si="2"/>
        <v>-7.4162539474578573</v>
      </c>
      <c r="E187" s="189">
        <f t="shared" si="7"/>
        <v>4.7001079999999984</v>
      </c>
      <c r="F187" s="51">
        <f t="shared" si="8"/>
        <v>15.432208330253189</v>
      </c>
      <c r="G187" s="190">
        <f t="shared" si="3"/>
        <v>-15.432208330253189</v>
      </c>
      <c r="H187" s="187">
        <f t="shared" si="9"/>
        <v>-7.4943959999999858</v>
      </c>
      <c r="I187" s="51">
        <f t="shared" si="4"/>
        <v>22.84846227771104</v>
      </c>
      <c r="J187" s="31">
        <f t="shared" si="5"/>
        <v>-22.84846227771104</v>
      </c>
    </row>
    <row r="188" spans="2:10" x14ac:dyDescent="0.25">
      <c r="B188" s="187">
        <f t="shared" si="6"/>
        <v>-16.712655999999967</v>
      </c>
      <c r="C188" s="66">
        <f t="shared" si="1"/>
        <v>7.5004365977497764</v>
      </c>
      <c r="D188" s="188">
        <f t="shared" si="2"/>
        <v>-7.5004365977497764</v>
      </c>
      <c r="E188" s="189">
        <f t="shared" si="7"/>
        <v>5.047711999999998</v>
      </c>
      <c r="F188" s="51">
        <f t="shared" si="8"/>
        <v>15.607380891266027</v>
      </c>
      <c r="G188" s="190">
        <f t="shared" si="3"/>
        <v>-15.607380891266027</v>
      </c>
      <c r="H188" s="187">
        <f t="shared" si="9"/>
        <v>-6.979743999999986</v>
      </c>
      <c r="I188" s="51">
        <f t="shared" si="4"/>
        <v>23.107817489015794</v>
      </c>
      <c r="J188" s="31">
        <f t="shared" si="5"/>
        <v>-23.107817489015794</v>
      </c>
    </row>
    <row r="189" spans="2:10" x14ac:dyDescent="0.25">
      <c r="B189" s="187">
        <f t="shared" si="6"/>
        <v>-16.545607999999966</v>
      </c>
      <c r="C189" s="66">
        <f t="shared" si="1"/>
        <v>7.5800043292821568</v>
      </c>
      <c r="D189" s="188">
        <f t="shared" si="2"/>
        <v>-7.5800043292821568</v>
      </c>
      <c r="E189" s="189">
        <f t="shared" si="7"/>
        <v>5.3953159999999976</v>
      </c>
      <c r="F189" s="51">
        <f t="shared" si="8"/>
        <v>15.772950438651101</v>
      </c>
      <c r="G189" s="190">
        <f t="shared" si="3"/>
        <v>-15.772950438651101</v>
      </c>
      <c r="H189" s="187">
        <f t="shared" si="9"/>
        <v>-6.4650919999999861</v>
      </c>
      <c r="I189" s="51">
        <f t="shared" si="4"/>
        <v>23.352954767933248</v>
      </c>
      <c r="J189" s="31">
        <f t="shared" si="5"/>
        <v>-23.352954767933248</v>
      </c>
    </row>
    <row r="190" spans="2:10" x14ac:dyDescent="0.25">
      <c r="B190" s="187">
        <f t="shared" si="6"/>
        <v>-16.378559999999965</v>
      </c>
      <c r="C190" s="66">
        <f t="shared" si="1"/>
        <v>7.6551010469098468</v>
      </c>
      <c r="D190" s="188">
        <f t="shared" si="2"/>
        <v>-7.6551010469098468</v>
      </c>
      <c r="E190" s="189">
        <f t="shared" si="7"/>
        <v>5.7429199999999971</v>
      </c>
      <c r="F190" s="51">
        <f t="shared" si="8"/>
        <v>15.929216418694295</v>
      </c>
      <c r="G190" s="190">
        <f t="shared" si="3"/>
        <v>-15.929216418694295</v>
      </c>
      <c r="H190" s="187">
        <f t="shared" si="9"/>
        <v>-5.9504399999999862</v>
      </c>
      <c r="I190" s="51">
        <f t="shared" si="4"/>
        <v>23.584317465604133</v>
      </c>
      <c r="J190" s="31">
        <f t="shared" si="5"/>
        <v>-23.584317465604133</v>
      </c>
    </row>
    <row r="191" spans="2:10" x14ac:dyDescent="0.25">
      <c r="B191" s="187">
        <f t="shared" si="6"/>
        <v>-16.211511999999964</v>
      </c>
      <c r="C191" s="66">
        <f t="shared" si="1"/>
        <v>7.7258571289052602</v>
      </c>
      <c r="D191" s="188">
        <f t="shared" si="2"/>
        <v>-7.7258571289052602</v>
      </c>
      <c r="E191" s="189">
        <f t="shared" si="7"/>
        <v>6.0905239999999967</v>
      </c>
      <c r="F191" s="51">
        <f t="shared" si="8"/>
        <v>16.07645013071679</v>
      </c>
      <c r="G191" s="190">
        <f t="shared" si="3"/>
        <v>-16.07645013071679</v>
      </c>
      <c r="H191" s="187">
        <f t="shared" si="9"/>
        <v>-5.4357879999999863</v>
      </c>
      <c r="I191" s="51">
        <f t="shared" si="4"/>
        <v>23.80230725962204</v>
      </c>
      <c r="J191" s="31">
        <f t="shared" si="5"/>
        <v>-23.80230725962204</v>
      </c>
    </row>
    <row r="192" spans="2:10" x14ac:dyDescent="0.25">
      <c r="B192" s="187">
        <f t="shared" si="6"/>
        <v>-16.044463999999962</v>
      </c>
      <c r="C192" s="66">
        <f t="shared" si="1"/>
        <v>7.7923908170409568</v>
      </c>
      <c r="D192" s="188">
        <f t="shared" si="2"/>
        <v>-7.7923908170409568</v>
      </c>
      <c r="E192" s="189">
        <f t="shared" si="7"/>
        <v>6.4381279999999963</v>
      </c>
      <c r="F192" s="51">
        <f t="shared" si="8"/>
        <v>16.214897619646443</v>
      </c>
      <c r="G192" s="190">
        <f t="shared" si="3"/>
        <v>-16.214897619646443</v>
      </c>
      <c r="H192" s="187">
        <f t="shared" si="9"/>
        <v>-4.9211359999999864</v>
      </c>
      <c r="I192" s="51">
        <f t="shared" si="4"/>
        <v>24.007288436687393</v>
      </c>
      <c r="J192" s="31">
        <f t="shared" si="5"/>
        <v>-24.007288436687393</v>
      </c>
    </row>
    <row r="193" spans="2:10" x14ac:dyDescent="0.25">
      <c r="B193" s="187">
        <f t="shared" si="6"/>
        <v>-15.877415999999963</v>
      </c>
      <c r="C193" s="66">
        <f t="shared" si="1"/>
        <v>7.8548094086453943</v>
      </c>
      <c r="D193" s="188">
        <f t="shared" si="2"/>
        <v>-7.8548094086453943</v>
      </c>
      <c r="E193" s="189">
        <f t="shared" si="7"/>
        <v>6.7857319999999959</v>
      </c>
      <c r="F193" s="51">
        <f t="shared" si="8"/>
        <v>16.344782156522488</v>
      </c>
      <c r="G193" s="190">
        <f t="shared" si="3"/>
        <v>-16.344782156522488</v>
      </c>
      <c r="H193" s="187">
        <f t="shared" si="9"/>
        <v>-4.4064839999999865</v>
      </c>
      <c r="I193" s="51">
        <f t="shared" si="4"/>
        <v>24.199591565167875</v>
      </c>
      <c r="J193" s="31">
        <f t="shared" si="5"/>
        <v>-24.199591565167875</v>
      </c>
    </row>
    <row r="194" spans="2:10" x14ac:dyDescent="0.25">
      <c r="B194" s="187">
        <f t="shared" si="6"/>
        <v>-15.710367999999963</v>
      </c>
      <c r="C194" s="66">
        <f t="shared" si="1"/>
        <v>7.9132102826966628</v>
      </c>
      <c r="D194" s="188">
        <f t="shared" si="2"/>
        <v>-7.9132102826966628</v>
      </c>
      <c r="E194" s="189">
        <f t="shared" si="7"/>
        <v>7.1333359999999955</v>
      </c>
      <c r="F194" s="51">
        <f t="shared" si="8"/>
        <v>16.466306373655993</v>
      </c>
      <c r="G194" s="190">
        <f t="shared" si="3"/>
        <v>-16.466306373655993</v>
      </c>
      <c r="H194" s="187">
        <f t="shared" si="9"/>
        <v>-3.8918319999999866</v>
      </c>
      <c r="I194" s="51">
        <f t="shared" si="4"/>
        <v>24.379516656352646</v>
      </c>
      <c r="J194" s="31">
        <f t="shared" si="5"/>
        <v>-24.379516656352646</v>
      </c>
    </row>
    <row r="195" spans="2:10" x14ac:dyDescent="0.25">
      <c r="B195" s="187">
        <f t="shared" si="6"/>
        <v>-15.543319999999964</v>
      </c>
      <c r="C195" s="66">
        <f t="shared" si="1"/>
        <v>7.9676817859149081</v>
      </c>
      <c r="D195" s="188">
        <f t="shared" si="2"/>
        <v>-7.9676817859149081</v>
      </c>
      <c r="E195" s="189">
        <f t="shared" si="7"/>
        <v>7.480939999999995</v>
      </c>
      <c r="F195" s="51">
        <f t="shared" si="8"/>
        <v>16.579654108466798</v>
      </c>
      <c r="G195" s="190">
        <f t="shared" si="3"/>
        <v>-16.579654108466798</v>
      </c>
      <c r="H195" s="187">
        <f t="shared" si="9"/>
        <v>-3.3771799999999867</v>
      </c>
      <c r="I195" s="51">
        <f t="shared" si="4"/>
        <v>24.5473358943817</v>
      </c>
      <c r="J195" s="31">
        <f t="shared" si="5"/>
        <v>-24.5473358943817</v>
      </c>
    </row>
    <row r="196" spans="2:10" x14ac:dyDescent="0.25">
      <c r="B196" s="187">
        <f t="shared" si="6"/>
        <v>-15.376271999999965</v>
      </c>
      <c r="C196" s="66">
        <f t="shared" si="1"/>
        <v>8.0183040000000112</v>
      </c>
      <c r="D196" s="188">
        <f t="shared" si="2"/>
        <v>-8.0183040000000112</v>
      </c>
      <c r="E196" s="189">
        <f t="shared" si="7"/>
        <v>7.8285439999999946</v>
      </c>
      <c r="F196" s="51">
        <f t="shared" si="8"/>
        <v>16.684991999999998</v>
      </c>
      <c r="G196" s="190">
        <f t="shared" si="3"/>
        <v>-16.684991999999998</v>
      </c>
      <c r="H196" s="187">
        <f t="shared" si="9"/>
        <v>-2.8625279999999869</v>
      </c>
      <c r="I196" s="51">
        <f t="shared" si="4"/>
        <v>24.703296000000002</v>
      </c>
      <c r="J196" s="31">
        <f t="shared" si="5"/>
        <v>-24.703296000000002</v>
      </c>
    </row>
    <row r="197" spans="2:10" x14ac:dyDescent="0.25">
      <c r="B197" s="187">
        <f t="shared" si="6"/>
        <v>-15.209223999999965</v>
      </c>
      <c r="C197" s="66">
        <f t="shared" si="1"/>
        <v>8.0651494073342587</v>
      </c>
      <c r="D197" s="188">
        <f t="shared" si="2"/>
        <v>-8.0651494073342587</v>
      </c>
      <c r="E197" s="189">
        <f t="shared" si="7"/>
        <v>8.1761479999999942</v>
      </c>
      <c r="F197" s="51">
        <f t="shared" si="8"/>
        <v>16.782470874162001</v>
      </c>
      <c r="G197" s="190">
        <f t="shared" si="3"/>
        <v>-16.782470874162001</v>
      </c>
      <c r="H197" s="187">
        <f t="shared" si="9"/>
        <v>-2.347875999999987</v>
      </c>
      <c r="I197" s="51">
        <f t="shared" si="4"/>
        <v>24.847620281496255</v>
      </c>
      <c r="J197" s="31">
        <f t="shared" si="5"/>
        <v>-24.847620281496255</v>
      </c>
    </row>
    <row r="198" spans="2:10" x14ac:dyDescent="0.25">
      <c r="B198" s="187">
        <f t="shared" si="6"/>
        <v>-15.042175999999966</v>
      </c>
      <c r="C198" s="66">
        <f t="shared" si="1"/>
        <v>8.1082834694048618</v>
      </c>
      <c r="D198" s="188">
        <f t="shared" si="2"/>
        <v>-8.1082834694048618</v>
      </c>
      <c r="E198" s="189">
        <f t="shared" si="7"/>
        <v>8.5237519999999947</v>
      </c>
      <c r="F198" s="51">
        <f t="shared" si="8"/>
        <v>16.872226947338515</v>
      </c>
      <c r="G198" s="190">
        <f t="shared" si="3"/>
        <v>-16.872226947338515</v>
      </c>
      <c r="H198" s="187">
        <f t="shared" si="9"/>
        <v>-1.8332239999999871</v>
      </c>
      <c r="I198" s="51">
        <f t="shared" si="4"/>
        <v>24.980510416743371</v>
      </c>
      <c r="J198" s="31">
        <f t="shared" si="5"/>
        <v>-24.980510416743371</v>
      </c>
    </row>
    <row r="199" spans="2:10" x14ac:dyDescent="0.25">
      <c r="B199" s="187">
        <f t="shared" si="6"/>
        <v>-14.875127999999966</v>
      </c>
      <c r="C199" s="66">
        <f t="shared" si="1"/>
        <v>8.1477651297282812</v>
      </c>
      <c r="D199" s="188">
        <f t="shared" si="2"/>
        <v>-8.1477651297282812</v>
      </c>
      <c r="E199" s="189">
        <f t="shared" si="7"/>
        <v>8.8713559999999951</v>
      </c>
      <c r="F199" s="51">
        <f t="shared" si="8"/>
        <v>16.954382872911179</v>
      </c>
      <c r="G199" s="190">
        <f t="shared" si="3"/>
        <v>-16.954382872911179</v>
      </c>
      <c r="H199" s="187">
        <f t="shared" si="9"/>
        <v>-1.3185719999999872</v>
      </c>
      <c r="I199" s="51">
        <f t="shared" si="4"/>
        <v>25.102148002639456</v>
      </c>
      <c r="J199" s="31">
        <f t="shared" si="5"/>
        <v>-25.102148002639456</v>
      </c>
    </row>
    <row r="200" spans="2:10" x14ac:dyDescent="0.25">
      <c r="B200" s="187">
        <f t="shared" si="6"/>
        <v>-14.708079999999967</v>
      </c>
      <c r="C200" s="66">
        <f t="shared" si="1"/>
        <v>8.1836472510488942</v>
      </c>
      <c r="D200" s="188">
        <f t="shared" si="2"/>
        <v>-8.1836472510488942</v>
      </c>
      <c r="E200" s="189">
        <f t="shared" si="7"/>
        <v>9.2189599999999956</v>
      </c>
      <c r="F200" s="51">
        <f t="shared" si="8"/>
        <v>17.029048651008075</v>
      </c>
      <c r="G200" s="190">
        <f t="shared" si="3"/>
        <v>-17.029048651008075</v>
      </c>
      <c r="H200" s="187">
        <f t="shared" si="9"/>
        <v>-0.8039199999999872</v>
      </c>
      <c r="I200" s="51">
        <f t="shared" si="4"/>
        <v>25.212695902056964</v>
      </c>
      <c r="J200" s="31">
        <f t="shared" si="5"/>
        <v>-25.212695902056964</v>
      </c>
    </row>
    <row r="201" spans="2:10" x14ac:dyDescent="0.25">
      <c r="B201" s="187">
        <f t="shared" si="6"/>
        <v>-14.541031999999968</v>
      </c>
      <c r="C201" s="66">
        <f t="shared" si="1"/>
        <v>8.2159769949395614</v>
      </c>
      <c r="D201" s="188">
        <f t="shared" si="2"/>
        <v>-8.2159769949395614</v>
      </c>
      <c r="E201" s="189">
        <f t="shared" si="7"/>
        <v>9.5665639999999961</v>
      </c>
      <c r="F201" s="51">
        <f t="shared" si="8"/>
        <v>17.096322418400511</v>
      </c>
      <c r="G201" s="190">
        <f t="shared" si="3"/>
        <v>-17.096322418400511</v>
      </c>
      <c r="H201" s="187">
        <f t="shared" si="9"/>
        <v>-0.2892679999999872</v>
      </c>
      <c r="I201" s="51">
        <f t="shared" si="4"/>
        <v>25.312299413340071</v>
      </c>
      <c r="J201" s="31">
        <f t="shared" si="5"/>
        <v>-25.312299413340071</v>
      </c>
    </row>
    <row r="202" spans="2:10" x14ac:dyDescent="0.25">
      <c r="B202" s="187">
        <f t="shared" si="6"/>
        <v>-14.373983999999968</v>
      </c>
      <c r="C202" s="66">
        <f t="shared" si="1"/>
        <v>8.2447961505754694</v>
      </c>
      <c r="D202" s="188">
        <f t="shared" si="2"/>
        <v>-8.2447961505754694</v>
      </c>
      <c r="E202" s="189">
        <f t="shared" si="7"/>
        <v>9.9141679999999965</v>
      </c>
      <c r="F202" s="51">
        <f t="shared" si="8"/>
        <v>17.15629113263633</v>
      </c>
      <c r="G202" s="190">
        <f t="shared" si="3"/>
        <v>-17.15629113263633</v>
      </c>
      <c r="H202" s="187">
        <f t="shared" si="9"/>
        <v>0.2253840000000128</v>
      </c>
      <c r="I202" s="51">
        <f t="shared" si="4"/>
        <v>25.401087283211798</v>
      </c>
      <c r="J202" s="31">
        <f t="shared" si="5"/>
        <v>-25.401087283211798</v>
      </c>
    </row>
    <row r="203" spans="2:10" x14ac:dyDescent="0.25">
      <c r="B203" s="187">
        <f t="shared" si="6"/>
        <v>-14.206935999999969</v>
      </c>
      <c r="C203" s="66">
        <f t="shared" si="1"/>
        <v>8.2701414183255704</v>
      </c>
      <c r="D203" s="188">
        <f t="shared" si="2"/>
        <v>-8.2701414183255704</v>
      </c>
      <c r="E203" s="189">
        <f t="shared" si="7"/>
        <v>10.261771999999997</v>
      </c>
      <c r="F203" s="51">
        <f t="shared" si="8"/>
        <v>17.20903116215483</v>
      </c>
      <c r="G203" s="190">
        <f t="shared" si="3"/>
        <v>-17.20903116215483</v>
      </c>
      <c r="H203" s="187">
        <f t="shared" si="9"/>
        <v>0.74003600000001279</v>
      </c>
      <c r="I203" s="51">
        <f t="shared" si="4"/>
        <v>25.479172580480395</v>
      </c>
      <c r="J203" s="31">
        <f t="shared" si="5"/>
        <v>-25.479172580480395</v>
      </c>
    </row>
    <row r="204" spans="2:10" x14ac:dyDescent="0.25">
      <c r="B204" s="187">
        <f t="shared" si="6"/>
        <v>-14.039887999999969</v>
      </c>
      <c r="C204" s="66">
        <f t="shared" si="1"/>
        <v>8.2920446528619252</v>
      </c>
      <c r="D204" s="188">
        <f t="shared" si="2"/>
        <v>-8.2920446528619252</v>
      </c>
      <c r="E204" s="189">
        <f t="shared" si="7"/>
        <v>10.609375999999997</v>
      </c>
      <c r="F204" s="51">
        <f t="shared" si="8"/>
        <v>17.254608792164021</v>
      </c>
      <c r="G204" s="190">
        <f t="shared" si="3"/>
        <v>-17.254608792164021</v>
      </c>
      <c r="H204" s="187">
        <f t="shared" si="9"/>
        <v>1.2546880000000127</v>
      </c>
      <c r="I204" s="51">
        <f t="shared" si="4"/>
        <v>25.546653445025946</v>
      </c>
      <c r="J204" s="31">
        <f t="shared" si="5"/>
        <v>-25.546653445025946</v>
      </c>
    </row>
    <row r="205" spans="2:10" x14ac:dyDescent="0.25">
      <c r="B205" s="187">
        <f t="shared" si="6"/>
        <v>-13.87283999999997</v>
      </c>
      <c r="C205" s="66">
        <f t="shared" si="1"/>
        <v>8.3105330696893347</v>
      </c>
      <c r="D205" s="188">
        <f t="shared" si="2"/>
        <v>-8.3105330696893347</v>
      </c>
      <c r="E205" s="189">
        <f t="shared" si="7"/>
        <v>10.956979999999998</v>
      </c>
      <c r="F205" s="51">
        <f t="shared" si="8"/>
        <v>17.293080654400473</v>
      </c>
      <c r="G205" s="190">
        <f t="shared" si="3"/>
        <v>-17.293080654400473</v>
      </c>
      <c r="H205" s="187">
        <f t="shared" si="9"/>
        <v>1.7693400000000126</v>
      </c>
      <c r="I205" s="51">
        <f t="shared" si="4"/>
        <v>25.603613724089808</v>
      </c>
      <c r="J205" s="31">
        <f t="shared" si="5"/>
        <v>-25.603613724089808</v>
      </c>
    </row>
    <row r="206" spans="2:10" x14ac:dyDescent="0.25">
      <c r="B206" s="187">
        <f t="shared" si="6"/>
        <v>-13.70579199999997</v>
      </c>
      <c r="C206" s="66">
        <f t="shared" si="1"/>
        <v>8.3256294183164332</v>
      </c>
      <c r="D206" s="188">
        <f t="shared" si="2"/>
        <v>-8.3256294183164332</v>
      </c>
      <c r="E206" s="189">
        <f t="shared" si="7"/>
        <v>11.304583999999998</v>
      </c>
      <c r="F206" s="51">
        <f t="shared" si="8"/>
        <v>17.324494087474648</v>
      </c>
      <c r="G206" s="190">
        <f t="shared" si="3"/>
        <v>-17.324494087474648</v>
      </c>
      <c r="H206" s="187">
        <f t="shared" si="9"/>
        <v>2.2839920000000125</v>
      </c>
      <c r="I206" s="51">
        <f t="shared" si="4"/>
        <v>25.650123505791079</v>
      </c>
      <c r="J206" s="31">
        <f t="shared" si="5"/>
        <v>-25.650123505791079</v>
      </c>
    </row>
    <row r="207" spans="2:10" x14ac:dyDescent="0.25">
      <c r="B207" s="187">
        <f t="shared" si="6"/>
        <v>-13.538743999999971</v>
      </c>
      <c r="C207" s="66">
        <f t="shared" si="1"/>
        <v>8.3373521247014644</v>
      </c>
      <c r="D207" s="188">
        <f t="shared" si="2"/>
        <v>-8.3373521247014644</v>
      </c>
      <c r="E207" s="189">
        <f t="shared" si="7"/>
        <v>11.652187999999999</v>
      </c>
      <c r="F207" s="51">
        <f t="shared" si="8"/>
        <v>17.348887433281014</v>
      </c>
      <c r="G207" s="190">
        <f t="shared" si="3"/>
        <v>-17.348887433281014</v>
      </c>
      <c r="H207" s="187">
        <f t="shared" si="9"/>
        <v>2.7986440000000123</v>
      </c>
      <c r="I207" s="51">
        <f t="shared" si="4"/>
        <v>25.686239557982478</v>
      </c>
      <c r="J207" s="31">
        <f t="shared" si="5"/>
        <v>-25.686239557982478</v>
      </c>
    </row>
    <row r="208" spans="2:10" x14ac:dyDescent="0.25">
      <c r="B208" s="187">
        <f t="shared" si="6"/>
        <v>-13.371695999999972</v>
      </c>
      <c r="C208" s="66">
        <f t="shared" si="1"/>
        <v>8.3457154050916458</v>
      </c>
      <c r="D208" s="188">
        <f t="shared" si="2"/>
        <v>-8.3457154050916458</v>
      </c>
      <c r="E208" s="189">
        <f t="shared" si="7"/>
        <v>11.999791999999999</v>
      </c>
      <c r="F208" s="51">
        <f t="shared" si="8"/>
        <v>17.366290273882214</v>
      </c>
      <c r="G208" s="190">
        <f t="shared" si="3"/>
        <v>-17.366290273882214</v>
      </c>
      <c r="H208" s="187">
        <f t="shared" si="9"/>
        <v>3.3132960000000122</v>
      </c>
      <c r="I208" s="51">
        <f t="shared" si="4"/>
        <v>25.712005678973856</v>
      </c>
      <c r="J208" s="31">
        <f t="shared" si="5"/>
        <v>-25.712005678973856</v>
      </c>
    </row>
    <row r="209" spans="2:10" x14ac:dyDescent="0.25">
      <c r="B209" s="187">
        <f t="shared" si="6"/>
        <v>-13.204647999999972</v>
      </c>
      <c r="C209" s="66">
        <f t="shared" si="1"/>
        <v>8.3507293529185826</v>
      </c>
      <c r="D209" s="188">
        <f t="shared" si="2"/>
        <v>-8.3507293529185826</v>
      </c>
      <c r="E209" s="189">
        <f t="shared" si="7"/>
        <v>12.347396</v>
      </c>
      <c r="F209" s="51">
        <f t="shared" si="8"/>
        <v>17.376723612326462</v>
      </c>
      <c r="G209" s="190">
        <f t="shared" si="3"/>
        <v>-17.376723612326462</v>
      </c>
      <c r="H209" s="187">
        <f t="shared" si="9"/>
        <v>3.8279480000000121</v>
      </c>
      <c r="I209" s="51">
        <f t="shared" si="4"/>
        <v>25.727452965245043</v>
      </c>
      <c r="J209" s="31">
        <f t="shared" si="5"/>
        <v>-25.727452965245043</v>
      </c>
    </row>
    <row r="210" spans="2:10" x14ac:dyDescent="0.25">
      <c r="B210" s="187">
        <f t="shared" si="6"/>
        <v>-13.037599999999973</v>
      </c>
      <c r="C210" s="66">
        <f t="shared" si="1"/>
        <v>8.3523999999999994</v>
      </c>
      <c r="D210" s="188">
        <f t="shared" si="2"/>
        <v>-8.3523999999999994</v>
      </c>
      <c r="E210" s="189">
        <f t="shared" si="7"/>
        <v>12.695</v>
      </c>
      <c r="F210" s="51">
        <f t="shared" si="8"/>
        <v>17.380199999999999</v>
      </c>
      <c r="G210" s="190">
        <f t="shared" si="3"/>
        <v>-17.380199999999999</v>
      </c>
      <c r="H210" s="187">
        <f t="shared" si="9"/>
        <v>4.3426000000000125</v>
      </c>
      <c r="I210" s="51">
        <f t="shared" si="4"/>
        <v>25.732599999999998</v>
      </c>
      <c r="J210" s="31">
        <f t="shared" si="5"/>
        <v>-25.732599999999998</v>
      </c>
    </row>
    <row r="211" spans="2:10" x14ac:dyDescent="0.25">
      <c r="B211" s="187">
        <f t="shared" si="6"/>
        <v>-12.870551999999973</v>
      </c>
      <c r="C211" s="66">
        <f t="shared" si="1"/>
        <v>8.3507293529185809</v>
      </c>
      <c r="D211" s="188">
        <f t="shared" si="2"/>
        <v>-8.3507293529185809</v>
      </c>
      <c r="E211" s="189">
        <f t="shared" si="7"/>
        <v>13.042604000000001</v>
      </c>
      <c r="F211" s="51">
        <f t="shared" si="8"/>
        <v>17.376723612326462</v>
      </c>
      <c r="G211" s="190">
        <f t="shared" si="3"/>
        <v>-17.376723612326462</v>
      </c>
      <c r="H211" s="187">
        <f t="shared" si="9"/>
        <v>4.8572520000000123</v>
      </c>
      <c r="I211" s="51">
        <f t="shared" si="4"/>
        <v>25.727452965245043</v>
      </c>
      <c r="J211" s="31">
        <f t="shared" si="5"/>
        <v>-25.727452965245043</v>
      </c>
    </row>
    <row r="212" spans="2:10" x14ac:dyDescent="0.25">
      <c r="B212" s="187">
        <f t="shared" si="6"/>
        <v>-12.703503999999974</v>
      </c>
      <c r="C212" s="66">
        <f t="shared" si="1"/>
        <v>8.345715405091644</v>
      </c>
      <c r="D212" s="188">
        <f t="shared" si="2"/>
        <v>-8.345715405091644</v>
      </c>
      <c r="E212" s="189">
        <f t="shared" si="7"/>
        <v>13.390208000000001</v>
      </c>
      <c r="F212" s="51">
        <f t="shared" si="8"/>
        <v>17.366290273882214</v>
      </c>
      <c r="G212" s="190">
        <f t="shared" si="3"/>
        <v>-17.366290273882214</v>
      </c>
      <c r="H212" s="187">
        <f t="shared" si="9"/>
        <v>5.3719040000000122</v>
      </c>
      <c r="I212" s="51">
        <f t="shared" si="4"/>
        <v>25.712005678973856</v>
      </c>
      <c r="J212" s="31">
        <f t="shared" si="5"/>
        <v>-25.712005678973856</v>
      </c>
    </row>
    <row r="213" spans="2:10" x14ac:dyDescent="0.25">
      <c r="B213" s="187">
        <f t="shared" si="6"/>
        <v>-12.536455999999975</v>
      </c>
      <c r="C213" s="66">
        <f t="shared" si="1"/>
        <v>8.3373521247014608</v>
      </c>
      <c r="D213" s="188">
        <f t="shared" si="2"/>
        <v>-8.3373521247014608</v>
      </c>
      <c r="E213" s="189">
        <f t="shared" si="7"/>
        <v>13.737812000000002</v>
      </c>
      <c r="F213" s="51">
        <f t="shared" si="8"/>
        <v>17.348887433281014</v>
      </c>
      <c r="G213" s="190">
        <f t="shared" si="3"/>
        <v>-17.348887433281014</v>
      </c>
      <c r="H213" s="187">
        <f t="shared" si="9"/>
        <v>5.8865560000000121</v>
      </c>
      <c r="I213" s="51">
        <f t="shared" si="4"/>
        <v>25.686239557982478</v>
      </c>
      <c r="J213" s="31">
        <f t="shared" si="5"/>
        <v>-25.686239557982478</v>
      </c>
    </row>
    <row r="214" spans="2:10" x14ac:dyDescent="0.25">
      <c r="B214" s="187">
        <f t="shared" si="6"/>
        <v>-12.369407999999975</v>
      </c>
      <c r="C214" s="66">
        <f t="shared" si="1"/>
        <v>8.3256294183164297</v>
      </c>
      <c r="D214" s="188">
        <f t="shared" si="2"/>
        <v>-8.3256294183164297</v>
      </c>
      <c r="E214" s="189">
        <f t="shared" si="7"/>
        <v>14.085416000000002</v>
      </c>
      <c r="F214" s="51">
        <f t="shared" si="8"/>
        <v>17.324494087474648</v>
      </c>
      <c r="G214" s="190">
        <f t="shared" si="3"/>
        <v>-17.324494087474648</v>
      </c>
      <c r="H214" s="187">
        <f t="shared" si="9"/>
        <v>6.401208000000012</v>
      </c>
      <c r="I214" s="51">
        <f t="shared" si="4"/>
        <v>25.650123505791075</v>
      </c>
      <c r="J214" s="31">
        <f t="shared" si="5"/>
        <v>-25.650123505791075</v>
      </c>
    </row>
    <row r="215" spans="2:10" x14ac:dyDescent="0.25">
      <c r="B215" s="187">
        <f t="shared" si="6"/>
        <v>-12.202359999999976</v>
      </c>
      <c r="C215" s="66">
        <f t="shared" si="1"/>
        <v>8.3105330696893294</v>
      </c>
      <c r="D215" s="188">
        <f t="shared" si="2"/>
        <v>-8.3105330696893294</v>
      </c>
      <c r="E215" s="189">
        <f t="shared" si="7"/>
        <v>14.433020000000003</v>
      </c>
      <c r="F215" s="51">
        <f t="shared" si="8"/>
        <v>17.293080654400473</v>
      </c>
      <c r="G215" s="190">
        <f t="shared" si="3"/>
        <v>-17.293080654400473</v>
      </c>
      <c r="H215" s="187">
        <f t="shared" si="9"/>
        <v>6.9158600000000119</v>
      </c>
      <c r="I215" s="51">
        <f t="shared" si="4"/>
        <v>25.603613724089804</v>
      </c>
      <c r="J215" s="31">
        <f t="shared" si="5"/>
        <v>-25.603613724089804</v>
      </c>
    </row>
    <row r="216" spans="2:10" x14ac:dyDescent="0.25">
      <c r="B216" s="187">
        <f t="shared" si="6"/>
        <v>-12.035311999999976</v>
      </c>
      <c r="C216" s="66">
        <f t="shared" si="1"/>
        <v>8.2920446528619181</v>
      </c>
      <c r="D216" s="188">
        <f t="shared" si="2"/>
        <v>-8.2920446528619181</v>
      </c>
      <c r="E216" s="189">
        <f t="shared" si="7"/>
        <v>14.780624000000003</v>
      </c>
      <c r="F216" s="51">
        <f t="shared" si="8"/>
        <v>17.254608792164021</v>
      </c>
      <c r="G216" s="190">
        <f t="shared" si="3"/>
        <v>-17.254608792164021</v>
      </c>
      <c r="H216" s="187">
        <f t="shared" si="9"/>
        <v>7.4305120000000118</v>
      </c>
      <c r="I216" s="51">
        <f t="shared" si="4"/>
        <v>25.546653445025942</v>
      </c>
      <c r="J216" s="31">
        <f t="shared" si="5"/>
        <v>-25.546653445025942</v>
      </c>
    </row>
    <row r="217" spans="2:10" x14ac:dyDescent="0.25">
      <c r="B217" s="187">
        <f t="shared" si="6"/>
        <v>-11.868263999999977</v>
      </c>
      <c r="C217" s="66">
        <f t="shared" si="1"/>
        <v>8.2701414183255615</v>
      </c>
      <c r="D217" s="188">
        <f t="shared" si="2"/>
        <v>-8.2701414183255615</v>
      </c>
      <c r="E217" s="189">
        <f t="shared" si="7"/>
        <v>15.128228000000004</v>
      </c>
      <c r="F217" s="51">
        <f t="shared" si="8"/>
        <v>17.20903116215483</v>
      </c>
      <c r="G217" s="190">
        <f t="shared" si="3"/>
        <v>-17.20903116215483</v>
      </c>
      <c r="H217" s="187">
        <f t="shared" si="9"/>
        <v>7.9451640000000117</v>
      </c>
      <c r="I217" s="51">
        <f t="shared" si="4"/>
        <v>25.479172580480391</v>
      </c>
      <c r="J217" s="31">
        <f t="shared" si="5"/>
        <v>-25.479172580480391</v>
      </c>
    </row>
    <row r="218" spans="2:10" x14ac:dyDescent="0.25">
      <c r="B218" s="187">
        <f t="shared" si="6"/>
        <v>-11.701215999999977</v>
      </c>
      <c r="C218" s="66">
        <f t="shared" si="1"/>
        <v>8.2447961505754606</v>
      </c>
      <c r="D218" s="188">
        <f t="shared" si="2"/>
        <v>-8.2447961505754606</v>
      </c>
      <c r="E218" s="189">
        <f t="shared" si="7"/>
        <v>15.475832000000004</v>
      </c>
      <c r="F218" s="51">
        <f t="shared" si="8"/>
        <v>17.15629113263633</v>
      </c>
      <c r="G218" s="190">
        <f t="shared" si="3"/>
        <v>-17.15629113263633</v>
      </c>
      <c r="H218" s="187">
        <f t="shared" si="9"/>
        <v>8.4598160000000124</v>
      </c>
      <c r="I218" s="51">
        <f t="shared" si="4"/>
        <v>25.401087283211794</v>
      </c>
      <c r="J218" s="31">
        <f t="shared" si="5"/>
        <v>-25.401087283211794</v>
      </c>
    </row>
    <row r="219" spans="2:10" x14ac:dyDescent="0.25">
      <c r="B219" s="187">
        <f t="shared" si="6"/>
        <v>-11.534167999999978</v>
      </c>
      <c r="C219" s="66">
        <f t="shared" si="1"/>
        <v>8.2159769949395507</v>
      </c>
      <c r="D219" s="188">
        <f t="shared" si="2"/>
        <v>-8.2159769949395507</v>
      </c>
      <c r="E219" s="189">
        <f t="shared" si="7"/>
        <v>15.823436000000004</v>
      </c>
      <c r="F219" s="51">
        <f t="shared" si="8"/>
        <v>17.096322418400511</v>
      </c>
      <c r="G219" s="190">
        <f t="shared" si="3"/>
        <v>-17.096322418400511</v>
      </c>
      <c r="H219" s="187">
        <f t="shared" si="9"/>
        <v>8.9744680000000123</v>
      </c>
      <c r="I219" s="51">
        <f t="shared" si="4"/>
        <v>25.312299413340064</v>
      </c>
      <c r="J219" s="31">
        <f t="shared" si="5"/>
        <v>-25.312299413340064</v>
      </c>
    </row>
    <row r="220" spans="2:10" x14ac:dyDescent="0.25">
      <c r="B220" s="187">
        <f t="shared" si="6"/>
        <v>-11.367119999999979</v>
      </c>
      <c r="C220" s="66">
        <f t="shared" si="1"/>
        <v>8.1836472510488818</v>
      </c>
      <c r="D220" s="188">
        <f t="shared" si="2"/>
        <v>-8.1836472510488818</v>
      </c>
      <c r="E220" s="189">
        <f t="shared" si="7"/>
        <v>16.171040000000005</v>
      </c>
      <c r="F220" s="51">
        <f t="shared" si="8"/>
        <v>17.029048651008075</v>
      </c>
      <c r="G220" s="190">
        <f t="shared" si="3"/>
        <v>-17.029048651008075</v>
      </c>
      <c r="H220" s="187">
        <f t="shared" si="9"/>
        <v>9.4891200000000122</v>
      </c>
      <c r="I220" s="51">
        <f t="shared" si="4"/>
        <v>25.212695902056957</v>
      </c>
      <c r="J220" s="31">
        <f t="shared" si="5"/>
        <v>-25.212695902056957</v>
      </c>
    </row>
    <row r="221" spans="2:10" x14ac:dyDescent="0.25">
      <c r="B221" s="187">
        <f t="shared" si="6"/>
        <v>-11.200071999999979</v>
      </c>
      <c r="C221" s="66">
        <f t="shared" si="1"/>
        <v>8.1477651297282687</v>
      </c>
      <c r="D221" s="188">
        <f t="shared" si="2"/>
        <v>-8.1477651297282687</v>
      </c>
      <c r="E221" s="189">
        <f t="shared" si="7"/>
        <v>16.518644000000005</v>
      </c>
      <c r="F221" s="51">
        <f t="shared" si="8"/>
        <v>16.954382872911179</v>
      </c>
      <c r="G221" s="190">
        <f t="shared" si="3"/>
        <v>-16.954382872911179</v>
      </c>
      <c r="H221" s="187">
        <f t="shared" si="9"/>
        <v>10.003772000000012</v>
      </c>
      <c r="I221" s="51">
        <f t="shared" si="4"/>
        <v>25.102148002639449</v>
      </c>
      <c r="J221" s="31">
        <f t="shared" si="5"/>
        <v>-25.102148002639449</v>
      </c>
    </row>
    <row r="222" spans="2:10" x14ac:dyDescent="0.25">
      <c r="B222" s="187">
        <f t="shared" si="6"/>
        <v>-11.03302399999998</v>
      </c>
      <c r="C222" s="66">
        <f t="shared" si="1"/>
        <v>8.1082834694048476</v>
      </c>
      <c r="D222" s="188">
        <f t="shared" si="2"/>
        <v>-8.1082834694048476</v>
      </c>
      <c r="E222" s="189">
        <f t="shared" si="7"/>
        <v>16.866248000000006</v>
      </c>
      <c r="F222" s="51">
        <f t="shared" si="8"/>
        <v>16.872226947338515</v>
      </c>
      <c r="G222" s="190">
        <f t="shared" si="3"/>
        <v>-16.872226947338515</v>
      </c>
      <c r="H222" s="187">
        <f t="shared" si="9"/>
        <v>10.518424000000012</v>
      </c>
      <c r="I222" s="51">
        <f t="shared" si="4"/>
        <v>24.980510416743364</v>
      </c>
      <c r="J222" s="31">
        <f t="shared" si="5"/>
        <v>-24.980510416743364</v>
      </c>
    </row>
    <row r="223" spans="2:10" x14ac:dyDescent="0.25">
      <c r="B223" s="187">
        <f t="shared" si="6"/>
        <v>-10.86597599999998</v>
      </c>
      <c r="C223" s="66">
        <f t="shared" si="1"/>
        <v>8.0651494073342427</v>
      </c>
      <c r="D223" s="188">
        <f t="shared" si="2"/>
        <v>-8.0651494073342427</v>
      </c>
      <c r="E223" s="189">
        <f t="shared" si="7"/>
        <v>17.213852000000006</v>
      </c>
      <c r="F223" s="51">
        <f t="shared" si="8"/>
        <v>16.782470874162001</v>
      </c>
      <c r="G223" s="190">
        <f t="shared" si="3"/>
        <v>-16.782470874162001</v>
      </c>
      <c r="H223" s="187">
        <f t="shared" si="9"/>
        <v>11.033076000000012</v>
      </c>
      <c r="I223" s="51">
        <f t="shared" si="4"/>
        <v>24.847620281496248</v>
      </c>
      <c r="J223" s="31">
        <f t="shared" si="5"/>
        <v>-24.847620281496248</v>
      </c>
    </row>
    <row r="224" spans="2:10" x14ac:dyDescent="0.25">
      <c r="B224" s="187">
        <f t="shared" si="6"/>
        <v>-10.698927999999981</v>
      </c>
      <c r="C224" s="66">
        <f t="shared" si="1"/>
        <v>8.0183039999999934</v>
      </c>
      <c r="D224" s="188">
        <f t="shared" si="2"/>
        <v>-8.0183039999999934</v>
      </c>
      <c r="E224" s="189">
        <f t="shared" si="7"/>
        <v>17.561456000000007</v>
      </c>
      <c r="F224" s="51">
        <f t="shared" si="8"/>
        <v>16.684991999999998</v>
      </c>
      <c r="G224" s="190">
        <f t="shared" si="3"/>
        <v>-16.684991999999998</v>
      </c>
      <c r="H224" s="187">
        <f t="shared" si="9"/>
        <v>11.547728000000012</v>
      </c>
      <c r="I224" s="51">
        <f t="shared" si="4"/>
        <v>24.703295999999995</v>
      </c>
      <c r="J224" s="31">
        <f t="shared" si="5"/>
        <v>-24.703295999999995</v>
      </c>
    </row>
    <row r="225" spans="2:10" x14ac:dyDescent="0.25">
      <c r="B225" s="187">
        <f t="shared" si="6"/>
        <v>-10.531879999999981</v>
      </c>
      <c r="C225" s="66">
        <f t="shared" ref="C225:C260" si="10">IFERROR(SQRT(ABS(($C$34-$C$35)/2)^2-((B225-(($C$35+$C$34)/2))^2)),0)</f>
        <v>7.9676817859148903</v>
      </c>
      <c r="D225" s="188">
        <f t="shared" ref="D225:D260" si="11">-C225</f>
        <v>-7.9676817859148903</v>
      </c>
      <c r="E225" s="189">
        <f t="shared" si="7"/>
        <v>17.909060000000007</v>
      </c>
      <c r="F225" s="51">
        <f t="shared" si="8"/>
        <v>16.579654108466794</v>
      </c>
      <c r="G225" s="190">
        <f t="shared" ref="G225:G260" si="12">-F225</f>
        <v>-16.579654108466794</v>
      </c>
      <c r="H225" s="187">
        <f t="shared" si="9"/>
        <v>12.062380000000012</v>
      </c>
      <c r="I225" s="51">
        <f t="shared" ref="I225:I260" si="13">IFERROR(SQRT(ABS(($C$33-$C$35)/2)^2-((H225-(($C$35+$C$33)/2))^2)),0)</f>
        <v>24.547335894381689</v>
      </c>
      <c r="J225" s="31">
        <f t="shared" ref="J225:J260" si="14">-I225</f>
        <v>-24.547335894381689</v>
      </c>
    </row>
    <row r="226" spans="2:10" x14ac:dyDescent="0.25">
      <c r="B226" s="187">
        <f t="shared" ref="B226:B260" si="15">B225+0.01*($C$34-$C$35)</f>
        <v>-10.364831999999982</v>
      </c>
      <c r="C226" s="66">
        <f t="shared" si="10"/>
        <v>7.9132102826966433</v>
      </c>
      <c r="D226" s="188">
        <f t="shared" si="11"/>
        <v>-7.9132102826966433</v>
      </c>
      <c r="E226" s="189">
        <f t="shared" ref="E226:E260" si="16">E225+0.01*($C$33-$C$34)</f>
        <v>18.256664000000008</v>
      </c>
      <c r="F226" s="51">
        <f t="shared" ref="F226:F260" si="17">IFERROR(SQRT(ABS(($C$33-$C$34)/2)^2-((E226-(($C$34+$C$33)/2))^2)),0)</f>
        <v>16.466306373655989</v>
      </c>
      <c r="G226" s="190">
        <f t="shared" si="12"/>
        <v>-16.466306373655989</v>
      </c>
      <c r="H226" s="187">
        <f t="shared" ref="H226:H260" si="18">H225+0.01*($C$33-$C$35)</f>
        <v>12.577032000000012</v>
      </c>
      <c r="I226" s="51">
        <f t="shared" si="13"/>
        <v>24.379516656352639</v>
      </c>
      <c r="J226" s="31">
        <f t="shared" si="14"/>
        <v>-24.379516656352639</v>
      </c>
    </row>
    <row r="227" spans="2:10" x14ac:dyDescent="0.25">
      <c r="B227" s="187">
        <f t="shared" si="15"/>
        <v>-10.197783999999983</v>
      </c>
      <c r="C227" s="66">
        <f t="shared" si="10"/>
        <v>7.8548094086453739</v>
      </c>
      <c r="D227" s="188">
        <f t="shared" si="11"/>
        <v>-7.8548094086453739</v>
      </c>
      <c r="E227" s="189">
        <f t="shared" si="16"/>
        <v>18.604268000000008</v>
      </c>
      <c r="F227" s="51">
        <f t="shared" si="17"/>
        <v>16.344782156522488</v>
      </c>
      <c r="G227" s="190">
        <f t="shared" si="12"/>
        <v>-16.344782156522488</v>
      </c>
      <c r="H227" s="187">
        <f t="shared" si="18"/>
        <v>13.091684000000011</v>
      </c>
      <c r="I227" s="51">
        <f t="shared" si="13"/>
        <v>24.199591565167868</v>
      </c>
      <c r="J227" s="31">
        <f t="shared" si="14"/>
        <v>-24.199591565167868</v>
      </c>
    </row>
    <row r="228" spans="2:10" x14ac:dyDescent="0.25">
      <c r="B228" s="187">
        <f t="shared" si="15"/>
        <v>-10.030735999999983</v>
      </c>
      <c r="C228" s="66">
        <f t="shared" si="10"/>
        <v>7.7923908170409346</v>
      </c>
      <c r="D228" s="188">
        <f t="shared" si="11"/>
        <v>-7.7923908170409346</v>
      </c>
      <c r="E228" s="189">
        <f t="shared" si="16"/>
        <v>18.951872000000009</v>
      </c>
      <c r="F228" s="51">
        <f t="shared" si="17"/>
        <v>16.214897619646443</v>
      </c>
      <c r="G228" s="190">
        <f t="shared" si="12"/>
        <v>-16.214897619646443</v>
      </c>
      <c r="H228" s="187">
        <f t="shared" si="18"/>
        <v>13.606336000000011</v>
      </c>
      <c r="I228" s="51">
        <f t="shared" si="13"/>
        <v>24.007288436687382</v>
      </c>
      <c r="J228" s="31">
        <f t="shared" si="14"/>
        <v>-24.007288436687382</v>
      </c>
    </row>
    <row r="229" spans="2:10" x14ac:dyDescent="0.25">
      <c r="B229" s="187">
        <f t="shared" si="15"/>
        <v>-9.8636879999999838</v>
      </c>
      <c r="C229" s="66">
        <f t="shared" si="10"/>
        <v>7.725857128905238</v>
      </c>
      <c r="D229" s="188">
        <f t="shared" si="11"/>
        <v>-7.725857128905238</v>
      </c>
      <c r="E229" s="189">
        <f t="shared" si="16"/>
        <v>19.299476000000009</v>
      </c>
      <c r="F229" s="51">
        <f t="shared" si="17"/>
        <v>16.07645013071679</v>
      </c>
      <c r="G229" s="190">
        <f t="shared" si="12"/>
        <v>-16.07645013071679</v>
      </c>
      <c r="H229" s="187">
        <f t="shared" si="18"/>
        <v>14.120988000000011</v>
      </c>
      <c r="I229" s="51">
        <f t="shared" si="13"/>
        <v>23.802307259622033</v>
      </c>
      <c r="J229" s="31">
        <f t="shared" si="14"/>
        <v>-23.802307259622033</v>
      </c>
    </row>
    <row r="230" spans="2:10" x14ac:dyDescent="0.25">
      <c r="B230" s="187">
        <f t="shared" si="15"/>
        <v>-9.6966399999999844</v>
      </c>
      <c r="C230" s="66">
        <f t="shared" si="10"/>
        <v>7.6551010469098237</v>
      </c>
      <c r="D230" s="188">
        <f t="shared" si="11"/>
        <v>-7.6551010469098237</v>
      </c>
      <c r="E230" s="189">
        <f t="shared" si="16"/>
        <v>19.64708000000001</v>
      </c>
      <c r="F230" s="51">
        <f t="shared" si="17"/>
        <v>15.929216418694294</v>
      </c>
      <c r="G230" s="190">
        <f t="shared" si="12"/>
        <v>-15.929216418694294</v>
      </c>
      <c r="H230" s="187">
        <f t="shared" si="18"/>
        <v>14.635640000000011</v>
      </c>
      <c r="I230" s="51">
        <f t="shared" si="13"/>
        <v>23.584317465604123</v>
      </c>
      <c r="J230" s="31">
        <f t="shared" si="14"/>
        <v>-23.584317465604123</v>
      </c>
    </row>
    <row r="231" spans="2:10" x14ac:dyDescent="0.25">
      <c r="B231" s="187">
        <f t="shared" si="15"/>
        <v>-9.529591999999985</v>
      </c>
      <c r="C231" s="66">
        <f t="shared" si="10"/>
        <v>7.5800043292821329</v>
      </c>
      <c r="D231" s="188">
        <f t="shared" si="11"/>
        <v>-7.5800043292821329</v>
      </c>
      <c r="E231" s="189">
        <f t="shared" si="16"/>
        <v>19.99468400000001</v>
      </c>
      <c r="F231" s="51">
        <f t="shared" si="17"/>
        <v>15.772950438651097</v>
      </c>
      <c r="G231" s="190">
        <f t="shared" si="12"/>
        <v>-15.772950438651097</v>
      </c>
      <c r="H231" s="187">
        <f t="shared" si="18"/>
        <v>15.150292000000011</v>
      </c>
      <c r="I231" s="51">
        <f t="shared" si="13"/>
        <v>23.352954767933237</v>
      </c>
      <c r="J231" s="31">
        <f t="shared" si="14"/>
        <v>-23.352954767933237</v>
      </c>
    </row>
    <row r="232" spans="2:10" x14ac:dyDescent="0.25">
      <c r="B232" s="187">
        <f t="shared" si="15"/>
        <v>-9.3625439999999855</v>
      </c>
      <c r="C232" s="66">
        <f t="shared" si="10"/>
        <v>7.5004365977497525</v>
      </c>
      <c r="D232" s="188">
        <f t="shared" si="11"/>
        <v>-7.5004365977497525</v>
      </c>
      <c r="E232" s="189">
        <f t="shared" si="16"/>
        <v>20.342288000000011</v>
      </c>
      <c r="F232" s="51">
        <f t="shared" si="17"/>
        <v>15.607380891266024</v>
      </c>
      <c r="G232" s="190">
        <f t="shared" si="12"/>
        <v>-15.607380891266024</v>
      </c>
      <c r="H232" s="187">
        <f t="shared" si="18"/>
        <v>15.664944000000011</v>
      </c>
      <c r="I232" s="51">
        <f t="shared" si="13"/>
        <v>23.10781748901578</v>
      </c>
      <c r="J232" s="31">
        <f t="shared" si="14"/>
        <v>-23.10781748901578</v>
      </c>
    </row>
    <row r="233" spans="2:10" x14ac:dyDescent="0.25">
      <c r="B233" s="187">
        <f t="shared" si="15"/>
        <v>-9.1954959999999861</v>
      </c>
      <c r="C233" s="66">
        <f t="shared" si="10"/>
        <v>7.4162539474578324</v>
      </c>
      <c r="D233" s="188">
        <f t="shared" si="11"/>
        <v>-7.4162539474578324</v>
      </c>
      <c r="E233" s="189">
        <f t="shared" si="16"/>
        <v>20.689892000000011</v>
      </c>
      <c r="F233" s="51">
        <f t="shared" si="17"/>
        <v>15.432208330253186</v>
      </c>
      <c r="G233" s="190">
        <f t="shared" si="12"/>
        <v>-15.432208330253186</v>
      </c>
      <c r="H233" s="187">
        <f t="shared" si="18"/>
        <v>16.179596000000011</v>
      </c>
      <c r="I233" s="51">
        <f t="shared" si="13"/>
        <v>22.848462277711022</v>
      </c>
      <c r="J233" s="31">
        <f t="shared" si="14"/>
        <v>-22.848462277711022</v>
      </c>
    </row>
    <row r="234" spans="2:10" x14ac:dyDescent="0.25">
      <c r="B234" s="187">
        <f t="shared" si="15"/>
        <v>-9.0284479999999867</v>
      </c>
      <c r="C234" s="66">
        <f t="shared" si="10"/>
        <v>7.3272973189912172</v>
      </c>
      <c r="D234" s="188">
        <f t="shared" si="11"/>
        <v>-7.3272973189912172</v>
      </c>
      <c r="E234" s="189">
        <f t="shared" si="16"/>
        <v>21.037496000000012</v>
      </c>
      <c r="F234" s="51">
        <f t="shared" si="17"/>
        <v>15.24710177476309</v>
      </c>
      <c r="G234" s="190">
        <f t="shared" si="12"/>
        <v>-15.24710177476309</v>
      </c>
      <c r="H234" s="187">
        <f t="shared" si="18"/>
        <v>16.694248000000012</v>
      </c>
      <c r="I234" s="51">
        <f t="shared" si="13"/>
        <v>22.574399093754312</v>
      </c>
      <c r="J234" s="31">
        <f t="shared" si="14"/>
        <v>-22.574399093754312</v>
      </c>
    </row>
    <row r="235" spans="2:10" x14ac:dyDescent="0.25">
      <c r="B235" s="187">
        <f t="shared" si="15"/>
        <v>-8.8613999999999873</v>
      </c>
      <c r="C235" s="66">
        <f t="shared" si="10"/>
        <v>7.2333905825691369</v>
      </c>
      <c r="D235" s="188">
        <f t="shared" si="11"/>
        <v>-7.2333905825691369</v>
      </c>
      <c r="E235" s="189">
        <f t="shared" si="16"/>
        <v>21.385100000000012</v>
      </c>
      <c r="F235" s="51">
        <f t="shared" si="17"/>
        <v>15.051694722854291</v>
      </c>
      <c r="G235" s="190">
        <f t="shared" si="12"/>
        <v>-15.051694722854291</v>
      </c>
      <c r="H235" s="187">
        <f t="shared" si="18"/>
        <v>17.208900000000014</v>
      </c>
      <c r="I235" s="51">
        <f t="shared" si="13"/>
        <v>22.285085305423436</v>
      </c>
      <c r="J235" s="31">
        <f t="shared" si="14"/>
        <v>-22.285085305423436</v>
      </c>
    </row>
    <row r="236" spans="2:10" x14ac:dyDescent="0.25">
      <c r="B236" s="187">
        <f t="shared" si="15"/>
        <v>-8.6943519999999879</v>
      </c>
      <c r="C236" s="66">
        <f t="shared" si="10"/>
        <v>7.1343382713812975</v>
      </c>
      <c r="D236" s="188">
        <f t="shared" si="11"/>
        <v>-7.1343382713812975</v>
      </c>
      <c r="E236" s="189">
        <f t="shared" si="16"/>
        <v>21.732704000000012</v>
      </c>
      <c r="F236" s="51">
        <f t="shared" si="17"/>
        <v>14.845580434876359</v>
      </c>
      <c r="G236" s="190">
        <f t="shared" si="12"/>
        <v>-14.845580434876359</v>
      </c>
      <c r="H236" s="187">
        <f t="shared" si="18"/>
        <v>17.723552000000016</v>
      </c>
      <c r="I236" s="51">
        <f t="shared" si="13"/>
        <v>21.979918706257664</v>
      </c>
      <c r="J236" s="31">
        <f t="shared" si="14"/>
        <v>-21.979918706257664</v>
      </c>
    </row>
    <row r="237" spans="2:10" x14ac:dyDescent="0.25">
      <c r="B237" s="187">
        <f t="shared" si="15"/>
        <v>-8.5273039999999884</v>
      </c>
      <c r="C237" s="66">
        <f t="shared" si="10"/>
        <v>7.0299228838148631</v>
      </c>
      <c r="D237" s="188">
        <f t="shared" si="11"/>
        <v>-7.0299228838148631</v>
      </c>
      <c r="E237" s="189">
        <f t="shared" si="16"/>
        <v>22.080308000000013</v>
      </c>
      <c r="F237" s="51">
        <f t="shared" si="17"/>
        <v>14.628306319773856</v>
      </c>
      <c r="G237" s="190">
        <f t="shared" si="12"/>
        <v>-14.628306319773856</v>
      </c>
      <c r="H237" s="187">
        <f t="shared" si="18"/>
        <v>18.238204000000017</v>
      </c>
      <c r="I237" s="51">
        <f t="shared" si="13"/>
        <v>21.658229203588721</v>
      </c>
      <c r="J237" s="31">
        <f t="shared" si="14"/>
        <v>-21.658229203588721</v>
      </c>
    </row>
    <row r="238" spans="2:10" x14ac:dyDescent="0.25">
      <c r="B238" s="187">
        <f t="shared" si="15"/>
        <v>-8.360255999999989</v>
      </c>
      <c r="C238" s="66">
        <f t="shared" si="10"/>
        <v>6.9199016514444684</v>
      </c>
      <c r="D238" s="188">
        <f t="shared" si="11"/>
        <v>-6.9199016514444684</v>
      </c>
      <c r="E238" s="189">
        <f t="shared" si="16"/>
        <v>22.427912000000013</v>
      </c>
      <c r="F238" s="51">
        <f t="shared" si="17"/>
        <v>14.399367209716393</v>
      </c>
      <c r="G238" s="190">
        <f t="shared" si="12"/>
        <v>-14.399367209716393</v>
      </c>
      <c r="H238" s="187">
        <f t="shared" si="18"/>
        <v>18.752856000000019</v>
      </c>
      <c r="I238" s="51">
        <f t="shared" si="13"/>
        <v>21.319268861160868</v>
      </c>
      <c r="J238" s="31">
        <f t="shared" si="14"/>
        <v>-21.319268861160868</v>
      </c>
    </row>
    <row r="239" spans="2:10" x14ac:dyDescent="0.25">
      <c r="B239" s="187">
        <f t="shared" si="15"/>
        <v>-8.1932079999999896</v>
      </c>
      <c r="C239" s="66">
        <f t="shared" si="10"/>
        <v>6.8040026389130599</v>
      </c>
      <c r="D239" s="188">
        <f t="shared" si="11"/>
        <v>-6.8040026389130599</v>
      </c>
      <c r="E239" s="189">
        <f t="shared" si="16"/>
        <v>22.775516000000014</v>
      </c>
      <c r="F239" s="51">
        <f t="shared" si="17"/>
        <v>14.158197244485036</v>
      </c>
      <c r="G239" s="190">
        <f t="shared" si="12"/>
        <v>-14.158197244485036</v>
      </c>
      <c r="H239" s="187">
        <f t="shared" si="18"/>
        <v>19.267508000000021</v>
      </c>
      <c r="I239" s="51">
        <f t="shared" si="13"/>
        <v>20.9621998833981</v>
      </c>
      <c r="J239" s="31">
        <f t="shared" si="14"/>
        <v>-20.9621998833981</v>
      </c>
    </row>
    <row r="240" spans="2:10" x14ac:dyDescent="0.25">
      <c r="B240" s="187">
        <f t="shared" si="15"/>
        <v>-8.0261599999999902</v>
      </c>
      <c r="C240" s="66">
        <f t="shared" si="10"/>
        <v>6.681919999999991</v>
      </c>
      <c r="D240" s="188">
        <f t="shared" si="11"/>
        <v>-6.681919999999991</v>
      </c>
      <c r="E240" s="189">
        <f t="shared" si="16"/>
        <v>23.123120000000014</v>
      </c>
      <c r="F240" s="51">
        <f t="shared" si="17"/>
        <v>13.904159999999989</v>
      </c>
      <c r="G240" s="190">
        <f t="shared" si="12"/>
        <v>-13.904159999999989</v>
      </c>
      <c r="H240" s="187">
        <f t="shared" si="18"/>
        <v>19.782160000000022</v>
      </c>
      <c r="I240" s="51">
        <f t="shared" si="13"/>
        <v>20.586079999999978</v>
      </c>
      <c r="J240" s="31">
        <f t="shared" si="14"/>
        <v>-20.586079999999978</v>
      </c>
    </row>
    <row r="241" spans="2:10" x14ac:dyDescent="0.25">
      <c r="B241" s="187">
        <f t="shared" si="15"/>
        <v>-7.8591119999999899</v>
      </c>
      <c r="C241" s="66">
        <f t="shared" si="10"/>
        <v>6.5533081564852322</v>
      </c>
      <c r="D241" s="188">
        <f t="shared" si="11"/>
        <v>-6.5533081564852322</v>
      </c>
      <c r="E241" s="189">
        <f t="shared" si="16"/>
        <v>23.470724000000015</v>
      </c>
      <c r="F241" s="51">
        <f t="shared" si="17"/>
        <v>13.636536375334597</v>
      </c>
      <c r="G241" s="190">
        <f t="shared" si="12"/>
        <v>-13.636536375334597</v>
      </c>
      <c r="H241" s="187">
        <f t="shared" si="18"/>
        <v>20.296812000000024</v>
      </c>
      <c r="I241" s="51">
        <f t="shared" si="13"/>
        <v>20.18984453181983</v>
      </c>
      <c r="J241" s="31">
        <f t="shared" si="14"/>
        <v>-20.18984453181983</v>
      </c>
    </row>
    <row r="242" spans="2:10" x14ac:dyDescent="0.25">
      <c r="B242" s="187">
        <f t="shared" si="15"/>
        <v>-7.6920639999999896</v>
      </c>
      <c r="C242" s="66">
        <f t="shared" si="10"/>
        <v>6.4177745856880843</v>
      </c>
      <c r="D242" s="188">
        <f t="shared" si="11"/>
        <v>-6.4177745856880843</v>
      </c>
      <c r="E242" s="189">
        <f t="shared" si="16"/>
        <v>23.818328000000015</v>
      </c>
      <c r="F242" s="51">
        <f t="shared" si="17"/>
        <v>13.354509584571634</v>
      </c>
      <c r="G242" s="190">
        <f t="shared" si="12"/>
        <v>-13.354509584571634</v>
      </c>
      <c r="H242" s="187">
        <f t="shared" si="18"/>
        <v>20.811464000000026</v>
      </c>
      <c r="I242" s="51">
        <f t="shared" si="13"/>
        <v>19.77228417025972</v>
      </c>
      <c r="J242" s="31">
        <f t="shared" si="14"/>
        <v>-19.77228417025972</v>
      </c>
    </row>
    <row r="243" spans="2:10" x14ac:dyDescent="0.25">
      <c r="B243" s="187">
        <f t="shared" si="15"/>
        <v>-7.5250159999999893</v>
      </c>
      <c r="C243" s="66">
        <f t="shared" si="10"/>
        <v>6.2748707877488492</v>
      </c>
      <c r="D243" s="188">
        <f t="shared" si="11"/>
        <v>-6.2748707877488492</v>
      </c>
      <c r="E243" s="189">
        <f t="shared" si="16"/>
        <v>24.165932000000016</v>
      </c>
      <c r="F243" s="51">
        <f t="shared" si="17"/>
        <v>13.057146360954052</v>
      </c>
      <c r="G243" s="190">
        <f t="shared" si="12"/>
        <v>-13.057146360954052</v>
      </c>
      <c r="H243" s="187">
        <f t="shared" si="18"/>
        <v>21.326116000000027</v>
      </c>
      <c r="I243" s="51">
        <f t="shared" si="13"/>
        <v>19.332017148702896</v>
      </c>
      <c r="J243" s="31">
        <f t="shared" si="14"/>
        <v>-19.332017148702896</v>
      </c>
    </row>
    <row r="244" spans="2:10" x14ac:dyDescent="0.25">
      <c r="B244" s="187">
        <f t="shared" si="15"/>
        <v>-7.357967999999989</v>
      </c>
      <c r="C244" s="66">
        <f t="shared" si="10"/>
        <v>6.1240808375278535</v>
      </c>
      <c r="D244" s="188">
        <f t="shared" si="11"/>
        <v>-6.1240808375278535</v>
      </c>
      <c r="E244" s="189">
        <f t="shared" si="16"/>
        <v>24.513536000000016</v>
      </c>
      <c r="F244" s="51">
        <f t="shared" si="17"/>
        <v>12.743373134955421</v>
      </c>
      <c r="G244" s="190">
        <f t="shared" si="12"/>
        <v>-12.743373134955421</v>
      </c>
      <c r="H244" s="187">
        <f t="shared" si="18"/>
        <v>21.840768000000029</v>
      </c>
      <c r="I244" s="51">
        <f t="shared" si="13"/>
        <v>18.867453972483275</v>
      </c>
      <c r="J244" s="31">
        <f t="shared" si="14"/>
        <v>-18.867453972483275</v>
      </c>
    </row>
    <row r="245" spans="2:10" x14ac:dyDescent="0.25">
      <c r="B245" s="187">
        <f t="shared" si="15"/>
        <v>-7.1909199999999887</v>
      </c>
      <c r="C245" s="66">
        <f t="shared" si="10"/>
        <v>5.9648066806561175</v>
      </c>
      <c r="D245" s="188">
        <f t="shared" si="11"/>
        <v>-5.9648066806561175</v>
      </c>
      <c r="E245" s="189">
        <f t="shared" si="16"/>
        <v>24.861140000000017</v>
      </c>
      <c r="F245" s="51">
        <f t="shared" si="17"/>
        <v>12.411945437376028</v>
      </c>
      <c r="G245" s="190">
        <f t="shared" si="12"/>
        <v>-12.411945437376028</v>
      </c>
      <c r="H245" s="187">
        <f t="shared" si="18"/>
        <v>22.355420000000031</v>
      </c>
      <c r="I245" s="51">
        <f t="shared" si="13"/>
        <v>18.376752118032137</v>
      </c>
      <c r="J245" s="31">
        <f t="shared" si="14"/>
        <v>-18.376752118032137</v>
      </c>
    </row>
    <row r="246" spans="2:10" x14ac:dyDescent="0.25">
      <c r="B246" s="187">
        <f t="shared" si="15"/>
        <v>-7.0238719999999883</v>
      </c>
      <c r="C246" s="66">
        <f t="shared" si="10"/>
        <v>5.7963489630987395</v>
      </c>
      <c r="D246" s="188">
        <f t="shared" si="11"/>
        <v>-5.7963489630987395</v>
      </c>
      <c r="E246" s="189">
        <f t="shared" si="16"/>
        <v>25.208744000000017</v>
      </c>
      <c r="F246" s="51">
        <f t="shared" si="17"/>
        <v>12.061408008290886</v>
      </c>
      <c r="G246" s="190">
        <f t="shared" si="12"/>
        <v>-12.061408008290886</v>
      </c>
      <c r="H246" s="187">
        <f t="shared" si="18"/>
        <v>22.870072000000032</v>
      </c>
      <c r="I246" s="51">
        <f t="shared" si="13"/>
        <v>17.857756971389623</v>
      </c>
      <c r="J246" s="31">
        <f t="shared" si="14"/>
        <v>-17.857756971389623</v>
      </c>
    </row>
    <row r="247" spans="2:10" x14ac:dyDescent="0.25">
      <c r="B247" s="187">
        <f t="shared" si="15"/>
        <v>-6.856823999999988</v>
      </c>
      <c r="C247" s="66">
        <f t="shared" si="10"/>
        <v>5.6178816112324608</v>
      </c>
      <c r="D247" s="188">
        <f t="shared" si="11"/>
        <v>-5.6178816112324608</v>
      </c>
      <c r="E247" s="189">
        <f t="shared" si="16"/>
        <v>25.556348000000018</v>
      </c>
      <c r="F247" s="51">
        <f t="shared" si="17"/>
        <v>11.69004190167407</v>
      </c>
      <c r="G247" s="190">
        <f t="shared" si="12"/>
        <v>-11.69004190167407</v>
      </c>
      <c r="H247" s="187">
        <f t="shared" si="18"/>
        <v>23.384724000000034</v>
      </c>
      <c r="I247" s="51">
        <f t="shared" si="13"/>
        <v>17.307923512906523</v>
      </c>
      <c r="J247" s="31">
        <f t="shared" si="14"/>
        <v>-17.307923512906523</v>
      </c>
    </row>
    <row r="248" spans="2:10" x14ac:dyDescent="0.25">
      <c r="B248" s="187">
        <f t="shared" si="15"/>
        <v>-6.6897759999999877</v>
      </c>
      <c r="C248" s="66">
        <f t="shared" si="10"/>
        <v>5.428417469670495</v>
      </c>
      <c r="D248" s="188">
        <f t="shared" si="11"/>
        <v>-5.428417469670495</v>
      </c>
      <c r="E248" s="189">
        <f t="shared" si="16"/>
        <v>25.903952000000018</v>
      </c>
      <c r="F248" s="51">
        <f t="shared" si="17"/>
        <v>11.295792982420291</v>
      </c>
      <c r="G248" s="190">
        <f t="shared" si="12"/>
        <v>-11.295792982420291</v>
      </c>
      <c r="H248" s="187">
        <f t="shared" si="18"/>
        <v>23.899376000000036</v>
      </c>
      <c r="I248" s="51">
        <f t="shared" si="13"/>
        <v>16.72421045209078</v>
      </c>
      <c r="J248" s="31">
        <f t="shared" si="14"/>
        <v>-16.72421045209078</v>
      </c>
    </row>
    <row r="249" spans="2:10" x14ac:dyDescent="0.25">
      <c r="B249" s="187">
        <f t="shared" si="15"/>
        <v>-6.5227279999999874</v>
      </c>
      <c r="C249" s="66">
        <f t="shared" si="10"/>
        <v>5.2267608117854225</v>
      </c>
      <c r="D249" s="188">
        <f t="shared" si="11"/>
        <v>-5.2267608117854225</v>
      </c>
      <c r="E249" s="189">
        <f t="shared" si="16"/>
        <v>26.251556000000019</v>
      </c>
      <c r="F249" s="51">
        <f t="shared" si="17"/>
        <v>10.876173107249787</v>
      </c>
      <c r="G249" s="190">
        <f t="shared" si="12"/>
        <v>-10.876173107249787</v>
      </c>
      <c r="H249" s="187">
        <f t="shared" si="18"/>
        <v>24.414028000000037</v>
      </c>
      <c r="I249" s="51">
        <f t="shared" si="13"/>
        <v>16.102933919035198</v>
      </c>
      <c r="J249" s="31">
        <f t="shared" si="14"/>
        <v>-16.102933919035198</v>
      </c>
    </row>
    <row r="250" spans="2:10" x14ac:dyDescent="0.25">
      <c r="B250" s="187">
        <f t="shared" si="15"/>
        <v>-6.3556799999999871</v>
      </c>
      <c r="C250" s="66">
        <f t="shared" si="10"/>
        <v>5.0114399999999808</v>
      </c>
      <c r="D250" s="188">
        <f t="shared" si="11"/>
        <v>-5.0114399999999808</v>
      </c>
      <c r="E250" s="189">
        <f t="shared" si="16"/>
        <v>26.599160000000019</v>
      </c>
      <c r="F250" s="51">
        <f t="shared" si="17"/>
        <v>10.428119999999973</v>
      </c>
      <c r="G250" s="190">
        <f t="shared" si="12"/>
        <v>-10.428119999999973</v>
      </c>
      <c r="H250" s="187">
        <f t="shared" si="18"/>
        <v>24.928680000000039</v>
      </c>
      <c r="I250" s="51">
        <f t="shared" si="13"/>
        <v>15.439559999999945</v>
      </c>
      <c r="J250" s="31">
        <f t="shared" si="14"/>
        <v>-15.439559999999945</v>
      </c>
    </row>
    <row r="251" spans="2:10" x14ac:dyDescent="0.25">
      <c r="B251" s="187">
        <f t="shared" si="15"/>
        <v>-6.1886319999999868</v>
      </c>
      <c r="C251" s="66">
        <f t="shared" si="10"/>
        <v>4.7806090715489162</v>
      </c>
      <c r="D251" s="188">
        <f t="shared" si="11"/>
        <v>-4.7806090715489162</v>
      </c>
      <c r="E251" s="189">
        <f t="shared" si="16"/>
        <v>26.946764000000019</v>
      </c>
      <c r="F251" s="51">
        <f t="shared" si="17"/>
        <v>9.9477924650800507</v>
      </c>
      <c r="G251" s="190">
        <f t="shared" si="12"/>
        <v>-9.9477924650800507</v>
      </c>
      <c r="H251" s="187">
        <f t="shared" si="18"/>
        <v>25.443332000000041</v>
      </c>
      <c r="I251" s="51">
        <f t="shared" si="13"/>
        <v>14.728401536628953</v>
      </c>
      <c r="J251" s="31">
        <f t="shared" si="14"/>
        <v>-14.728401536628953</v>
      </c>
    </row>
    <row r="252" spans="2:10" x14ac:dyDescent="0.25">
      <c r="B252" s="187">
        <f t="shared" si="15"/>
        <v>-6.0215839999999865</v>
      </c>
      <c r="C252" s="66">
        <f t="shared" si="10"/>
        <v>4.5318986360844153</v>
      </c>
      <c r="D252" s="188">
        <f t="shared" si="11"/>
        <v>-4.5318986360844153</v>
      </c>
      <c r="E252" s="189">
        <f t="shared" si="16"/>
        <v>27.29436800000002</v>
      </c>
      <c r="F252" s="51">
        <f t="shared" si="17"/>
        <v>9.4302601258170711</v>
      </c>
      <c r="G252" s="190">
        <f t="shared" si="12"/>
        <v>-9.4302601258170711</v>
      </c>
      <c r="H252" s="187">
        <f t="shared" si="18"/>
        <v>25.957984000000042</v>
      </c>
      <c r="I252" s="51">
        <f t="shared" si="13"/>
        <v>13.962158761901476</v>
      </c>
      <c r="J252" s="31">
        <f t="shared" si="14"/>
        <v>-13.962158761901476</v>
      </c>
    </row>
    <row r="253" spans="2:10" x14ac:dyDescent="0.25">
      <c r="B253" s="187">
        <f t="shared" si="15"/>
        <v>-5.8545359999999862</v>
      </c>
      <c r="C253" s="66">
        <f t="shared" si="10"/>
        <v>4.2621798802847088</v>
      </c>
      <c r="D253" s="188">
        <f t="shared" si="11"/>
        <v>-4.2621798802847088</v>
      </c>
      <c r="E253" s="189">
        <f t="shared" si="16"/>
        <v>27.64197200000002</v>
      </c>
      <c r="F253" s="51">
        <f t="shared" si="17"/>
        <v>8.8690123503812632</v>
      </c>
      <c r="G253" s="190">
        <f t="shared" si="12"/>
        <v>-8.8690123503812632</v>
      </c>
      <c r="H253" s="187">
        <f t="shared" si="18"/>
        <v>26.472636000000044</v>
      </c>
      <c r="I253" s="51">
        <f t="shared" si="13"/>
        <v>13.131192230665951</v>
      </c>
      <c r="J253" s="31">
        <f t="shared" si="14"/>
        <v>-13.131192230665951</v>
      </c>
    </row>
    <row r="254" spans="2:10" x14ac:dyDescent="0.25">
      <c r="B254" s="187">
        <f t="shared" si="15"/>
        <v>-5.6874879999999859</v>
      </c>
      <c r="C254" s="66">
        <f t="shared" si="10"/>
        <v>3.9671701939109907</v>
      </c>
      <c r="D254" s="188">
        <f t="shared" si="11"/>
        <v>-3.9671701939109907</v>
      </c>
      <c r="E254" s="189">
        <f t="shared" si="16"/>
        <v>27.989576000000021</v>
      </c>
      <c r="F254" s="51">
        <f t="shared" si="17"/>
        <v>8.2551376136454166</v>
      </c>
      <c r="G254" s="190">
        <f t="shared" si="12"/>
        <v>-8.2551376136454166</v>
      </c>
      <c r="H254" s="187">
        <f t="shared" si="18"/>
        <v>26.987288000000046</v>
      </c>
      <c r="I254" s="51">
        <f t="shared" si="13"/>
        <v>12.222307807556392</v>
      </c>
      <c r="J254" s="31">
        <f t="shared" si="14"/>
        <v>-12.222307807556392</v>
      </c>
    </row>
    <row r="255" spans="2:10" x14ac:dyDescent="0.25">
      <c r="B255" s="187">
        <f t="shared" si="15"/>
        <v>-5.5204399999999856</v>
      </c>
      <c r="C255" s="66">
        <f t="shared" si="10"/>
        <v>3.6407267536028796</v>
      </c>
      <c r="D255" s="188">
        <f t="shared" si="11"/>
        <v>-3.6407267536028796</v>
      </c>
      <c r="E255" s="189">
        <f t="shared" si="16"/>
        <v>28.337180000000021</v>
      </c>
      <c r="F255" s="51">
        <f t="shared" si="17"/>
        <v>7.5758535418525161</v>
      </c>
      <c r="G255" s="190">
        <f t="shared" si="12"/>
        <v>-7.5758535418525161</v>
      </c>
      <c r="H255" s="187">
        <f t="shared" si="18"/>
        <v>27.501940000000047</v>
      </c>
      <c r="I255" s="51">
        <f t="shared" si="13"/>
        <v>11.216580295455367</v>
      </c>
      <c r="J255" s="31">
        <f t="shared" si="14"/>
        <v>-11.216580295455367</v>
      </c>
    </row>
    <row r="256" spans="2:10" x14ac:dyDescent="0.25">
      <c r="B256" s="187">
        <f t="shared" si="15"/>
        <v>-5.3533919999999853</v>
      </c>
      <c r="C256" s="66">
        <f t="shared" si="10"/>
        <v>3.273458900419516</v>
      </c>
      <c r="D256" s="188">
        <f t="shared" si="11"/>
        <v>-3.273458900419516</v>
      </c>
      <c r="E256" s="189">
        <f t="shared" si="16"/>
        <v>28.684784000000022</v>
      </c>
      <c r="F256" s="51">
        <f t="shared" si="17"/>
        <v>6.8116194604031781</v>
      </c>
      <c r="G256" s="190">
        <f t="shared" si="12"/>
        <v>-6.8116194604031781</v>
      </c>
      <c r="H256" s="187">
        <f t="shared" si="18"/>
        <v>28.016592000000049</v>
      </c>
      <c r="I256" s="51">
        <f t="shared" si="13"/>
        <v>10.085078360822669</v>
      </c>
      <c r="J256" s="31">
        <f t="shared" si="14"/>
        <v>-10.085078360822669</v>
      </c>
    </row>
    <row r="257" spans="2:10" x14ac:dyDescent="0.25">
      <c r="B257" s="187">
        <f t="shared" si="15"/>
        <v>-5.186343999999985</v>
      </c>
      <c r="C257" s="66">
        <f t="shared" si="10"/>
        <v>2.8496254109029384</v>
      </c>
      <c r="D257" s="188">
        <f t="shared" si="11"/>
        <v>-2.8496254109029384</v>
      </c>
      <c r="E257" s="189">
        <f t="shared" si="16"/>
        <v>29.032388000000022</v>
      </c>
      <c r="F257" s="51">
        <f t="shared" si="17"/>
        <v>5.9296800400574119</v>
      </c>
      <c r="G257" s="190">
        <f t="shared" si="12"/>
        <v>-5.9296800400574119</v>
      </c>
      <c r="H257" s="187">
        <f t="shared" si="18"/>
        <v>28.531244000000051</v>
      </c>
      <c r="I257" s="51">
        <f t="shared" si="13"/>
        <v>8.7793054509603063</v>
      </c>
      <c r="J257" s="31">
        <f t="shared" si="14"/>
        <v>-8.7793054509603063</v>
      </c>
    </row>
    <row r="258" spans="2:10" x14ac:dyDescent="0.25">
      <c r="B258" s="187">
        <f t="shared" si="15"/>
        <v>-5.0192959999999847</v>
      </c>
      <c r="C258" s="66">
        <f t="shared" si="10"/>
        <v>2.3386719999999412</v>
      </c>
      <c r="D258" s="188">
        <f t="shared" si="11"/>
        <v>-2.3386719999999412</v>
      </c>
      <c r="E258" s="189">
        <f t="shared" si="16"/>
        <v>29.379992000000023</v>
      </c>
      <c r="F258" s="51">
        <f t="shared" si="17"/>
        <v>4.8664559999999222</v>
      </c>
      <c r="G258" s="190">
        <f t="shared" si="12"/>
        <v>-4.8664559999999222</v>
      </c>
      <c r="H258" s="187">
        <f t="shared" si="18"/>
        <v>29.045896000000052</v>
      </c>
      <c r="I258" s="51">
        <f t="shared" si="13"/>
        <v>7.2051279999998181</v>
      </c>
      <c r="J258" s="31">
        <f t="shared" si="14"/>
        <v>-7.2051279999998181</v>
      </c>
    </row>
    <row r="259" spans="2:10" x14ac:dyDescent="0.25">
      <c r="B259" s="187">
        <f t="shared" si="15"/>
        <v>-4.8522479999999844</v>
      </c>
      <c r="C259" s="66">
        <f t="shared" si="10"/>
        <v>1.662106613937784</v>
      </c>
      <c r="D259" s="188">
        <f t="shared" si="11"/>
        <v>-1.662106613937784</v>
      </c>
      <c r="E259" s="189">
        <f t="shared" si="16"/>
        <v>29.727596000000023</v>
      </c>
      <c r="F259" s="51">
        <f t="shared" si="17"/>
        <v>3.4586161308799799</v>
      </c>
      <c r="G259" s="190">
        <f t="shared" si="12"/>
        <v>-3.4586161308799799</v>
      </c>
      <c r="H259" s="187">
        <f t="shared" si="18"/>
        <v>29.560548000000054</v>
      </c>
      <c r="I259" s="51">
        <f t="shared" si="13"/>
        <v>5.1207227448176695</v>
      </c>
      <c r="J259" s="31">
        <f t="shared" si="14"/>
        <v>-5.1207227448176695</v>
      </c>
    </row>
    <row r="260" spans="2:10" ht="15.75" thickBot="1" x14ac:dyDescent="0.3">
      <c r="B260" s="191">
        <f t="shared" si="15"/>
        <v>-4.685199999999984</v>
      </c>
      <c r="C260" s="192">
        <f t="shared" si="10"/>
        <v>0</v>
      </c>
      <c r="D260" s="193">
        <f t="shared" si="11"/>
        <v>0</v>
      </c>
      <c r="E260" s="194">
        <f t="shared" si="16"/>
        <v>30.075200000000024</v>
      </c>
      <c r="F260" s="54">
        <f t="shared" si="17"/>
        <v>0</v>
      </c>
      <c r="G260" s="195">
        <f t="shared" si="12"/>
        <v>0</v>
      </c>
      <c r="H260" s="191">
        <f t="shared" si="18"/>
        <v>30.075200000000056</v>
      </c>
      <c r="I260" s="54">
        <f t="shared" si="13"/>
        <v>0</v>
      </c>
      <c r="J260" s="107">
        <f t="shared" si="14"/>
        <v>0</v>
      </c>
    </row>
  </sheetData>
  <sheetProtection algorithmName="SHA-512" hashValue="wjgHki8FKbkTloumBwdSAH/W+dvR96Gg4+5e4FuxQgIJ4akBHFtAW5MKUDhD01Wtk4ruCscZy9c2tLp+rxYCpQ==" saltValue="sdiAZ6qTPJCIpZyoC3EjaA==" spinCount="100000" sheet="1" objects="1" scenarios="1"/>
  <mergeCells count="15">
    <mergeCell ref="B37:E37"/>
    <mergeCell ref="B124:H124"/>
    <mergeCell ref="B158:D158"/>
    <mergeCell ref="E158:G158"/>
    <mergeCell ref="H158:J158"/>
    <mergeCell ref="B4:E4"/>
    <mergeCell ref="G4:I4"/>
    <mergeCell ref="B21:D21"/>
    <mergeCell ref="E22:E24"/>
    <mergeCell ref="B26:E28"/>
    <mergeCell ref="B29:C29"/>
    <mergeCell ref="D29:E29"/>
    <mergeCell ref="B17:E17"/>
    <mergeCell ref="B18:C18"/>
    <mergeCell ref="B19:E19"/>
  </mergeCells>
  <conditionalFormatting sqref="B19:E19">
    <cfRule type="containsText" dxfId="1" priority="1" operator="containsText" text="choice">
      <formula>NOT(ISERROR(SEARCH("choice",B19)))</formula>
    </cfRule>
    <cfRule type="containsText" dxfId="0" priority="2" operator="containsText" text="Consider">
      <formula>NOT(ISERROR(SEARCH("Consider",B19)))</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74F30-0F29-420F-B078-ACF2A5EB7EA9}">
  <dimension ref="A1:N40"/>
  <sheetViews>
    <sheetView workbookViewId="0">
      <selection activeCell="I4" sqref="I4"/>
    </sheetView>
  </sheetViews>
  <sheetFormatPr defaultRowHeight="15" x14ac:dyDescent="0.25"/>
  <cols>
    <col min="1" max="1" width="10" bestFit="1" customWidth="1"/>
  </cols>
  <sheetData>
    <row r="1" spans="1:14" x14ac:dyDescent="0.25">
      <c r="A1" t="s">
        <v>110</v>
      </c>
      <c r="B1" t="s">
        <v>172</v>
      </c>
    </row>
    <row r="2" spans="1:14" x14ac:dyDescent="0.25">
      <c r="B2" t="s">
        <v>173</v>
      </c>
    </row>
    <row r="3" spans="1:14" x14ac:dyDescent="0.25">
      <c r="B3" t="s">
        <v>174</v>
      </c>
    </row>
    <row r="4" spans="1:14" x14ac:dyDescent="0.25">
      <c r="B4" t="s">
        <v>175</v>
      </c>
      <c r="N4" t="s">
        <v>176</v>
      </c>
    </row>
    <row r="5" spans="1:14" x14ac:dyDescent="0.25">
      <c r="B5" t="s">
        <v>177</v>
      </c>
    </row>
    <row r="6" spans="1:14" x14ac:dyDescent="0.25">
      <c r="B6" t="s">
        <v>178</v>
      </c>
    </row>
    <row r="7" spans="1:14" x14ac:dyDescent="0.25">
      <c r="B7" t="s">
        <v>179</v>
      </c>
    </row>
    <row r="8" spans="1:14" x14ac:dyDescent="0.25">
      <c r="B8" t="s">
        <v>180</v>
      </c>
    </row>
    <row r="10" spans="1:14" x14ac:dyDescent="0.25">
      <c r="B10" t="s">
        <v>181</v>
      </c>
    </row>
    <row r="11" spans="1:14" x14ac:dyDescent="0.25">
      <c r="B11" t="s">
        <v>182</v>
      </c>
    </row>
    <row r="12" spans="1:14" x14ac:dyDescent="0.25">
      <c r="B12" t="s">
        <v>183</v>
      </c>
    </row>
    <row r="13" spans="1:14" x14ac:dyDescent="0.25">
      <c r="B13" t="s">
        <v>184</v>
      </c>
    </row>
    <row r="14" spans="1:14" x14ac:dyDescent="0.25">
      <c r="B14" t="s">
        <v>185</v>
      </c>
    </row>
    <row r="15" spans="1:14" x14ac:dyDescent="0.25">
      <c r="B15" t="s">
        <v>186</v>
      </c>
    </row>
    <row r="16" spans="1:14" x14ac:dyDescent="0.25">
      <c r="B16" t="s">
        <v>187</v>
      </c>
    </row>
    <row r="18" spans="2:2" x14ac:dyDescent="0.25">
      <c r="B18" t="s">
        <v>188</v>
      </c>
    </row>
    <row r="19" spans="2:2" x14ac:dyDescent="0.25">
      <c r="B19" t="s">
        <v>189</v>
      </c>
    </row>
    <row r="20" spans="2:2" x14ac:dyDescent="0.25">
      <c r="B20" t="s">
        <v>190</v>
      </c>
    </row>
    <row r="22" spans="2:2" x14ac:dyDescent="0.25">
      <c r="B22" t="s">
        <v>191</v>
      </c>
    </row>
    <row r="24" spans="2:2" x14ac:dyDescent="0.25">
      <c r="B24" t="s">
        <v>192</v>
      </c>
    </row>
    <row r="25" spans="2:2" x14ac:dyDescent="0.25">
      <c r="B25" t="s">
        <v>193</v>
      </c>
    </row>
    <row r="27" spans="2:2" x14ac:dyDescent="0.25">
      <c r="B27" s="2" t="s">
        <v>194</v>
      </c>
    </row>
    <row r="28" spans="2:2" x14ac:dyDescent="0.25">
      <c r="B28" s="2" t="s">
        <v>195</v>
      </c>
    </row>
    <row r="29" spans="2:2" x14ac:dyDescent="0.25">
      <c r="B29" s="2" t="s">
        <v>196</v>
      </c>
    </row>
    <row r="30" spans="2:2" x14ac:dyDescent="0.25">
      <c r="B30" s="2" t="s">
        <v>197</v>
      </c>
    </row>
    <row r="33" spans="2:2" x14ac:dyDescent="0.25">
      <c r="B33" t="s">
        <v>198</v>
      </c>
    </row>
    <row r="36" spans="2:2" x14ac:dyDescent="0.25">
      <c r="B36" t="s">
        <v>199</v>
      </c>
    </row>
    <row r="39" spans="2:2" x14ac:dyDescent="0.25">
      <c r="B39" t="s">
        <v>200</v>
      </c>
    </row>
    <row r="40" spans="2:2" x14ac:dyDescent="0.25">
      <c r="B40" t="s">
        <v>201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B99B8-DA20-4E94-8998-C692D0E1DEA0}">
  <dimension ref="C2:K98"/>
  <sheetViews>
    <sheetView workbookViewId="0">
      <selection activeCell="E20" sqref="E20"/>
    </sheetView>
  </sheetViews>
  <sheetFormatPr defaultRowHeight="15" x14ac:dyDescent="0.25"/>
  <sheetData>
    <row r="2" spans="3:3" x14ac:dyDescent="0.25">
      <c r="C2" t="s">
        <v>204</v>
      </c>
    </row>
    <row r="3" spans="3:3" x14ac:dyDescent="0.25">
      <c r="C3" t="s">
        <v>205</v>
      </c>
    </row>
    <row r="4" spans="3:3" x14ac:dyDescent="0.25">
      <c r="C4" t="s">
        <v>206</v>
      </c>
    </row>
    <row r="5" spans="3:3" x14ac:dyDescent="0.25">
      <c r="C5" t="s">
        <v>207</v>
      </c>
    </row>
    <row r="7" spans="3:3" x14ac:dyDescent="0.25">
      <c r="C7" t="s">
        <v>208</v>
      </c>
    </row>
    <row r="68" spans="4:8" x14ac:dyDescent="0.25">
      <c r="E68" t="s">
        <v>219</v>
      </c>
    </row>
    <row r="69" spans="4:8" x14ac:dyDescent="0.25">
      <c r="E69" t="s">
        <v>209</v>
      </c>
      <c r="F69" s="1">
        <v>540</v>
      </c>
      <c r="G69" t="s">
        <v>210</v>
      </c>
      <c r="H69" t="s">
        <v>224</v>
      </c>
    </row>
    <row r="70" spans="4:8" x14ac:dyDescent="0.25">
      <c r="E70" t="s">
        <v>211</v>
      </c>
      <c r="F70" s="1">
        <f>F69*150</f>
        <v>81000</v>
      </c>
      <c r="G70" t="s">
        <v>212</v>
      </c>
      <c r="H70" t="s">
        <v>225</v>
      </c>
    </row>
    <row r="71" spans="4:8" x14ac:dyDescent="0.25">
      <c r="E71" t="s">
        <v>213</v>
      </c>
      <c r="F71" s="1">
        <v>10</v>
      </c>
      <c r="G71" t="s">
        <v>217</v>
      </c>
      <c r="H71" t="s">
        <v>222</v>
      </c>
    </row>
    <row r="72" spans="4:8" x14ac:dyDescent="0.25">
      <c r="E72" t="s">
        <v>214</v>
      </c>
      <c r="F72" s="1">
        <f>PI()/64*(20)^4</f>
        <v>7853.981633974483</v>
      </c>
      <c r="G72" t="s">
        <v>216</v>
      </c>
      <c r="H72" t="s">
        <v>226</v>
      </c>
    </row>
    <row r="73" spans="4:8" x14ac:dyDescent="0.25">
      <c r="E73" t="s">
        <v>215</v>
      </c>
      <c r="F73" s="3">
        <f>F70*F71/F72</f>
        <v>103.13240312354817</v>
      </c>
      <c r="G73" t="s">
        <v>24</v>
      </c>
      <c r="H73" t="s">
        <v>218</v>
      </c>
    </row>
    <row r="74" spans="4:8" x14ac:dyDescent="0.25">
      <c r="E74" t="s">
        <v>221</v>
      </c>
      <c r="F74">
        <f>(450-90)*(200/2)</f>
        <v>36000</v>
      </c>
      <c r="G74" t="s">
        <v>212</v>
      </c>
      <c r="H74" t="s">
        <v>223</v>
      </c>
    </row>
    <row r="75" spans="4:8" x14ac:dyDescent="0.25">
      <c r="E75" t="s">
        <v>75</v>
      </c>
      <c r="F75">
        <f>PI()/32*(20)^4</f>
        <v>15707.963267948966</v>
      </c>
      <c r="G75" t="s">
        <v>216</v>
      </c>
      <c r="H75" t="s">
        <v>227</v>
      </c>
    </row>
    <row r="76" spans="4:8" x14ac:dyDescent="0.25">
      <c r="E76" t="s">
        <v>136</v>
      </c>
      <c r="F76">
        <f>F74*F71/F75</f>
        <v>22.918311805232928</v>
      </c>
      <c r="G76" t="s">
        <v>24</v>
      </c>
      <c r="H76" t="s">
        <v>220</v>
      </c>
    </row>
    <row r="77" spans="4:8" x14ac:dyDescent="0.25">
      <c r="D77" s="4"/>
      <c r="E77" t="s">
        <v>228</v>
      </c>
      <c r="F77">
        <f>F73</f>
        <v>103.13240312354817</v>
      </c>
    </row>
    <row r="78" spans="4:8" x14ac:dyDescent="0.25">
      <c r="D78" s="4"/>
      <c r="E78" t="s">
        <v>229</v>
      </c>
      <c r="F78">
        <v>0</v>
      </c>
    </row>
    <row r="79" spans="4:8" x14ac:dyDescent="0.25">
      <c r="D79" s="4"/>
      <c r="E79" t="s">
        <v>230</v>
      </c>
      <c r="F79">
        <f>F76</f>
        <v>22.918311805232928</v>
      </c>
    </row>
    <row r="80" spans="4:8" x14ac:dyDescent="0.25">
      <c r="E80" t="s">
        <v>231</v>
      </c>
      <c r="F80">
        <f>(F77+F78)/2+SQRT(((F77+F78)/2)^2+F76^2)</f>
        <v>107.99600006851512</v>
      </c>
      <c r="H80" t="s">
        <v>232</v>
      </c>
    </row>
    <row r="81" spans="5:11" x14ac:dyDescent="0.25">
      <c r="E81" t="s">
        <v>233</v>
      </c>
      <c r="F81">
        <f>(F77+F78)/2-SQRT(((F77+F78)/2)^2+F76^2)</f>
        <v>-4.8635969449669361</v>
      </c>
      <c r="H81" t="s">
        <v>232</v>
      </c>
    </row>
    <row r="82" spans="5:11" x14ac:dyDescent="0.25">
      <c r="E82" t="s">
        <v>234</v>
      </c>
      <c r="F82">
        <v>329</v>
      </c>
      <c r="G82" t="s">
        <v>24</v>
      </c>
      <c r="H82" t="s">
        <v>236</v>
      </c>
    </row>
    <row r="83" spans="5:11" x14ac:dyDescent="0.25">
      <c r="E83" t="s">
        <v>235</v>
      </c>
      <c r="F83">
        <v>359</v>
      </c>
      <c r="G83" t="s">
        <v>24</v>
      </c>
      <c r="H83" t="s">
        <v>237</v>
      </c>
    </row>
    <row r="84" spans="5:11" x14ac:dyDescent="0.25">
      <c r="E84" t="s">
        <v>98</v>
      </c>
      <c r="F84">
        <f>1/(F80/F82-F81/F83)</f>
        <v>2.9256623443814771</v>
      </c>
      <c r="G84" t="s">
        <v>67</v>
      </c>
      <c r="H84" t="s">
        <v>238</v>
      </c>
    </row>
    <row r="91" spans="5:11" x14ac:dyDescent="0.25">
      <c r="I91" t="s">
        <v>239</v>
      </c>
      <c r="J91" t="s">
        <v>231</v>
      </c>
      <c r="K91" t="s">
        <v>233</v>
      </c>
    </row>
    <row r="92" spans="5:11" x14ac:dyDescent="0.25">
      <c r="I92">
        <v>1</v>
      </c>
      <c r="J92">
        <f>F82</f>
        <v>329</v>
      </c>
      <c r="K92">
        <v>0</v>
      </c>
    </row>
    <row r="93" spans="5:11" x14ac:dyDescent="0.25">
      <c r="I93">
        <v>2</v>
      </c>
      <c r="J93">
        <f>F82</f>
        <v>329</v>
      </c>
      <c r="K93">
        <f>F82</f>
        <v>329</v>
      </c>
    </row>
    <row r="94" spans="5:11" x14ac:dyDescent="0.25">
      <c r="I94">
        <v>3</v>
      </c>
      <c r="J94">
        <v>0</v>
      </c>
      <c r="K94">
        <f>F82</f>
        <v>329</v>
      </c>
    </row>
    <row r="95" spans="5:11" x14ac:dyDescent="0.25">
      <c r="I95">
        <v>4</v>
      </c>
      <c r="J95">
        <f>-F83</f>
        <v>-359</v>
      </c>
      <c r="K95">
        <v>0</v>
      </c>
    </row>
    <row r="96" spans="5:11" x14ac:dyDescent="0.25">
      <c r="I96">
        <v>5</v>
      </c>
      <c r="J96">
        <f>-F83</f>
        <v>-359</v>
      </c>
      <c r="K96">
        <f>-F83</f>
        <v>-359</v>
      </c>
    </row>
    <row r="97" spans="9:11" x14ac:dyDescent="0.25">
      <c r="I97">
        <v>6</v>
      </c>
      <c r="J97">
        <v>0</v>
      </c>
      <c r="K97">
        <f>-F83</f>
        <v>-359</v>
      </c>
    </row>
    <row r="98" spans="9:11" x14ac:dyDescent="0.25">
      <c r="I98">
        <v>1</v>
      </c>
      <c r="J98">
        <f>J92</f>
        <v>329</v>
      </c>
      <c r="K98">
        <f>K92</f>
        <v>0</v>
      </c>
    </row>
  </sheetData>
  <mergeCells count="1">
    <mergeCell ref="D77:D7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768DB-7A22-4C60-98EB-F86CC2E41BAE}">
  <dimension ref="B2:B18"/>
  <sheetViews>
    <sheetView workbookViewId="0">
      <selection activeCell="D10" sqref="D10"/>
    </sheetView>
  </sheetViews>
  <sheetFormatPr defaultRowHeight="15" x14ac:dyDescent="0.25"/>
  <sheetData>
    <row r="2" spans="2:2" x14ac:dyDescent="0.25">
      <c r="B2" t="s">
        <v>171</v>
      </c>
    </row>
    <row r="3" spans="2:2" x14ac:dyDescent="0.25">
      <c r="B3" t="s">
        <v>0</v>
      </c>
    </row>
    <row r="4" spans="2:2" x14ac:dyDescent="0.25">
      <c r="B4" t="s">
        <v>1</v>
      </c>
    </row>
    <row r="5" spans="2:2" x14ac:dyDescent="0.25">
      <c r="B5" t="s">
        <v>2</v>
      </c>
    </row>
    <row r="6" spans="2:2" x14ac:dyDescent="0.25">
      <c r="B6" t="s">
        <v>3</v>
      </c>
    </row>
    <row r="7" spans="2:2" x14ac:dyDescent="0.25">
      <c r="B7" t="s">
        <v>4</v>
      </c>
    </row>
    <row r="8" spans="2:2" x14ac:dyDescent="0.25">
      <c r="B8" t="s">
        <v>5</v>
      </c>
    </row>
    <row r="9" spans="2:2" x14ac:dyDescent="0.25">
      <c r="B9" t="s">
        <v>6</v>
      </c>
    </row>
    <row r="10" spans="2:2" x14ac:dyDescent="0.25">
      <c r="B10" t="s">
        <v>7</v>
      </c>
    </row>
    <row r="11" spans="2:2" x14ac:dyDescent="0.25">
      <c r="B11" t="s">
        <v>8</v>
      </c>
    </row>
    <row r="13" spans="2:2" x14ac:dyDescent="0.25">
      <c r="B13" t="s">
        <v>93</v>
      </c>
    </row>
    <row r="15" spans="2:2" x14ac:dyDescent="0.25">
      <c r="B15" t="s">
        <v>9</v>
      </c>
    </row>
    <row r="16" spans="2:2" x14ac:dyDescent="0.25">
      <c r="B16" t="s">
        <v>10</v>
      </c>
    </row>
    <row r="17" spans="2:2" x14ac:dyDescent="0.25">
      <c r="B17" t="s">
        <v>11</v>
      </c>
    </row>
    <row r="18" spans="2:2" x14ac:dyDescent="0.25">
      <c r="B18" t="s">
        <v>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DA52BA5C730F14B92EB9ECBFB2C7418" ma:contentTypeVersion="14" ma:contentTypeDescription="Create a new document." ma:contentTypeScope="" ma:versionID="108d213f8868efb736a2df9a8f5be34d">
  <xsd:schema xmlns:xsd="http://www.w3.org/2001/XMLSchema" xmlns:xs="http://www.w3.org/2001/XMLSchema" xmlns:p="http://schemas.microsoft.com/office/2006/metadata/properties" xmlns:ns3="bca9a786-588e-41dd-a678-26a01561a81d" xmlns:ns4="73b8247c-57e8-4f2c-a684-da9afdc3115a" targetNamespace="http://schemas.microsoft.com/office/2006/metadata/properties" ma:root="true" ma:fieldsID="a19839b27257a07a54d9ebe9f36aa622" ns3:_="" ns4:_="">
    <xsd:import namespace="bca9a786-588e-41dd-a678-26a01561a81d"/>
    <xsd:import namespace="73b8247c-57e8-4f2c-a684-da9afdc3115a"/>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Location" minOccurs="0"/>
                <xsd:element ref="ns4:MediaServiceGenerationTime" minOccurs="0"/>
                <xsd:element ref="ns4:MediaServiceEventHashCode" minOccurs="0"/>
                <xsd:element ref="ns4:MediaServiceAutoKeyPoints" minOccurs="0"/>
                <xsd:element ref="ns4:MediaServiceKeyPoints"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a9a786-588e-41dd-a678-26a01561a81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3b8247c-57e8-4f2c-a684-da9afdc3115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A993C40-557F-4B6F-A286-FA78F89B5806}">
  <ds:schemaRefs>
    <ds:schemaRef ds:uri="http://schemas.microsoft.com/sharepoint/v3/contenttype/forms"/>
  </ds:schemaRefs>
</ds:datastoreItem>
</file>

<file path=customXml/itemProps2.xml><?xml version="1.0" encoding="utf-8"?>
<ds:datastoreItem xmlns:ds="http://schemas.openxmlformats.org/officeDocument/2006/customXml" ds:itemID="{F0529732-C15F-4DD8-8EBC-0206D78F9F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a9a786-588e-41dd-a678-26a01561a81d"/>
    <ds:schemaRef ds:uri="73b8247c-57e8-4f2c-a684-da9afdc311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4B8415A-25D5-4622-ACB6-CE479391268B}">
  <ds:schemaRefs>
    <ds:schemaRef ds:uri="http://schemas.microsoft.com/office/2006/metadata/properties"/>
    <ds:schemaRef ds:uri="73b8247c-57e8-4f2c-a684-da9afdc3115a"/>
    <ds:schemaRef ds:uri="http://purl.org/dc/terms/"/>
    <ds:schemaRef ds:uri="http://schemas.openxmlformats.org/package/2006/metadata/core-properties"/>
    <ds:schemaRef ds:uri="bca9a786-588e-41dd-a678-26a01561a81d"/>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11</vt:i4>
      </vt:variant>
    </vt:vector>
  </HeadingPairs>
  <TitlesOfParts>
    <vt:vector size="17" baseType="lpstr">
      <vt:lpstr>Static Loading Flowchart</vt:lpstr>
      <vt:lpstr>Plane Stress</vt:lpstr>
      <vt:lpstr>Non-Plane Stress</vt:lpstr>
      <vt:lpstr>MaxShearStressMSS Criteria Info</vt:lpstr>
      <vt:lpstr>DuctileCoulombMohr Crit Theory</vt:lpstr>
      <vt:lpstr>Distortion Energy Theory Info</vt:lpstr>
      <vt:lpstr>Chart_Min</vt:lpstr>
      <vt:lpstr>conserv</vt:lpstr>
      <vt:lpstr>S_y</vt:lpstr>
      <vt:lpstr>'Plane Stress'!sigma_avg</vt:lpstr>
      <vt:lpstr>sigma_max</vt:lpstr>
      <vt:lpstr>sigma_min</vt:lpstr>
      <vt:lpstr>'Plane Stress'!sigma_x</vt:lpstr>
      <vt:lpstr>'Plane Stress'!sigma_y</vt:lpstr>
      <vt:lpstr>tau_max</vt:lpstr>
      <vt:lpstr>'Plane Stress'!tau_xy</vt:lpstr>
      <vt:lpstr>YesNo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Justin</dc:creator>
  <cp:lastModifiedBy>Williams, Justin</cp:lastModifiedBy>
  <dcterms:created xsi:type="dcterms:W3CDTF">2021-09-13T18:14:40Z</dcterms:created>
  <dcterms:modified xsi:type="dcterms:W3CDTF">2022-03-21T20:09:30Z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0x0101005DA52BA5C730F14B92EB9ECBFB2C7418</vt:lpwstr>
  </property>
</Properties>
</file>