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Justin\Documents\Engineering Related\"/>
    </mc:Choice>
  </mc:AlternateContent>
  <xr:revisionPtr revIDLastSave="0" documentId="13_ncr:1_{8FD6CD07-618E-4408-8212-78CF2B98B583}" xr6:coauthVersionLast="47" xr6:coauthVersionMax="47" xr10:uidLastSave="{00000000-0000-0000-0000-000000000000}"/>
  <bookViews>
    <workbookView xWindow="945" yWindow="2280" windowWidth="27120" windowHeight="18420" activeTab="2" xr2:uid="{4A83BAD3-D6CE-4FCC-B7DD-B27CAC83764D}"/>
  </bookViews>
  <sheets>
    <sheet name="Simple" sheetId="2" r:id="rId1"/>
    <sheet name="REFERENCE (Shigleys Tables)" sheetId="5" r:id="rId2"/>
    <sheet name="Calc" sheetId="6" r:id="rId3"/>
  </sheets>
  <definedNames>
    <definedName name="a_f" localSheetId="2">Calc!$D$12</definedName>
    <definedName name="a_f">#REF!</definedName>
    <definedName name="Bearing_Type" localSheetId="2">'REFERENCE (Shigleys Tables)'!$AD$4:$AD$7</definedName>
    <definedName name="Bearing_Type" localSheetId="0">Simple!$AA$1:$AA$2</definedName>
    <definedName name="Bearing_Type">#REF!</definedName>
    <definedName name="F_D" localSheetId="2">Calc!$D$8</definedName>
    <definedName name="F_D">#REF!</definedName>
    <definedName name="F_r" localSheetId="2">Calc!$D$8</definedName>
    <definedName name="F_r">#REF!</definedName>
    <definedName name="Inner_Outer" localSheetId="2">'REFERENCE (Shigleys Tables)'!$AF$3:$AF$4</definedName>
    <definedName name="Inner_Outer">#REF!</definedName>
    <definedName name="omega_D" localSheetId="2">Calc!$D$9</definedName>
    <definedName name="omega_D">#REF!</definedName>
    <definedName name="R_D" localSheetId="2">Calc!$D$11</definedName>
    <definedName name="R_D">#REF!</definedName>
    <definedName name="x_0" localSheetId="2">Calc!$D$21</definedName>
    <definedName name="x_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6" i="5" l="1"/>
  <c r="AE7" i="5"/>
  <c r="F11" i="6"/>
  <c r="D19" i="6"/>
  <c r="D17" i="6"/>
  <c r="D27" i="6" s="1"/>
  <c r="D16" i="6"/>
  <c r="D10" i="6"/>
  <c r="F10" i="6" s="1"/>
  <c r="F9" i="6"/>
  <c r="F8" i="6"/>
  <c r="F7" i="6"/>
  <c r="D15" i="2"/>
  <c r="D14" i="2"/>
  <c r="D13" i="2"/>
  <c r="AB2" i="2"/>
  <c r="D15" i="6" l="1"/>
  <c r="D18" i="6" s="1"/>
  <c r="D24" i="6" s="1"/>
  <c r="F24" i="6" s="1"/>
  <c r="F25" i="6" s="1"/>
  <c r="F26" i="6" s="1"/>
  <c r="D17" i="2"/>
  <c r="D16" i="2"/>
  <c r="D26" i="6" l="1"/>
  <c r="D28" i="6" s="1"/>
  <c r="D29" i="6" s="1"/>
  <c r="D25" i="6"/>
  <c r="F28" i="6" l="1"/>
  <c r="F29" i="6" l="1"/>
  <c r="D30" i="6"/>
  <c r="F30" i="6" s="1"/>
  <c r="F31" i="6" s="1"/>
  <c r="D31" i="6" l="1"/>
  <c r="F32" i="6"/>
  <c r="D32" i="6" s="1"/>
  <c r="D33" i="6" l="1"/>
  <c r="F33" i="6" s="1"/>
  <c r="D34" i="6"/>
  <c r="F34" i="6" l="1"/>
  <c r="D35" i="6"/>
  <c r="F35" i="6" s="1"/>
  <c r="F36" i="6" s="1"/>
  <c r="F40" i="6" s="1"/>
  <c r="D40" i="6" s="1"/>
  <c r="D36" i="6" l="1"/>
  <c r="F37" i="6"/>
  <c r="D37" i="6" s="1"/>
  <c r="D38" i="6" l="1"/>
  <c r="F38" i="6" l="1"/>
  <c r="D39" i="6"/>
  <c r="D41" i="6" l="1"/>
  <c r="F39" i="6"/>
  <c r="D42" i="6" l="1"/>
  <c r="F41" i="6"/>
  <c r="F43" i="6" l="1"/>
  <c r="D44" i="6"/>
  <c r="F44" i="6" s="1"/>
  <c r="D43" i="6"/>
  <c r="F4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B12" authorId="0" shapeId="0" xr:uid="{C8E512B3-5ED8-4898-9517-832C00E9D917}">
      <text>
        <r>
          <rPr>
            <b/>
            <sz val="9"/>
            <color indexed="81"/>
            <rFont val="Tahoma"/>
            <family val="2"/>
          </rPr>
          <t>Justin:</t>
        </r>
        <r>
          <rPr>
            <sz val="9"/>
            <color indexed="81"/>
            <rFont val="Tahoma"/>
            <family val="2"/>
          </rPr>
          <t xml:space="preserve">
Somewhat like safety factor</t>
        </r>
      </text>
    </comment>
    <comment ref="B17" authorId="0" shapeId="0" xr:uid="{E5C65F8C-2565-4EFC-992B-49EE013423BB}">
      <text>
        <r>
          <rPr>
            <b/>
            <sz val="9"/>
            <color indexed="81"/>
            <rFont val="Tahoma"/>
            <family val="2"/>
          </rPr>
          <t>Justin:</t>
        </r>
        <r>
          <rPr>
            <sz val="9"/>
            <color indexed="81"/>
            <rFont val="Tahoma"/>
            <family val="2"/>
          </rPr>
          <t xml:space="preserve">
Used in Table 11-1 for determining how much axial load affects equivalent load
If inner race moves, one spot of outer race typically recieves more load than other spots.
If outer race moves, one spot on inner race typically recieves more load than other spots along inner race.
For an inner race area always receiving high load, load is not distributed well along the surface area of the inner race, so this is a factor to guard against this fact.
</t>
        </r>
      </text>
    </comment>
    <comment ref="A20" authorId="0" shapeId="0" xr:uid="{D34DC872-A3A1-4321-9F87-84FD83FEC154}">
      <text>
        <r>
          <rPr>
            <b/>
            <sz val="9"/>
            <color indexed="81"/>
            <rFont val="Tahoma"/>
            <family val="2"/>
          </rPr>
          <t>Justin:</t>
        </r>
        <r>
          <rPr>
            <sz val="9"/>
            <color indexed="81"/>
            <rFont val="Tahoma"/>
            <family val="2"/>
          </rPr>
          <t xml:space="preserve">
Ask supplier for their weibull parameters</t>
        </r>
      </text>
    </comment>
    <comment ref="F25" authorId="0" shapeId="0" xr:uid="{37542059-B82C-4C97-995C-ED783467FA48}">
      <text>
        <r>
          <rPr>
            <b/>
            <sz val="9"/>
            <color indexed="81"/>
            <rFont val="Tahoma"/>
            <family val="2"/>
          </rPr>
          <t>Justin:</t>
        </r>
        <r>
          <rPr>
            <sz val="9"/>
            <color indexed="81"/>
            <rFont val="Tahoma"/>
            <family val="2"/>
          </rPr>
          <t xml:space="preserve">
If E43 returns "No", perhaps bump this value up to size used for cell G37. Placed formula in note to be able to go back…
=IF(E14=AB3,XLOOKUP(G25,'Shigleys Tables'!O6:O25,'Shigleys Tables'!I6:I25,'Shigleys Tables'!I6,1),IF(E14=AB4,XLOOKUP(G25,'Shigleys Tables'!Q6:Q25,'Shigleys Tables'!I6:I25,'Shigleys Tables'!I6,1),IF(E14=AB5,XLOOKUP(G25,'Shigleys Tables'!W6:W26,'Shigleys Tables'!T6:T26,'Shigleys Tables'!T6,1),IF(E14=AB6,XLOOKUP(G25,'Shigleys Tables'!AA6:AA26,'Shigleys Tables'!T6:T26,'Shigleys Tables'!T6,1)))))
</t>
        </r>
      </text>
    </comment>
    <comment ref="B29" authorId="0" shapeId="0" xr:uid="{CC61C8CD-8C94-4324-955A-3730C23622B4}">
      <text>
        <r>
          <rPr>
            <b/>
            <sz val="9"/>
            <color indexed="81"/>
            <rFont val="Tahoma"/>
            <family val="2"/>
          </rPr>
          <t>Justin:</t>
        </r>
        <r>
          <rPr>
            <sz val="9"/>
            <color indexed="81"/>
            <rFont val="Tahoma"/>
            <family val="2"/>
          </rPr>
          <t xml:space="preserve">
Experimental data has shown that axial loading does not contribute much to bearing failure unless the ratio of axial to radial is above a certain amount…
This is accounted for...</t>
        </r>
      </text>
    </comment>
    <comment ref="D42" authorId="0" shapeId="0" xr:uid="{B804F929-02F1-4D31-8F00-14AACCF888BA}">
      <text>
        <r>
          <rPr>
            <b/>
            <sz val="9"/>
            <color indexed="81"/>
            <rFont val="Tahoma"/>
            <family val="2"/>
          </rPr>
          <t>Justin:</t>
        </r>
        <r>
          <rPr>
            <sz val="9"/>
            <color indexed="81"/>
            <rFont val="Tahoma"/>
            <family val="2"/>
          </rPr>
          <t xml:space="preserve">
If "No", see cell G26 note for potential work around.</t>
        </r>
      </text>
    </comment>
  </commentList>
</comments>
</file>

<file path=xl/sharedStrings.xml><?xml version="1.0" encoding="utf-8"?>
<sst xmlns="http://schemas.openxmlformats.org/spreadsheetml/2006/main" count="255" uniqueCount="138">
  <si>
    <t>ABMA regards as rating life where there is pitting in an area of 0.01in^2</t>
  </si>
  <si>
    <t>rating life is # revs until 90% of samples have not yet failed</t>
  </si>
  <si>
    <t>Rated Reliability</t>
  </si>
  <si>
    <t>-</t>
  </si>
  <si>
    <t>a</t>
  </si>
  <si>
    <t>Rated Life</t>
  </si>
  <si>
    <t>hours</t>
  </si>
  <si>
    <t>Bearing Type</t>
  </si>
  <si>
    <t>Ball Bearings</t>
  </si>
  <si>
    <t>Roller Bearings</t>
  </si>
  <si>
    <t>cycles</t>
  </si>
  <si>
    <t>lbf</t>
  </si>
  <si>
    <t>L</t>
  </si>
  <si>
    <t>Application Constant</t>
  </si>
  <si>
    <t>Desired Life Expectancy</t>
  </si>
  <si>
    <t>Desired Bearing Speed</t>
  </si>
  <si>
    <t>Desired Bearing Life</t>
  </si>
  <si>
    <t>rpm</t>
  </si>
  <si>
    <t>Desired Bearing Radial Load</t>
  </si>
  <si>
    <r>
      <t>ω</t>
    </r>
    <r>
      <rPr>
        <vertAlign val="subscript"/>
        <sz val="11"/>
        <color theme="1"/>
        <rFont val="Calibri"/>
        <family val="2"/>
      </rPr>
      <t>D</t>
    </r>
  </si>
  <si>
    <r>
      <t>F</t>
    </r>
    <r>
      <rPr>
        <vertAlign val="subscript"/>
        <sz val="11"/>
        <color theme="1"/>
        <rFont val="Calibri"/>
        <family val="2"/>
        <scheme val="minor"/>
      </rPr>
      <t>D</t>
    </r>
  </si>
  <si>
    <t>Catalog Load Rating</t>
  </si>
  <si>
    <t>C10</t>
  </si>
  <si>
    <r>
      <t>C</t>
    </r>
    <r>
      <rPr>
        <vertAlign val="subscript"/>
        <sz val="11"/>
        <color theme="1"/>
        <rFont val="Calibri"/>
        <family val="2"/>
        <scheme val="minor"/>
      </rPr>
      <t>10</t>
    </r>
  </si>
  <si>
    <r>
      <t>L</t>
    </r>
    <r>
      <rPr>
        <vertAlign val="subscript"/>
        <sz val="11"/>
        <color theme="1"/>
        <rFont val="Calibri"/>
        <family val="2"/>
        <scheme val="minor"/>
      </rPr>
      <t>R</t>
    </r>
  </si>
  <si>
    <r>
      <t>R</t>
    </r>
    <r>
      <rPr>
        <vertAlign val="subscript"/>
        <sz val="11"/>
        <color theme="1"/>
        <rFont val="Calibri"/>
        <family val="2"/>
        <scheme val="minor"/>
      </rPr>
      <t>R</t>
    </r>
  </si>
  <si>
    <r>
      <rPr>
        <sz val="11"/>
        <color theme="1"/>
        <rFont val="Script MT Bold"/>
        <family val="4"/>
      </rPr>
      <t>L</t>
    </r>
    <r>
      <rPr>
        <vertAlign val="subscript"/>
        <sz val="11"/>
        <color theme="1"/>
        <rFont val="Calibri"/>
        <family val="2"/>
        <scheme val="minor"/>
      </rPr>
      <t>D</t>
    </r>
  </si>
  <si>
    <t>Desired Reliability</t>
  </si>
  <si>
    <r>
      <t>R</t>
    </r>
    <r>
      <rPr>
        <vertAlign val="subscript"/>
        <sz val="11"/>
        <color theme="1"/>
        <rFont val="Calibri"/>
        <family val="2"/>
        <scheme val="minor"/>
      </rPr>
      <t>D</t>
    </r>
  </si>
  <si>
    <t>Application Factor</t>
  </si>
  <si>
    <r>
      <t>x</t>
    </r>
    <r>
      <rPr>
        <vertAlign val="subscript"/>
        <sz val="11"/>
        <color theme="1"/>
        <rFont val="Calibri"/>
        <family val="2"/>
        <scheme val="minor"/>
      </rPr>
      <t>0</t>
    </r>
  </si>
  <si>
    <t>b</t>
  </si>
  <si>
    <r>
      <t>a</t>
    </r>
    <r>
      <rPr>
        <vertAlign val="subscript"/>
        <sz val="11"/>
        <color theme="1"/>
        <rFont val="Calibri"/>
        <family val="2"/>
        <scheme val="minor"/>
      </rPr>
      <t>f</t>
    </r>
  </si>
  <si>
    <r>
      <t>x</t>
    </r>
    <r>
      <rPr>
        <vertAlign val="subscript"/>
        <sz val="11"/>
        <color theme="1"/>
        <rFont val="Calibri"/>
        <family val="2"/>
        <scheme val="minor"/>
      </rPr>
      <t>D</t>
    </r>
  </si>
  <si>
    <t>Design Life Ratio (Dimensionless Life)</t>
  </si>
  <si>
    <t>Constant 'a'</t>
  </si>
  <si>
    <t>Catalog Rated Life</t>
  </si>
  <si>
    <r>
      <t>Weibull Parameters</t>
    </r>
    <r>
      <rPr>
        <sz val="8"/>
        <color theme="1"/>
        <rFont val="Calibri"/>
        <family val="2"/>
        <scheme val="minor"/>
      </rPr>
      <t xml:space="preserve"> (See Table 11-6 for example)</t>
    </r>
  </si>
  <si>
    <t>ϴ</t>
  </si>
  <si>
    <t>kN</t>
  </si>
  <si>
    <t>rad/s</t>
  </si>
  <si>
    <t>sec</t>
  </si>
  <si>
    <t>Inner_Outer</t>
  </si>
  <si>
    <t>Inner Race</t>
  </si>
  <si>
    <t>Outter Race</t>
  </si>
  <si>
    <t>Which race rotates</t>
  </si>
  <si>
    <t>V</t>
  </si>
  <si>
    <t>Constant 'V'</t>
  </si>
  <si>
    <t>Table 11-1</t>
  </si>
  <si>
    <r>
      <t>F</t>
    </r>
    <r>
      <rPr>
        <vertAlign val="subscript"/>
        <sz val="11"/>
        <color theme="1"/>
        <rFont val="Calibri"/>
        <family val="2"/>
        <scheme val="minor"/>
      </rPr>
      <t>a</t>
    </r>
    <r>
      <rPr>
        <sz val="11"/>
        <color theme="1"/>
        <rFont val="Calibri"/>
        <family val="2"/>
        <scheme val="minor"/>
      </rPr>
      <t>/C</t>
    </r>
    <r>
      <rPr>
        <vertAlign val="subscript"/>
        <sz val="11"/>
        <color theme="1"/>
        <rFont val="Calibri"/>
        <family val="2"/>
        <scheme val="minor"/>
      </rPr>
      <t>0</t>
    </r>
  </si>
  <si>
    <t>e</t>
  </si>
  <si>
    <r>
      <t>X</t>
    </r>
    <r>
      <rPr>
        <vertAlign val="subscript"/>
        <sz val="11"/>
        <color theme="1"/>
        <rFont val="Calibri"/>
        <family val="2"/>
        <scheme val="minor"/>
      </rPr>
      <t>1</t>
    </r>
  </si>
  <si>
    <r>
      <t>Y</t>
    </r>
    <r>
      <rPr>
        <vertAlign val="subscript"/>
        <sz val="11"/>
        <color theme="1"/>
        <rFont val="Calibri"/>
        <family val="2"/>
        <scheme val="minor"/>
      </rPr>
      <t>1</t>
    </r>
  </si>
  <si>
    <r>
      <t>X</t>
    </r>
    <r>
      <rPr>
        <vertAlign val="subscript"/>
        <sz val="11"/>
        <color theme="1"/>
        <rFont val="Calibri"/>
        <family val="2"/>
        <scheme val="minor"/>
      </rPr>
      <t>2</t>
    </r>
  </si>
  <si>
    <r>
      <t>Y</t>
    </r>
    <r>
      <rPr>
        <vertAlign val="subscript"/>
        <sz val="11"/>
        <color theme="1"/>
        <rFont val="Calibri"/>
        <family val="2"/>
        <scheme val="minor"/>
      </rPr>
      <t>2</t>
    </r>
  </si>
  <si>
    <r>
      <t>F</t>
    </r>
    <r>
      <rPr>
        <vertAlign val="subscript"/>
        <sz val="11"/>
        <color theme="1"/>
        <rFont val="Calibri"/>
        <family val="2"/>
        <scheme val="minor"/>
      </rPr>
      <t>a</t>
    </r>
    <r>
      <rPr>
        <sz val="11"/>
        <color theme="1"/>
        <rFont val="Calibri"/>
        <family val="2"/>
        <scheme val="minor"/>
      </rPr>
      <t>/(V*F</t>
    </r>
    <r>
      <rPr>
        <vertAlign val="subscript"/>
        <sz val="11"/>
        <color theme="1"/>
        <rFont val="Calibri"/>
        <family val="2"/>
        <scheme val="minor"/>
      </rPr>
      <t>r</t>
    </r>
    <r>
      <rPr>
        <sz val="11"/>
        <color theme="1"/>
        <rFont val="Calibri"/>
        <family val="2"/>
        <scheme val="minor"/>
      </rPr>
      <t>) &lt;= e</t>
    </r>
  </si>
  <si>
    <r>
      <t>F</t>
    </r>
    <r>
      <rPr>
        <vertAlign val="subscript"/>
        <sz val="11"/>
        <color theme="1"/>
        <rFont val="Calibri"/>
        <family val="2"/>
        <scheme val="minor"/>
      </rPr>
      <t>a</t>
    </r>
    <r>
      <rPr>
        <sz val="11"/>
        <color theme="1"/>
        <rFont val="Calibri"/>
        <family val="2"/>
        <scheme val="minor"/>
      </rPr>
      <t>/(V*F</t>
    </r>
    <r>
      <rPr>
        <vertAlign val="subscript"/>
        <sz val="11"/>
        <color theme="1"/>
        <rFont val="Calibri"/>
        <family val="2"/>
        <scheme val="minor"/>
      </rPr>
      <t>r</t>
    </r>
    <r>
      <rPr>
        <sz val="11"/>
        <color theme="1"/>
        <rFont val="Calibri"/>
        <family val="2"/>
        <scheme val="minor"/>
      </rPr>
      <t>) &gt; e</t>
    </r>
  </si>
  <si>
    <t>Desired Bearing Axial Load</t>
  </si>
  <si>
    <t>Desired Bearing Eq Radial Load</t>
  </si>
  <si>
    <r>
      <t>F</t>
    </r>
    <r>
      <rPr>
        <vertAlign val="subscript"/>
        <sz val="11"/>
        <color theme="1"/>
        <rFont val="Calibri"/>
        <family val="2"/>
        <scheme val="minor"/>
      </rPr>
      <t>a</t>
    </r>
  </si>
  <si>
    <r>
      <t>F</t>
    </r>
    <r>
      <rPr>
        <vertAlign val="subscript"/>
        <sz val="11"/>
        <color theme="1"/>
        <rFont val="Calibri"/>
        <family val="2"/>
        <scheme val="minor"/>
      </rPr>
      <t>r</t>
    </r>
  </si>
  <si>
    <r>
      <t>F</t>
    </r>
    <r>
      <rPr>
        <vertAlign val="subscript"/>
        <sz val="11"/>
        <color theme="1"/>
        <rFont val="Calibri"/>
        <family val="2"/>
        <scheme val="minor"/>
      </rPr>
      <t>a</t>
    </r>
    <r>
      <rPr>
        <sz val="11"/>
        <color theme="1"/>
        <rFont val="Calibri"/>
        <family val="2"/>
        <scheme val="minor"/>
      </rPr>
      <t>/(V*F</t>
    </r>
    <r>
      <rPr>
        <vertAlign val="subscript"/>
        <sz val="11"/>
        <color theme="1"/>
        <rFont val="Calibri"/>
        <family val="2"/>
        <scheme val="minor"/>
      </rPr>
      <t>r</t>
    </r>
    <r>
      <rPr>
        <sz val="11"/>
        <color theme="1"/>
        <rFont val="Calibri"/>
        <family val="2"/>
        <scheme val="minor"/>
      </rPr>
      <t>)</t>
    </r>
  </si>
  <si>
    <t>Bore</t>
  </si>
  <si>
    <t>Outer Diamter</t>
  </si>
  <si>
    <t>Width</t>
  </si>
  <si>
    <t>Fillet Radius</t>
  </si>
  <si>
    <t>Shoulder Diameter</t>
  </si>
  <si>
    <t>mm</t>
  </si>
  <si>
    <t>Deep Groove</t>
  </si>
  <si>
    <t>Angular Contact</t>
  </si>
  <si>
    <t>Load Ratings</t>
  </si>
  <si>
    <r>
      <t>d</t>
    </r>
    <r>
      <rPr>
        <b/>
        <vertAlign val="subscript"/>
        <sz val="11"/>
        <color theme="1"/>
        <rFont val="Calibri"/>
        <family val="2"/>
        <scheme val="minor"/>
      </rPr>
      <t>s</t>
    </r>
  </si>
  <si>
    <r>
      <t>d</t>
    </r>
    <r>
      <rPr>
        <b/>
        <vertAlign val="subscript"/>
        <sz val="11"/>
        <color theme="1"/>
        <rFont val="Calibri"/>
        <family val="2"/>
        <scheme val="minor"/>
      </rPr>
      <t>h</t>
    </r>
  </si>
  <si>
    <r>
      <t>C</t>
    </r>
    <r>
      <rPr>
        <b/>
        <vertAlign val="subscript"/>
        <sz val="11"/>
        <color theme="1"/>
        <rFont val="Calibri"/>
        <family val="2"/>
        <scheme val="minor"/>
      </rPr>
      <t>10</t>
    </r>
  </si>
  <si>
    <r>
      <t>C</t>
    </r>
    <r>
      <rPr>
        <b/>
        <vertAlign val="subscript"/>
        <sz val="11"/>
        <color theme="1"/>
        <rFont val="Calibri"/>
        <family val="2"/>
        <scheme val="minor"/>
      </rPr>
      <t>0</t>
    </r>
  </si>
  <si>
    <t>Outer Diameter</t>
  </si>
  <si>
    <r>
      <t xml:space="preserve">Table 11-2: </t>
    </r>
    <r>
      <rPr>
        <sz val="8"/>
        <color theme="1"/>
        <rFont val="Calibri"/>
        <family val="2"/>
        <scheme val="minor"/>
      </rPr>
      <t>Dimensions and Load Ratings for Single-Row 02-Series Deep-Groove and Angular-Contact Ball Bearings</t>
    </r>
  </si>
  <si>
    <r>
      <t xml:space="preserve">Table 11-3: </t>
    </r>
    <r>
      <rPr>
        <sz val="8"/>
        <color theme="1"/>
        <rFont val="Calibri"/>
        <family val="2"/>
        <scheme val="minor"/>
      </rPr>
      <t>Dimensions and Basic Load Ratings for Cylindrical Roller Bearings</t>
    </r>
  </si>
  <si>
    <t>02-Series</t>
  </si>
  <si>
    <t>C0</t>
  </si>
  <si>
    <t>03-Series</t>
  </si>
  <si>
    <t>Load Rating</t>
  </si>
  <si>
    <t>Deep Groove Ball Bearings</t>
  </si>
  <si>
    <t>Angular Contact Ball Bearing</t>
  </si>
  <si>
    <t>02 Series Roller Bearings</t>
  </si>
  <si>
    <t>03 Series Roller Bearings</t>
  </si>
  <si>
    <t>Table 11-1 Factor</t>
  </si>
  <si>
    <t>Fa/C0</t>
  </si>
  <si>
    <t>C10_bore</t>
  </si>
  <si>
    <t>Is Bore large enough?</t>
  </si>
  <si>
    <t>in</t>
  </si>
  <si>
    <t>Initial Table 11-1 Factor</t>
  </si>
  <si>
    <t>C10_initial</t>
  </si>
  <si>
    <t>Initial Dynamic Load Rating (Capacity) if no axial loading</t>
  </si>
  <si>
    <t>Initial Bore Size Chosen</t>
  </si>
  <si>
    <t>Initial Basic Static Load Rating</t>
  </si>
  <si>
    <t>C0_initial</t>
  </si>
  <si>
    <t>Initial Equivalent Load</t>
  </si>
  <si>
    <t>Fe_initial</t>
  </si>
  <si>
    <t>C10_sec</t>
  </si>
  <si>
    <t>Second Initial Dynamic Load Rating (Capacity)</t>
  </si>
  <si>
    <t>Second Initial Bore Size Chosen</t>
  </si>
  <si>
    <t>Second Table 11-1 Factor</t>
  </si>
  <si>
    <t>dia_bore</t>
  </si>
  <si>
    <t>Second Basic Static Load Rating</t>
  </si>
  <si>
    <t>C0_sec</t>
  </si>
  <si>
    <t>Second Equivalent Load</t>
  </si>
  <si>
    <t>Fe_sec</t>
  </si>
  <si>
    <t>Third Dynamic Load Rating (Capacity)</t>
  </si>
  <si>
    <t>C10_tert</t>
  </si>
  <si>
    <t>C0_tert</t>
  </si>
  <si>
    <t>Third Bore Size Chosen</t>
  </si>
  <si>
    <t>Initial Iteration</t>
  </si>
  <si>
    <t>Second Iteration</t>
  </si>
  <si>
    <t>Third Iteration</t>
  </si>
  <si>
    <t>Third Basic Static Load Rating</t>
  </si>
  <si>
    <t>Third Table 11-1 Factor</t>
  </si>
  <si>
    <t>Third Equivalent Load</t>
  </si>
  <si>
    <t>Fourth Dynamic Load Rating (Capacity)</t>
  </si>
  <si>
    <t>C10_qd</t>
  </si>
  <si>
    <t>Fe_tert</t>
  </si>
  <si>
    <t>C10 from chart for third selected bore size</t>
  </si>
  <si>
    <t>Input</t>
  </si>
  <si>
    <t>Input (Supplier Data)</t>
  </si>
  <si>
    <t>Output</t>
  </si>
  <si>
    <t>Key</t>
  </si>
  <si>
    <t>Description</t>
  </si>
  <si>
    <t>Abbrev</t>
  </si>
  <si>
    <t>Value</t>
  </si>
  <si>
    <t>Units</t>
  </si>
  <si>
    <t>Alt Value</t>
  </si>
  <si>
    <t>Alt Units</t>
  </si>
  <si>
    <t>Dia_bore</t>
  </si>
  <si>
    <t>Bore Dia of Bearing to Select</t>
  </si>
  <si>
    <t>Dynamic Load Rating (Capacity) to Choose</t>
  </si>
  <si>
    <t>rating life is generally in # revs until 90% of samples have not yet failed (L10)</t>
  </si>
  <si>
    <t>NEED TO LINEAR INTERPOLATE TABLES! This is not yet being done. Also need to verify how XLOOKUP is working…</t>
  </si>
  <si>
    <t>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</si>
</sst>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Script MT Bold"/>
      <family val="4"/>
    </font>
    <font>
      <sz val="11"/>
      <color theme="1"/>
      <name val="Calibri"/>
      <family val="2"/>
    </font>
    <font>
      <vertAlign val="subscript"/>
      <sz val="11"/>
      <color theme="1"/>
      <name val="Calibri"/>
      <family val="2"/>
    </font>
    <font>
      <vertAlign val="subscript"/>
      <sz val="11"/>
      <color theme="1"/>
      <name val="Calibri"/>
      <family val="2"/>
      <scheme val="minor"/>
    </font>
    <font>
      <sz val="11"/>
      <color theme="1"/>
      <name val="Calibri"/>
      <family val="4"/>
      <scheme val="minor"/>
    </font>
    <font>
      <sz val="9"/>
      <color indexed="81"/>
      <name val="Tahoma"/>
      <family val="2"/>
    </font>
    <font>
      <b/>
      <sz val="9"/>
      <color indexed="81"/>
      <name val="Tahoma"/>
      <family val="2"/>
    </font>
    <font>
      <sz val="8"/>
      <color theme="1"/>
      <name val="Calibri"/>
      <family val="2"/>
      <scheme val="minor"/>
    </font>
    <font>
      <b/>
      <vertAlign val="subscript"/>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40">
    <xf numFmtId="0" fontId="0" fillId="0" borderId="0" xfId="0"/>
    <xf numFmtId="0" fontId="0" fillId="0" borderId="1" xfId="0" applyBorder="1"/>
    <xf numFmtId="0" fontId="0" fillId="2" borderId="1" xfId="0" applyFill="1" applyBorder="1"/>
    <xf numFmtId="0" fontId="0" fillId="0" borderId="3" xfId="0" applyBorder="1"/>
    <xf numFmtId="0" fontId="0" fillId="2" borderId="4" xfId="0"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0" xfId="0" applyFill="1" applyBorder="1"/>
    <xf numFmtId="0" fontId="0" fillId="0" borderId="11" xfId="0" applyBorder="1"/>
    <xf numFmtId="0" fontId="0" fillId="2" borderId="12" xfId="0" applyFill="1" applyBorder="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applyAlignment="1"/>
    <xf numFmtId="0" fontId="0" fillId="0" borderId="1"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0" borderId="9" xfId="0" applyBorder="1"/>
    <xf numFmtId="0" fontId="0" fillId="0" borderId="12" xfId="0" applyBorder="1"/>
    <xf numFmtId="0" fontId="0" fillId="0" borderId="25" xfId="0" applyBorder="1"/>
    <xf numFmtId="0" fontId="0" fillId="0" borderId="26" xfId="0" applyBorder="1"/>
    <xf numFmtId="0" fontId="0" fillId="2" borderId="27" xfId="0" applyFill="1" applyBorder="1"/>
    <xf numFmtId="0" fontId="0" fillId="0" borderId="28" xfId="0" applyBorder="1"/>
    <xf numFmtId="0" fontId="0" fillId="3" borderId="1" xfId="0" applyFill="1" applyBorder="1"/>
    <xf numFmtId="0" fontId="0" fillId="0" borderId="4" xfId="0" applyBorder="1"/>
    <xf numFmtId="0" fontId="0" fillId="0" borderId="8" xfId="0" applyFill="1" applyBorder="1"/>
    <xf numFmtId="0" fontId="0" fillId="0" borderId="29" xfId="0" applyFill="1" applyBorder="1"/>
    <xf numFmtId="0" fontId="0" fillId="0" borderId="30" xfId="0" applyFill="1" applyBorder="1"/>
    <xf numFmtId="0" fontId="0" fillId="0" borderId="25" xfId="0" applyFill="1" applyBorder="1"/>
    <xf numFmtId="0" fontId="0" fillId="0" borderId="27" xfId="0" applyFill="1" applyBorder="1"/>
    <xf numFmtId="0" fontId="0" fillId="0" borderId="28" xfId="0" applyFill="1" applyBorder="1"/>
    <xf numFmtId="11" fontId="0" fillId="3" borderId="1" xfId="0" applyNumberFormat="1" applyFill="1" applyBorder="1"/>
    <xf numFmtId="0" fontId="4" fillId="0" borderId="27" xfId="0" applyFont="1" applyFill="1" applyBorder="1"/>
    <xf numFmtId="11" fontId="0" fillId="4" borderId="12" xfId="0" applyNumberFormat="1" applyFill="1" applyBorder="1"/>
    <xf numFmtId="11" fontId="0" fillId="3" borderId="4" xfId="0" applyNumberFormat="1" applyFill="1" applyBorder="1"/>
    <xf numFmtId="0" fontId="0" fillId="0" borderId="9" xfId="0" applyFill="1" applyBorder="1"/>
    <xf numFmtId="0" fontId="0" fillId="0" borderId="10" xfId="0" applyFill="1" applyBorder="1"/>
    <xf numFmtId="2" fontId="0" fillId="5" borderId="9" xfId="0" applyNumberFormat="1" applyFill="1" applyBorder="1"/>
    <xf numFmtId="0" fontId="7" fillId="0" borderId="27" xfId="0" applyFont="1" applyFill="1" applyBorder="1"/>
    <xf numFmtId="0" fontId="7" fillId="0" borderId="31" xfId="0" applyFont="1" applyFill="1" applyBorder="1"/>
    <xf numFmtId="164" fontId="0" fillId="2" borderId="31" xfId="1" applyNumberFormat="1" applyFont="1" applyFill="1" applyBorder="1"/>
    <xf numFmtId="164" fontId="0" fillId="4" borderId="4" xfId="1" applyNumberFormat="1" applyFont="1" applyFill="1" applyBorder="1"/>
    <xf numFmtId="0" fontId="4" fillId="0" borderId="1" xfId="0" applyFont="1" applyFill="1" applyBorder="1"/>
    <xf numFmtId="0" fontId="7" fillId="0" borderId="1" xfId="0" applyFont="1" applyFill="1" applyBorder="1"/>
    <xf numFmtId="164" fontId="0" fillId="2" borderId="1" xfId="1" applyNumberFormat="1" applyFont="1" applyFill="1" applyBorder="1"/>
    <xf numFmtId="0" fontId="0" fillId="2" borderId="1" xfId="1" applyNumberFormat="1" applyFont="1" applyFill="1" applyBorder="1"/>
    <xf numFmtId="0" fontId="0" fillId="0" borderId="0" xfId="0" applyFill="1" applyBorder="1" applyAlignment="1"/>
    <xf numFmtId="0" fontId="0" fillId="0" borderId="27" xfId="0" applyBorder="1"/>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0" fillId="3" borderId="6" xfId="0" applyFill="1" applyBorder="1"/>
    <xf numFmtId="0" fontId="0" fillId="3" borderId="8" xfId="0" applyFill="1" applyBorder="1"/>
    <xf numFmtId="0" fontId="12" fillId="0" borderId="39" xfId="0" applyFont="1" applyBorder="1" applyAlignment="1">
      <alignment horizontal="center" wrapText="1"/>
    </xf>
    <xf numFmtId="0" fontId="0" fillId="3" borderId="40" xfId="0" applyFill="1" applyBorder="1"/>
    <xf numFmtId="0" fontId="0" fillId="3" borderId="38" xfId="0" applyFill="1" applyBorder="1"/>
    <xf numFmtId="0" fontId="0" fillId="3" borderId="39" xfId="0" applyFill="1" applyBorder="1"/>
    <xf numFmtId="0" fontId="12" fillId="0" borderId="17" xfId="0" applyFont="1" applyBorder="1" applyAlignment="1">
      <alignment horizontal="center" vertical="center" wrapText="1"/>
    </xf>
    <xf numFmtId="0" fontId="12" fillId="0" borderId="42" xfId="0" applyFont="1" applyBorder="1" applyAlignment="1">
      <alignment horizontal="center" vertical="center" wrapText="1"/>
    </xf>
    <xf numFmtId="0" fontId="0" fillId="0" borderId="33" xfId="0" applyBorder="1"/>
    <xf numFmtId="0" fontId="2" fillId="0" borderId="15" xfId="0" applyFont="1" applyBorder="1" applyAlignment="1">
      <alignment horizontal="center" vertical="center" wrapText="1"/>
    </xf>
    <xf numFmtId="0" fontId="0" fillId="3" borderId="3" xfId="0" applyFill="1" applyBorder="1"/>
    <xf numFmtId="0" fontId="0" fillId="0" borderId="41" xfId="0" applyBorder="1"/>
    <xf numFmtId="0" fontId="0" fillId="0" borderId="42" xfId="0" applyBorder="1"/>
    <xf numFmtId="0" fontId="0" fillId="0" borderId="44" xfId="0" applyBorder="1"/>
    <xf numFmtId="0" fontId="0" fillId="0" borderId="1" xfId="1" applyNumberFormat="1" applyFont="1" applyFill="1" applyBorder="1"/>
    <xf numFmtId="0" fontId="4" fillId="0" borderId="1" xfId="0" applyFont="1" applyBorder="1"/>
    <xf numFmtId="11" fontId="0" fillId="6" borderId="1" xfId="0" applyNumberFormat="1" applyFill="1" applyBorder="1"/>
    <xf numFmtId="164" fontId="0" fillId="6" borderId="1" xfId="1" applyNumberFormat="1" applyFont="1" applyFill="1" applyBorder="1"/>
    <xf numFmtId="0" fontId="0" fillId="6" borderId="1" xfId="1" applyNumberFormat="1" applyFont="1" applyFill="1" applyBorder="1"/>
    <xf numFmtId="0" fontId="0" fillId="5" borderId="1" xfId="0" applyFill="1" applyBorder="1"/>
    <xf numFmtId="0" fontId="0" fillId="6" borderId="47" xfId="0" applyFill="1" applyBorder="1" applyAlignment="1">
      <alignment horizontal="center" vertical="center"/>
    </xf>
    <xf numFmtId="0" fontId="0" fillId="5" borderId="48" xfId="0" applyFill="1" applyBorder="1" applyAlignment="1">
      <alignment horizontal="center" vertical="center"/>
    </xf>
    <xf numFmtId="0" fontId="0" fillId="2" borderId="49" xfId="0" applyFill="1" applyBorder="1" applyAlignment="1">
      <alignment horizontal="center" vertical="center"/>
    </xf>
    <xf numFmtId="0" fontId="2" fillId="0" borderId="2" xfId="0" applyFont="1" applyBorder="1" applyAlignment="1">
      <alignment horizontal="center" vertical="center"/>
    </xf>
    <xf numFmtId="0" fontId="0" fillId="5" borderId="1" xfId="1" applyNumberFormat="1" applyFont="1" applyFill="1" applyBorder="1"/>
    <xf numFmtId="0" fontId="0" fillId="0" borderId="19" xfId="0" applyFill="1" applyBorder="1"/>
    <xf numFmtId="0" fontId="4" fillId="0" borderId="20" xfId="0" applyFont="1" applyFill="1" applyBorder="1"/>
    <xf numFmtId="0" fontId="0" fillId="5" borderId="9" xfId="1" applyNumberFormat="1" applyFont="1" applyFill="1" applyBorder="1"/>
    <xf numFmtId="0" fontId="0" fillId="0" borderId="20" xfId="0" applyFill="1" applyBorder="1"/>
    <xf numFmtId="0" fontId="0" fillId="5" borderId="18" xfId="0" applyFill="1" applyBorder="1"/>
    <xf numFmtId="0" fontId="0" fillId="0" borderId="21" xfId="0" applyFill="1" applyBorder="1"/>
    <xf numFmtId="0" fontId="4" fillId="0" borderId="4" xfId="0" applyFont="1" applyBorder="1"/>
    <xf numFmtId="0" fontId="4" fillId="0" borderId="9" xfId="0" applyFont="1" applyBorder="1"/>
    <xf numFmtId="0" fontId="0" fillId="0" borderId="4" xfId="1" applyNumberFormat="1" applyFont="1" applyFill="1" applyBorder="1"/>
    <xf numFmtId="0" fontId="0" fillId="0" borderId="9" xfId="1" applyNumberFormat="1" applyFont="1" applyFill="1" applyBorder="1"/>
    <xf numFmtId="0" fontId="2" fillId="0" borderId="22" xfId="0" applyFont="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7" borderId="0" xfId="0" applyFill="1"/>
    <xf numFmtId="11" fontId="0" fillId="0" borderId="1" xfId="0" applyNumberFormat="1" applyFill="1" applyBorder="1"/>
    <xf numFmtId="0" fontId="0" fillId="0" borderId="32" xfId="0" applyFill="1" applyBorder="1"/>
    <xf numFmtId="0" fontId="2" fillId="0" borderId="37" xfId="0" applyFont="1" applyBorder="1" applyAlignment="1">
      <alignment horizontal="center" wrapText="1"/>
    </xf>
    <xf numFmtId="0" fontId="2" fillId="0" borderId="38" xfId="0" applyFont="1" applyBorder="1" applyAlignment="1">
      <alignment horizontal="center" wrapText="1"/>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4" xfId="0" applyBorder="1" applyAlignment="1">
      <alignment horizontal="center"/>
    </xf>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33" xfId="0" applyFont="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5"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2" xfId="0" applyBorder="1" applyAlignment="1">
      <alignment horizontal="left"/>
    </xf>
    <xf numFmtId="0" fontId="0" fillId="0" borderId="1"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0" xfId="0" applyBorder="1" applyAlignment="1">
      <alignment horizontal="center" textRotation="45" wrapText="1"/>
    </xf>
    <xf numFmtId="0" fontId="0" fillId="0" borderId="0" xfId="0" applyAlignment="1">
      <alignment horizontal="center"/>
    </xf>
    <xf numFmtId="0" fontId="0" fillId="0" borderId="22" xfId="0" applyBorder="1" applyAlignment="1">
      <alignment horizontal="center"/>
    </xf>
    <xf numFmtId="0" fontId="0" fillId="0" borderId="24" xfId="0" applyBorder="1" applyAlignment="1">
      <alignment horizontal="center"/>
    </xf>
    <xf numFmtId="0" fontId="2" fillId="0" borderId="29" xfId="0" applyFont="1" applyBorder="1"/>
    <xf numFmtId="0" fontId="2" fillId="0" borderId="30" xfId="0" applyFont="1" applyBorder="1"/>
    <xf numFmtId="0" fontId="0" fillId="0" borderId="0" xfId="0" applyBorder="1" applyAlignment="1">
      <alignment horizontal="center" vertical="center" textRotation="45" wrapText="1"/>
    </xf>
  </cellXfs>
  <cellStyles count="2">
    <cellStyle name="Normal" xfId="0" builtinId="0"/>
    <cellStyle name="Percent" xfId="1"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94655-48C4-4B61-AB1A-389E07FAEB11}">
  <dimension ref="A1:AB17"/>
  <sheetViews>
    <sheetView workbookViewId="0">
      <selection sqref="A1:XFD1"/>
    </sheetView>
  </sheetViews>
  <sheetFormatPr defaultRowHeight="15" x14ac:dyDescent="0.25"/>
  <cols>
    <col min="2" max="2" width="22.28515625" bestFit="1" customWidth="1"/>
    <col min="4" max="4" width="14.42578125" bestFit="1" customWidth="1"/>
  </cols>
  <sheetData>
    <row r="1" spans="1:28" x14ac:dyDescent="0.25">
      <c r="A1" t="s">
        <v>0</v>
      </c>
      <c r="AA1" s="1" t="s">
        <v>8</v>
      </c>
      <c r="AB1" s="1">
        <v>3</v>
      </c>
    </row>
    <row r="2" spans="1:28" x14ac:dyDescent="0.25">
      <c r="A2" t="s">
        <v>1</v>
      </c>
      <c r="AA2" s="1" t="s">
        <v>9</v>
      </c>
      <c r="AB2" s="1">
        <f>10/3</f>
        <v>3.3333333333333335</v>
      </c>
    </row>
    <row r="6" spans="1:28" ht="15.75" thickBot="1" x14ac:dyDescent="0.3">
      <c r="B6" s="19"/>
      <c r="C6" s="19"/>
      <c r="D6" s="19"/>
      <c r="E6" s="19"/>
    </row>
    <row r="7" spans="1:28" ht="18" x14ac:dyDescent="0.35">
      <c r="B7" s="21" t="s">
        <v>18</v>
      </c>
      <c r="C7" s="22" t="s">
        <v>20</v>
      </c>
      <c r="D7" s="4">
        <v>200</v>
      </c>
      <c r="E7" s="23" t="s">
        <v>11</v>
      </c>
    </row>
    <row r="8" spans="1:28" ht="18" x14ac:dyDescent="0.35">
      <c r="B8" s="36" t="s">
        <v>15</v>
      </c>
      <c r="C8" s="40" t="s">
        <v>19</v>
      </c>
      <c r="D8" s="29">
        <v>1600</v>
      </c>
      <c r="E8" s="38" t="s">
        <v>17</v>
      </c>
    </row>
    <row r="9" spans="1:28" ht="18" x14ac:dyDescent="0.35">
      <c r="B9" s="36" t="s">
        <v>16</v>
      </c>
      <c r="C9" s="46" t="s">
        <v>26</v>
      </c>
      <c r="D9" s="29">
        <v>8000</v>
      </c>
      <c r="E9" s="38" t="s">
        <v>6</v>
      </c>
    </row>
    <row r="10" spans="1:28" ht="18" x14ac:dyDescent="0.35">
      <c r="B10" s="34" t="s">
        <v>27</v>
      </c>
      <c r="C10" s="47" t="s">
        <v>28</v>
      </c>
      <c r="D10" s="48">
        <v>0.99</v>
      </c>
      <c r="E10" s="35" t="s">
        <v>3</v>
      </c>
    </row>
    <row r="11" spans="1:28" ht="15.75" thickBot="1" x14ac:dyDescent="0.3">
      <c r="B11" s="11" t="s">
        <v>7</v>
      </c>
      <c r="C11" s="26"/>
      <c r="D11" s="12" t="s">
        <v>9</v>
      </c>
      <c r="E11" s="13" t="s">
        <v>3</v>
      </c>
    </row>
    <row r="12" spans="1:28" ht="18" x14ac:dyDescent="0.35">
      <c r="B12" s="3" t="s">
        <v>2</v>
      </c>
      <c r="C12" s="15" t="s">
        <v>25</v>
      </c>
      <c r="D12" s="49">
        <v>0.9</v>
      </c>
      <c r="E12" s="5" t="s">
        <v>3</v>
      </c>
    </row>
    <row r="13" spans="1:28" ht="18.75" thickBot="1" x14ac:dyDescent="0.4">
      <c r="B13" s="11" t="s">
        <v>5</v>
      </c>
      <c r="C13" s="17" t="s">
        <v>24</v>
      </c>
      <c r="D13" s="41">
        <f>10^6</f>
        <v>1000000</v>
      </c>
      <c r="E13" s="13" t="s">
        <v>10</v>
      </c>
    </row>
    <row r="14" spans="1:28" x14ac:dyDescent="0.25">
      <c r="B14" s="21" t="s">
        <v>14</v>
      </c>
      <c r="C14" s="22" t="s">
        <v>12</v>
      </c>
      <c r="D14" s="42">
        <f>CONVERT(D8,"hr","min")*D9</f>
        <v>768000000</v>
      </c>
      <c r="E14" s="23" t="s">
        <v>10</v>
      </c>
    </row>
    <row r="15" spans="1:28" x14ac:dyDescent="0.25">
      <c r="B15" s="6" t="s">
        <v>4</v>
      </c>
      <c r="C15" s="1" t="s">
        <v>4</v>
      </c>
      <c r="D15" s="31">
        <f>_xlfn.XLOOKUP(D11,Bearing_Type,$AB$1:$AB$2)</f>
        <v>3.3333333333333335</v>
      </c>
      <c r="E15" s="7" t="s">
        <v>3</v>
      </c>
    </row>
    <row r="16" spans="1:28" x14ac:dyDescent="0.25">
      <c r="B16" s="24" t="s">
        <v>13</v>
      </c>
      <c r="C16" s="1"/>
      <c r="D16" s="39">
        <f>D7*(D14)^(1/D15)</f>
        <v>92605.837062667153</v>
      </c>
      <c r="E16" s="7"/>
    </row>
    <row r="17" spans="2:5" ht="18.75" thickBot="1" x14ac:dyDescent="0.4">
      <c r="B17" s="33" t="s">
        <v>21</v>
      </c>
      <c r="C17" s="43" t="s">
        <v>23</v>
      </c>
      <c r="D17" s="45">
        <f>D7*(D14/D13)^(1/D15)</f>
        <v>1467.7036074278426</v>
      </c>
      <c r="E17" s="44" t="s">
        <v>11</v>
      </c>
    </row>
  </sheetData>
  <dataValidations count="1">
    <dataValidation type="list" allowBlank="1" showInputMessage="1" showErrorMessage="1" sqref="D11 D13" xr:uid="{F16C5629-0891-4144-99B2-B61D9909D9A3}">
      <formula1>Bearing_Type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F29F7-77BB-4D3D-92BE-7E42E818CD21}">
  <dimension ref="B1:AG26"/>
  <sheetViews>
    <sheetView workbookViewId="0">
      <selection activeCell="C20" sqref="C20"/>
    </sheetView>
  </sheetViews>
  <sheetFormatPr defaultRowHeight="15" x14ac:dyDescent="0.25"/>
  <sheetData>
    <row r="1" spans="2:33" ht="15.75" thickBot="1" x14ac:dyDescent="0.3">
      <c r="B1" s="124" t="s">
        <v>48</v>
      </c>
      <c r="C1" s="125"/>
      <c r="D1" s="125"/>
      <c r="E1" s="125"/>
      <c r="F1" s="125"/>
      <c r="G1" s="126"/>
      <c r="I1" s="129" t="s">
        <v>76</v>
      </c>
      <c r="J1" s="129"/>
      <c r="K1" s="129"/>
      <c r="L1" s="129"/>
      <c r="M1" s="129"/>
      <c r="N1" s="129"/>
      <c r="O1" s="129"/>
      <c r="P1" s="129"/>
      <c r="Q1" s="129"/>
      <c r="R1" s="129"/>
      <c r="T1" s="105" t="s">
        <v>77</v>
      </c>
      <c r="U1" s="106"/>
      <c r="V1" s="106"/>
      <c r="W1" s="106"/>
      <c r="X1" s="106"/>
      <c r="Y1" s="106"/>
      <c r="Z1" s="106"/>
      <c r="AA1" s="106"/>
      <c r="AB1" s="107"/>
      <c r="AC1" s="19"/>
      <c r="AD1" s="134" t="s">
        <v>137</v>
      </c>
      <c r="AE1" s="134"/>
      <c r="AF1" s="134"/>
      <c r="AG1" s="134"/>
    </row>
    <row r="2" spans="2:33" ht="18" customHeight="1" thickBot="1" x14ac:dyDescent="0.4">
      <c r="B2" s="124" t="s">
        <v>49</v>
      </c>
      <c r="C2" s="125" t="s">
        <v>50</v>
      </c>
      <c r="D2" s="111" t="s">
        <v>55</v>
      </c>
      <c r="E2" s="111"/>
      <c r="F2" s="111" t="s">
        <v>56</v>
      </c>
      <c r="G2" s="112"/>
      <c r="I2" s="117" t="s">
        <v>62</v>
      </c>
      <c r="J2" s="118" t="s">
        <v>75</v>
      </c>
      <c r="K2" s="118" t="s">
        <v>64</v>
      </c>
      <c r="L2" s="119" t="s">
        <v>65</v>
      </c>
      <c r="M2" s="121" t="s">
        <v>66</v>
      </c>
      <c r="N2" s="122"/>
      <c r="O2" s="113" t="s">
        <v>70</v>
      </c>
      <c r="P2" s="111"/>
      <c r="Q2" s="111"/>
      <c r="R2" s="112"/>
      <c r="T2" s="103" t="s">
        <v>62</v>
      </c>
      <c r="U2" s="110" t="s">
        <v>78</v>
      </c>
      <c r="V2" s="111"/>
      <c r="W2" s="111"/>
      <c r="X2" s="112"/>
      <c r="Y2" s="113" t="s">
        <v>80</v>
      </c>
      <c r="Z2" s="111"/>
      <c r="AA2" s="111"/>
      <c r="AB2" s="112"/>
      <c r="AC2" s="14"/>
      <c r="AD2" s="105" t="s">
        <v>7</v>
      </c>
      <c r="AE2" s="107"/>
      <c r="AF2" s="135" t="s">
        <v>42</v>
      </c>
      <c r="AG2" s="136"/>
    </row>
    <row r="3" spans="2:33" ht="18" customHeight="1" thickBot="1" x14ac:dyDescent="0.4">
      <c r="B3" s="127"/>
      <c r="C3" s="128"/>
      <c r="D3" s="25" t="s">
        <v>51</v>
      </c>
      <c r="E3" s="25" t="s">
        <v>52</v>
      </c>
      <c r="F3" s="25" t="s">
        <v>53</v>
      </c>
      <c r="G3" s="9" t="s">
        <v>54</v>
      </c>
      <c r="I3" s="114"/>
      <c r="J3" s="115"/>
      <c r="K3" s="115"/>
      <c r="L3" s="120"/>
      <c r="M3" s="123"/>
      <c r="N3" s="109"/>
      <c r="O3" s="132" t="s">
        <v>68</v>
      </c>
      <c r="P3" s="130"/>
      <c r="Q3" s="130" t="s">
        <v>69</v>
      </c>
      <c r="R3" s="131"/>
      <c r="T3" s="104"/>
      <c r="U3" s="114" t="s">
        <v>75</v>
      </c>
      <c r="V3" s="115" t="s">
        <v>64</v>
      </c>
      <c r="W3" s="108" t="s">
        <v>81</v>
      </c>
      <c r="X3" s="109"/>
      <c r="Y3" s="116" t="s">
        <v>63</v>
      </c>
      <c r="Z3" s="115" t="s">
        <v>64</v>
      </c>
      <c r="AA3" s="108" t="s">
        <v>81</v>
      </c>
      <c r="AB3" s="109"/>
      <c r="AC3" s="14"/>
      <c r="AD3" s="137" t="s">
        <v>7</v>
      </c>
      <c r="AE3" s="138" t="s">
        <v>4</v>
      </c>
      <c r="AF3" s="27" t="s">
        <v>43</v>
      </c>
      <c r="AG3" s="30">
        <v>1</v>
      </c>
    </row>
    <row r="4" spans="2:33" ht="18.75" thickBot="1" x14ac:dyDescent="0.3">
      <c r="B4" s="27">
        <v>0</v>
      </c>
      <c r="C4" s="55">
        <v>0.19</v>
      </c>
      <c r="D4" s="55">
        <v>1</v>
      </c>
      <c r="E4" s="55">
        <v>0</v>
      </c>
      <c r="F4" s="55">
        <v>0.56000000000000005</v>
      </c>
      <c r="G4" s="30">
        <v>2.2999999999999998</v>
      </c>
      <c r="I4" s="114"/>
      <c r="J4" s="115"/>
      <c r="K4" s="115"/>
      <c r="L4" s="120"/>
      <c r="M4" s="61" t="s">
        <v>71</v>
      </c>
      <c r="N4" s="57" t="s">
        <v>72</v>
      </c>
      <c r="O4" s="71" t="s">
        <v>73</v>
      </c>
      <c r="P4" s="56" t="s">
        <v>74</v>
      </c>
      <c r="Q4" s="56" t="s">
        <v>73</v>
      </c>
      <c r="R4" s="57" t="s">
        <v>74</v>
      </c>
      <c r="T4" s="104"/>
      <c r="U4" s="114"/>
      <c r="V4" s="115"/>
      <c r="W4" s="56" t="s">
        <v>22</v>
      </c>
      <c r="X4" s="57" t="s">
        <v>79</v>
      </c>
      <c r="Y4" s="116"/>
      <c r="Z4" s="115"/>
      <c r="AA4" s="56" t="s">
        <v>22</v>
      </c>
      <c r="AB4" s="57" t="s">
        <v>79</v>
      </c>
      <c r="AC4" s="14"/>
      <c r="AD4" s="3" t="s">
        <v>82</v>
      </c>
      <c r="AE4" s="5">
        <v>3</v>
      </c>
      <c r="AF4" s="8" t="s">
        <v>44</v>
      </c>
      <c r="AG4" s="9">
        <v>1.2</v>
      </c>
    </row>
    <row r="5" spans="2:33" ht="15.75" thickBot="1" x14ac:dyDescent="0.3">
      <c r="B5" s="6">
        <v>1.4E-2</v>
      </c>
      <c r="C5" s="1">
        <v>0.19</v>
      </c>
      <c r="D5" s="1">
        <v>1</v>
      </c>
      <c r="E5" s="1">
        <v>0</v>
      </c>
      <c r="F5" s="1">
        <v>0.56000000000000005</v>
      </c>
      <c r="G5" s="7">
        <v>2.2999999999999998</v>
      </c>
      <c r="I5" s="58" t="s">
        <v>67</v>
      </c>
      <c r="J5" s="59" t="s">
        <v>67</v>
      </c>
      <c r="K5" s="59" t="s">
        <v>67</v>
      </c>
      <c r="L5" s="69" t="s">
        <v>67</v>
      </c>
      <c r="M5" s="58" t="s">
        <v>67</v>
      </c>
      <c r="N5" s="60" t="s">
        <v>67</v>
      </c>
      <c r="O5" s="68" t="s">
        <v>39</v>
      </c>
      <c r="P5" s="59" t="s">
        <v>39</v>
      </c>
      <c r="Q5" s="59" t="s">
        <v>39</v>
      </c>
      <c r="R5" s="60" t="s">
        <v>39</v>
      </c>
      <c r="T5" s="64" t="s">
        <v>67</v>
      </c>
      <c r="U5" s="58" t="s">
        <v>67</v>
      </c>
      <c r="V5" s="59" t="s">
        <v>67</v>
      </c>
      <c r="W5" s="59" t="s">
        <v>39</v>
      </c>
      <c r="X5" s="60" t="s">
        <v>39</v>
      </c>
      <c r="Y5" s="68" t="s">
        <v>67</v>
      </c>
      <c r="Z5" s="59" t="s">
        <v>67</v>
      </c>
      <c r="AA5" s="59" t="s">
        <v>39</v>
      </c>
      <c r="AB5" s="60" t="s">
        <v>39</v>
      </c>
      <c r="AD5" s="75" t="s">
        <v>83</v>
      </c>
      <c r="AE5" s="7">
        <v>3</v>
      </c>
    </row>
    <row r="6" spans="2:33" x14ac:dyDescent="0.25">
      <c r="B6" s="6">
        <v>2.1000000000000001E-2</v>
      </c>
      <c r="C6" s="1">
        <v>0.21</v>
      </c>
      <c r="D6" s="1">
        <v>1</v>
      </c>
      <c r="E6" s="1">
        <v>0</v>
      </c>
      <c r="F6" s="1">
        <v>0.56000000000000005</v>
      </c>
      <c r="G6" s="7">
        <v>2.15</v>
      </c>
      <c r="I6" s="72">
        <v>10</v>
      </c>
      <c r="J6" s="32">
        <v>30</v>
      </c>
      <c r="K6" s="32">
        <v>9</v>
      </c>
      <c r="L6" s="73">
        <v>0.6</v>
      </c>
      <c r="M6" s="3">
        <v>12.5</v>
      </c>
      <c r="N6" s="5">
        <v>27</v>
      </c>
      <c r="O6" s="3">
        <v>5.07</v>
      </c>
      <c r="P6" s="5">
        <v>2.2400000000000002</v>
      </c>
      <c r="Q6" s="15">
        <v>4.9400000000000004</v>
      </c>
      <c r="R6" s="5">
        <v>2.12</v>
      </c>
      <c r="T6" s="65">
        <v>25</v>
      </c>
      <c r="U6" s="27">
        <v>52</v>
      </c>
      <c r="V6" s="55">
        <v>15</v>
      </c>
      <c r="W6" s="55">
        <v>16.8</v>
      </c>
      <c r="X6" s="30">
        <v>8.8000000000000007</v>
      </c>
      <c r="Y6" s="28">
        <v>62</v>
      </c>
      <c r="Z6" s="55">
        <v>17</v>
      </c>
      <c r="AA6" s="55">
        <v>28.6</v>
      </c>
      <c r="AB6" s="30">
        <v>15</v>
      </c>
      <c r="AD6" s="6" t="s">
        <v>84</v>
      </c>
      <c r="AE6" s="7">
        <f>10/3</f>
        <v>3.3333333333333335</v>
      </c>
    </row>
    <row r="7" spans="2:33" ht="15.75" thickBot="1" x14ac:dyDescent="0.3">
      <c r="B7" s="6">
        <v>2.8000000000000001E-2</v>
      </c>
      <c r="C7" s="1">
        <v>0.22</v>
      </c>
      <c r="D7" s="1">
        <v>1</v>
      </c>
      <c r="E7" s="1">
        <v>0</v>
      </c>
      <c r="F7" s="1">
        <v>0.56000000000000005</v>
      </c>
      <c r="G7" s="7">
        <v>1.99</v>
      </c>
      <c r="I7" s="62">
        <v>12</v>
      </c>
      <c r="J7" s="1">
        <v>32</v>
      </c>
      <c r="K7" s="1">
        <v>10</v>
      </c>
      <c r="L7" s="70">
        <v>0.6</v>
      </c>
      <c r="M7" s="6">
        <v>14.5</v>
      </c>
      <c r="N7" s="7">
        <v>28</v>
      </c>
      <c r="O7" s="6">
        <v>6.89</v>
      </c>
      <c r="P7" s="7">
        <v>3.1</v>
      </c>
      <c r="Q7" s="16">
        <v>7.02</v>
      </c>
      <c r="R7" s="7">
        <v>3.05</v>
      </c>
      <c r="T7" s="66">
        <v>30</v>
      </c>
      <c r="U7" s="6">
        <v>62</v>
      </c>
      <c r="V7" s="1">
        <v>16</v>
      </c>
      <c r="W7" s="1">
        <v>22.4</v>
      </c>
      <c r="X7" s="7">
        <v>12</v>
      </c>
      <c r="Y7" s="16">
        <v>72</v>
      </c>
      <c r="Z7" s="1">
        <v>19</v>
      </c>
      <c r="AA7" s="1">
        <v>36.9</v>
      </c>
      <c r="AB7" s="7">
        <v>20</v>
      </c>
      <c r="AD7" s="8" t="s">
        <v>85</v>
      </c>
      <c r="AE7" s="9">
        <f>10/3</f>
        <v>3.3333333333333335</v>
      </c>
    </row>
    <row r="8" spans="2:33" x14ac:dyDescent="0.25">
      <c r="B8" s="6">
        <v>4.2000000000000003E-2</v>
      </c>
      <c r="C8" s="1">
        <v>0.24</v>
      </c>
      <c r="D8" s="1">
        <v>1</v>
      </c>
      <c r="E8" s="1">
        <v>0</v>
      </c>
      <c r="F8" s="1">
        <v>0.56000000000000005</v>
      </c>
      <c r="G8" s="7">
        <v>1.85</v>
      </c>
      <c r="I8" s="62">
        <v>15</v>
      </c>
      <c r="J8" s="1">
        <v>35</v>
      </c>
      <c r="K8" s="1">
        <v>11</v>
      </c>
      <c r="L8" s="70">
        <v>0.6</v>
      </c>
      <c r="M8" s="6">
        <v>17.5</v>
      </c>
      <c r="N8" s="7">
        <v>31</v>
      </c>
      <c r="O8" s="6">
        <v>7.8</v>
      </c>
      <c r="P8" s="7">
        <v>3.55</v>
      </c>
      <c r="Q8" s="16">
        <v>8.06</v>
      </c>
      <c r="R8" s="7">
        <v>3.65</v>
      </c>
      <c r="T8" s="66">
        <v>35</v>
      </c>
      <c r="U8" s="6">
        <v>72</v>
      </c>
      <c r="V8" s="1">
        <v>17</v>
      </c>
      <c r="W8" s="1">
        <v>31.9</v>
      </c>
      <c r="X8" s="7">
        <v>17.600000000000001</v>
      </c>
      <c r="Y8" s="16">
        <v>80</v>
      </c>
      <c r="Z8" s="1">
        <v>21</v>
      </c>
      <c r="AA8" s="1">
        <v>44.6</v>
      </c>
      <c r="AB8" s="7">
        <v>27.1</v>
      </c>
    </row>
    <row r="9" spans="2:33" x14ac:dyDescent="0.25">
      <c r="B9" s="6">
        <v>5.6000000000000001E-2</v>
      </c>
      <c r="C9" s="1">
        <v>0.26</v>
      </c>
      <c r="D9" s="1">
        <v>1</v>
      </c>
      <c r="E9" s="1">
        <v>0</v>
      </c>
      <c r="F9" s="1">
        <v>0.56000000000000005</v>
      </c>
      <c r="G9" s="7">
        <v>1.71</v>
      </c>
      <c r="I9" s="62">
        <v>17</v>
      </c>
      <c r="J9" s="1">
        <v>40</v>
      </c>
      <c r="K9" s="1">
        <v>12</v>
      </c>
      <c r="L9" s="70">
        <v>0.6</v>
      </c>
      <c r="M9" s="6">
        <v>19.5</v>
      </c>
      <c r="N9" s="7">
        <v>34</v>
      </c>
      <c r="O9" s="6">
        <v>9.56</v>
      </c>
      <c r="P9" s="7">
        <v>4.5</v>
      </c>
      <c r="Q9" s="16">
        <v>9.9499999999999993</v>
      </c>
      <c r="R9" s="7">
        <v>4.75</v>
      </c>
      <c r="T9" s="66">
        <v>40</v>
      </c>
      <c r="U9" s="6">
        <v>80</v>
      </c>
      <c r="V9" s="1">
        <v>18</v>
      </c>
      <c r="W9" s="1">
        <v>41.8</v>
      </c>
      <c r="X9" s="7">
        <v>24</v>
      </c>
      <c r="Y9" s="16">
        <v>90</v>
      </c>
      <c r="Z9" s="1">
        <v>23</v>
      </c>
      <c r="AA9" s="1">
        <v>56.1</v>
      </c>
      <c r="AB9" s="7">
        <v>32.5</v>
      </c>
    </row>
    <row r="10" spans="2:33" x14ac:dyDescent="0.25">
      <c r="B10" s="6">
        <v>7.0000000000000007E-2</v>
      </c>
      <c r="C10" s="1">
        <v>0.27</v>
      </c>
      <c r="D10" s="1">
        <v>1</v>
      </c>
      <c r="E10" s="1">
        <v>0</v>
      </c>
      <c r="F10" s="1">
        <v>0.56000000000000005</v>
      </c>
      <c r="G10" s="7">
        <v>1.63</v>
      </c>
      <c r="I10" s="62">
        <v>20</v>
      </c>
      <c r="J10" s="1">
        <v>47</v>
      </c>
      <c r="K10" s="1">
        <v>14</v>
      </c>
      <c r="L10" s="70">
        <v>1</v>
      </c>
      <c r="M10" s="6">
        <v>25</v>
      </c>
      <c r="N10" s="7">
        <v>41</v>
      </c>
      <c r="O10" s="6">
        <v>12.7</v>
      </c>
      <c r="P10" s="7">
        <v>6.2</v>
      </c>
      <c r="Q10" s="16">
        <v>13.3</v>
      </c>
      <c r="R10" s="7">
        <v>6.55</v>
      </c>
      <c r="T10" s="66">
        <v>45</v>
      </c>
      <c r="U10" s="6">
        <v>85</v>
      </c>
      <c r="V10" s="1">
        <v>19</v>
      </c>
      <c r="W10" s="1">
        <v>44</v>
      </c>
      <c r="X10" s="7">
        <v>25.5</v>
      </c>
      <c r="Y10" s="16">
        <v>100</v>
      </c>
      <c r="Z10" s="1">
        <v>25</v>
      </c>
      <c r="AA10" s="1">
        <v>72.099999999999994</v>
      </c>
      <c r="AB10" s="7">
        <v>45.4</v>
      </c>
    </row>
    <row r="11" spans="2:33" x14ac:dyDescent="0.25">
      <c r="B11" s="6">
        <v>8.4000000000000005E-2</v>
      </c>
      <c r="C11" s="1">
        <v>0.28000000000000003</v>
      </c>
      <c r="D11" s="1">
        <v>1</v>
      </c>
      <c r="E11" s="1">
        <v>0</v>
      </c>
      <c r="F11" s="1">
        <v>0.56000000000000005</v>
      </c>
      <c r="G11" s="7">
        <v>1.55</v>
      </c>
      <c r="I11" s="62">
        <v>25</v>
      </c>
      <c r="J11" s="1">
        <v>52</v>
      </c>
      <c r="K11" s="1">
        <v>15</v>
      </c>
      <c r="L11" s="70">
        <v>1</v>
      </c>
      <c r="M11" s="6">
        <v>30</v>
      </c>
      <c r="N11" s="7">
        <v>47</v>
      </c>
      <c r="O11" s="6">
        <v>14</v>
      </c>
      <c r="P11" s="7">
        <v>6.95</v>
      </c>
      <c r="Q11" s="16">
        <v>14.8</v>
      </c>
      <c r="R11" s="7">
        <v>7.65</v>
      </c>
      <c r="T11" s="66">
        <v>50</v>
      </c>
      <c r="U11" s="6">
        <v>90</v>
      </c>
      <c r="V11" s="1">
        <v>20</v>
      </c>
      <c r="W11" s="1">
        <v>45.7</v>
      </c>
      <c r="X11" s="7">
        <v>27.5</v>
      </c>
      <c r="Y11" s="16">
        <v>110</v>
      </c>
      <c r="Z11" s="1">
        <v>27</v>
      </c>
      <c r="AA11" s="1">
        <v>88</v>
      </c>
      <c r="AB11" s="7">
        <v>52</v>
      </c>
    </row>
    <row r="12" spans="2:33" x14ac:dyDescent="0.25">
      <c r="B12" s="6">
        <v>0.11</v>
      </c>
      <c r="C12" s="1">
        <v>0.3</v>
      </c>
      <c r="D12" s="1">
        <v>1</v>
      </c>
      <c r="E12" s="1">
        <v>0</v>
      </c>
      <c r="F12" s="1">
        <v>0.56000000000000005</v>
      </c>
      <c r="G12" s="7">
        <v>1.45</v>
      </c>
      <c r="I12" s="62">
        <v>30</v>
      </c>
      <c r="J12" s="1">
        <v>62</v>
      </c>
      <c r="K12" s="1">
        <v>16</v>
      </c>
      <c r="L12" s="70">
        <v>1</v>
      </c>
      <c r="M12" s="6">
        <v>35</v>
      </c>
      <c r="N12" s="7">
        <v>55</v>
      </c>
      <c r="O12" s="6">
        <v>19.5</v>
      </c>
      <c r="P12" s="7">
        <v>10</v>
      </c>
      <c r="Q12" s="16">
        <v>20.3</v>
      </c>
      <c r="R12" s="7">
        <v>11</v>
      </c>
      <c r="T12" s="66">
        <v>55</v>
      </c>
      <c r="U12" s="6">
        <v>100</v>
      </c>
      <c r="V12" s="1">
        <v>21</v>
      </c>
      <c r="W12" s="1">
        <v>56.1</v>
      </c>
      <c r="X12" s="7">
        <v>34</v>
      </c>
      <c r="Y12" s="16">
        <v>120</v>
      </c>
      <c r="Z12" s="1">
        <v>29</v>
      </c>
      <c r="AA12" s="1">
        <v>102</v>
      </c>
      <c r="AB12" s="7">
        <v>67.2</v>
      </c>
    </row>
    <row r="13" spans="2:33" x14ac:dyDescent="0.25">
      <c r="B13" s="6">
        <v>0.17</v>
      </c>
      <c r="C13" s="1">
        <v>0.34</v>
      </c>
      <c r="D13" s="1">
        <v>1</v>
      </c>
      <c r="E13" s="1">
        <v>0</v>
      </c>
      <c r="F13" s="1">
        <v>0.56000000000000005</v>
      </c>
      <c r="G13" s="7">
        <v>1.31</v>
      </c>
      <c r="I13" s="62">
        <v>35</v>
      </c>
      <c r="J13" s="1">
        <v>72</v>
      </c>
      <c r="K13" s="1">
        <v>17</v>
      </c>
      <c r="L13" s="70">
        <v>1</v>
      </c>
      <c r="M13" s="6">
        <v>41</v>
      </c>
      <c r="N13" s="7">
        <v>65</v>
      </c>
      <c r="O13" s="6">
        <v>25.5</v>
      </c>
      <c r="P13" s="7">
        <v>13.7</v>
      </c>
      <c r="Q13" s="16">
        <v>27</v>
      </c>
      <c r="R13" s="7">
        <v>15</v>
      </c>
      <c r="T13" s="66">
        <v>60</v>
      </c>
      <c r="U13" s="6">
        <v>110</v>
      </c>
      <c r="V13" s="1">
        <v>22</v>
      </c>
      <c r="W13" s="1">
        <v>64.400000000000006</v>
      </c>
      <c r="X13" s="7">
        <v>43.1</v>
      </c>
      <c r="Y13" s="16">
        <v>130</v>
      </c>
      <c r="Z13" s="1">
        <v>31</v>
      </c>
      <c r="AA13" s="1">
        <v>123</v>
      </c>
      <c r="AB13" s="7">
        <v>76.5</v>
      </c>
    </row>
    <row r="14" spans="2:33" x14ac:dyDescent="0.25">
      <c r="B14" s="6">
        <v>0.28000000000000003</v>
      </c>
      <c r="C14" s="1">
        <v>0.38</v>
      </c>
      <c r="D14" s="1">
        <v>1</v>
      </c>
      <c r="E14" s="1">
        <v>0</v>
      </c>
      <c r="F14" s="1">
        <v>0.56000000000000005</v>
      </c>
      <c r="G14" s="7">
        <v>1.1499999999999999</v>
      </c>
      <c r="I14" s="62">
        <v>40</v>
      </c>
      <c r="J14" s="1">
        <v>80</v>
      </c>
      <c r="K14" s="1">
        <v>18</v>
      </c>
      <c r="L14" s="70">
        <v>1</v>
      </c>
      <c r="M14" s="6">
        <v>46</v>
      </c>
      <c r="N14" s="7">
        <v>72</v>
      </c>
      <c r="O14" s="6">
        <v>30.7</v>
      </c>
      <c r="P14" s="7">
        <v>16.600000000000001</v>
      </c>
      <c r="Q14" s="16">
        <v>31.9</v>
      </c>
      <c r="R14" s="7">
        <v>18.600000000000001</v>
      </c>
      <c r="T14" s="66">
        <v>65</v>
      </c>
      <c r="U14" s="6">
        <v>120</v>
      </c>
      <c r="V14" s="1">
        <v>23</v>
      </c>
      <c r="W14" s="1">
        <v>76.5</v>
      </c>
      <c r="X14" s="7">
        <v>51.2</v>
      </c>
      <c r="Y14" s="16">
        <v>140</v>
      </c>
      <c r="Z14" s="1">
        <v>33</v>
      </c>
      <c r="AA14" s="1">
        <v>138</v>
      </c>
      <c r="AB14" s="7">
        <v>85</v>
      </c>
    </row>
    <row r="15" spans="2:33" x14ac:dyDescent="0.25">
      <c r="B15" s="6">
        <v>0.42</v>
      </c>
      <c r="C15" s="1">
        <v>0.42</v>
      </c>
      <c r="D15" s="1">
        <v>1</v>
      </c>
      <c r="E15" s="1">
        <v>0</v>
      </c>
      <c r="F15" s="1">
        <v>0.56000000000000005</v>
      </c>
      <c r="G15" s="7">
        <v>1.04</v>
      </c>
      <c r="I15" s="62">
        <v>45</v>
      </c>
      <c r="J15" s="1">
        <v>85</v>
      </c>
      <c r="K15" s="1">
        <v>19</v>
      </c>
      <c r="L15" s="70">
        <v>1</v>
      </c>
      <c r="M15" s="6">
        <v>52</v>
      </c>
      <c r="N15" s="7">
        <v>77</v>
      </c>
      <c r="O15" s="6">
        <v>33.200000000000003</v>
      </c>
      <c r="P15" s="7">
        <v>18.600000000000001</v>
      </c>
      <c r="Q15" s="16">
        <v>35.799999999999997</v>
      </c>
      <c r="R15" s="7">
        <v>21.2</v>
      </c>
      <c r="T15" s="66">
        <v>70</v>
      </c>
      <c r="U15" s="6">
        <v>125</v>
      </c>
      <c r="V15" s="1">
        <v>24</v>
      </c>
      <c r="W15" s="1">
        <v>79.2</v>
      </c>
      <c r="X15" s="7">
        <v>51.2</v>
      </c>
      <c r="Y15" s="16">
        <v>150</v>
      </c>
      <c r="Z15" s="1">
        <v>35</v>
      </c>
      <c r="AA15" s="1">
        <v>151</v>
      </c>
      <c r="AB15" s="7">
        <v>102</v>
      </c>
    </row>
    <row r="16" spans="2:33" ht="15.75" thickBot="1" x14ac:dyDescent="0.3">
      <c r="B16" s="8">
        <v>0.56000000000000005</v>
      </c>
      <c r="C16" s="25">
        <v>0.44</v>
      </c>
      <c r="D16" s="25">
        <v>1</v>
      </c>
      <c r="E16" s="25">
        <v>0</v>
      </c>
      <c r="F16" s="25">
        <v>0.56000000000000005</v>
      </c>
      <c r="G16" s="9">
        <v>1</v>
      </c>
      <c r="I16" s="62">
        <v>50</v>
      </c>
      <c r="J16" s="1">
        <v>90</v>
      </c>
      <c r="K16" s="1">
        <v>20</v>
      </c>
      <c r="L16" s="70">
        <v>1</v>
      </c>
      <c r="M16" s="6">
        <v>56</v>
      </c>
      <c r="N16" s="7">
        <v>82</v>
      </c>
      <c r="O16" s="6">
        <v>35.1</v>
      </c>
      <c r="P16" s="7">
        <v>19.600000000000001</v>
      </c>
      <c r="Q16" s="16">
        <v>37.700000000000003</v>
      </c>
      <c r="R16" s="7">
        <v>22.8</v>
      </c>
      <c r="T16" s="66">
        <v>75</v>
      </c>
      <c r="U16" s="6">
        <v>130</v>
      </c>
      <c r="V16" s="1">
        <v>25</v>
      </c>
      <c r="W16" s="1">
        <v>93.1</v>
      </c>
      <c r="X16" s="7">
        <v>63.2</v>
      </c>
      <c r="Y16" s="16">
        <v>160</v>
      </c>
      <c r="Z16" s="1">
        <v>37</v>
      </c>
      <c r="AA16" s="1">
        <v>183</v>
      </c>
      <c r="AB16" s="7">
        <v>125</v>
      </c>
    </row>
    <row r="17" spans="9:28" x14ac:dyDescent="0.25">
      <c r="I17" s="62">
        <v>55</v>
      </c>
      <c r="J17" s="1">
        <v>100</v>
      </c>
      <c r="K17" s="1">
        <v>21</v>
      </c>
      <c r="L17" s="70">
        <v>1.5</v>
      </c>
      <c r="M17" s="6">
        <v>63</v>
      </c>
      <c r="N17" s="7">
        <v>90</v>
      </c>
      <c r="O17" s="6">
        <v>43.6</v>
      </c>
      <c r="P17" s="7">
        <v>25</v>
      </c>
      <c r="Q17" s="16">
        <v>46.2</v>
      </c>
      <c r="R17" s="7">
        <v>28.5</v>
      </c>
      <c r="T17" s="66">
        <v>80</v>
      </c>
      <c r="U17" s="6">
        <v>140</v>
      </c>
      <c r="V17" s="1">
        <v>26</v>
      </c>
      <c r="W17" s="1">
        <v>106</v>
      </c>
      <c r="X17" s="7">
        <v>69.400000000000006</v>
      </c>
      <c r="Y17" s="16">
        <v>170</v>
      </c>
      <c r="Z17" s="1">
        <v>39</v>
      </c>
      <c r="AA17" s="1">
        <v>190</v>
      </c>
      <c r="AB17" s="7">
        <v>125</v>
      </c>
    </row>
    <row r="18" spans="9:28" x14ac:dyDescent="0.25">
      <c r="I18" s="62">
        <v>60</v>
      </c>
      <c r="J18" s="1">
        <v>110</v>
      </c>
      <c r="K18" s="1">
        <v>22</v>
      </c>
      <c r="L18" s="70">
        <v>1.5</v>
      </c>
      <c r="M18" s="6">
        <v>70</v>
      </c>
      <c r="N18" s="7">
        <v>99</v>
      </c>
      <c r="O18" s="6">
        <v>47.5</v>
      </c>
      <c r="P18" s="7">
        <v>28</v>
      </c>
      <c r="Q18" s="16">
        <v>55.9</v>
      </c>
      <c r="R18" s="7">
        <v>35.5</v>
      </c>
      <c r="T18" s="66">
        <v>85</v>
      </c>
      <c r="U18" s="6">
        <v>150</v>
      </c>
      <c r="V18" s="1">
        <v>28</v>
      </c>
      <c r="W18" s="1">
        <v>119</v>
      </c>
      <c r="X18" s="7">
        <v>78.3</v>
      </c>
      <c r="Y18" s="16">
        <v>180</v>
      </c>
      <c r="Z18" s="1">
        <v>41</v>
      </c>
      <c r="AA18" s="1">
        <v>212</v>
      </c>
      <c r="AB18" s="7">
        <v>149</v>
      </c>
    </row>
    <row r="19" spans="9:28" x14ac:dyDescent="0.25">
      <c r="I19" s="62">
        <v>65</v>
      </c>
      <c r="J19" s="1">
        <v>120</v>
      </c>
      <c r="K19" s="1">
        <v>23</v>
      </c>
      <c r="L19" s="70">
        <v>1.5</v>
      </c>
      <c r="M19" s="6">
        <v>74</v>
      </c>
      <c r="N19" s="7">
        <v>109</v>
      </c>
      <c r="O19" s="6">
        <v>55.9</v>
      </c>
      <c r="P19" s="7">
        <v>34</v>
      </c>
      <c r="Q19" s="16">
        <v>63.7</v>
      </c>
      <c r="R19" s="7">
        <v>41.5</v>
      </c>
      <c r="T19" s="66">
        <v>90</v>
      </c>
      <c r="U19" s="6">
        <v>160</v>
      </c>
      <c r="V19" s="1">
        <v>30</v>
      </c>
      <c r="W19" s="1">
        <v>142</v>
      </c>
      <c r="X19" s="7">
        <v>100</v>
      </c>
      <c r="Y19" s="16">
        <v>190</v>
      </c>
      <c r="Z19" s="1">
        <v>43</v>
      </c>
      <c r="AA19" s="1">
        <v>242</v>
      </c>
      <c r="AB19" s="7">
        <v>160</v>
      </c>
    </row>
    <row r="20" spans="9:28" x14ac:dyDescent="0.25">
      <c r="I20" s="62">
        <v>70</v>
      </c>
      <c r="J20" s="1">
        <v>125</v>
      </c>
      <c r="K20" s="1">
        <v>24</v>
      </c>
      <c r="L20" s="70">
        <v>1.5</v>
      </c>
      <c r="M20" s="6">
        <v>79</v>
      </c>
      <c r="N20" s="7">
        <v>114</v>
      </c>
      <c r="O20" s="6">
        <v>61.8</v>
      </c>
      <c r="P20" s="7">
        <v>37.5</v>
      </c>
      <c r="Q20" s="16">
        <v>68.900000000000006</v>
      </c>
      <c r="R20" s="7">
        <v>45.5</v>
      </c>
      <c r="T20" s="66">
        <v>95</v>
      </c>
      <c r="U20" s="6">
        <v>170</v>
      </c>
      <c r="V20" s="1">
        <v>32</v>
      </c>
      <c r="W20" s="1">
        <v>165</v>
      </c>
      <c r="X20" s="7">
        <v>112</v>
      </c>
      <c r="Y20" s="16">
        <v>200</v>
      </c>
      <c r="Z20" s="1">
        <v>45</v>
      </c>
      <c r="AA20" s="1">
        <v>264</v>
      </c>
      <c r="AB20" s="7">
        <v>189</v>
      </c>
    </row>
    <row r="21" spans="9:28" x14ac:dyDescent="0.25">
      <c r="I21" s="62">
        <v>75</v>
      </c>
      <c r="J21" s="1">
        <v>130</v>
      </c>
      <c r="K21" s="1">
        <v>25</v>
      </c>
      <c r="L21" s="70">
        <v>1.5</v>
      </c>
      <c r="M21" s="6">
        <v>86</v>
      </c>
      <c r="N21" s="7">
        <v>119</v>
      </c>
      <c r="O21" s="6">
        <v>66.3</v>
      </c>
      <c r="P21" s="7">
        <v>40.5</v>
      </c>
      <c r="Q21" s="16">
        <v>71.5</v>
      </c>
      <c r="R21" s="7">
        <v>49</v>
      </c>
      <c r="T21" s="66">
        <v>100</v>
      </c>
      <c r="U21" s="6">
        <v>180</v>
      </c>
      <c r="V21" s="1">
        <v>34</v>
      </c>
      <c r="W21" s="1">
        <v>183</v>
      </c>
      <c r="X21" s="7">
        <v>125</v>
      </c>
      <c r="Y21" s="16">
        <v>215</v>
      </c>
      <c r="Z21" s="1">
        <v>47</v>
      </c>
      <c r="AA21" s="1">
        <v>303</v>
      </c>
      <c r="AB21" s="7">
        <v>220</v>
      </c>
    </row>
    <row r="22" spans="9:28" x14ac:dyDescent="0.25">
      <c r="I22" s="62">
        <v>80</v>
      </c>
      <c r="J22" s="1">
        <v>140</v>
      </c>
      <c r="K22" s="1">
        <v>26</v>
      </c>
      <c r="L22" s="70">
        <v>2</v>
      </c>
      <c r="M22" s="6">
        <v>93</v>
      </c>
      <c r="N22" s="7">
        <v>127</v>
      </c>
      <c r="O22" s="6">
        <v>70.2</v>
      </c>
      <c r="P22" s="7">
        <v>45</v>
      </c>
      <c r="Q22" s="16">
        <v>80.599999999999994</v>
      </c>
      <c r="R22" s="7">
        <v>55</v>
      </c>
      <c r="T22" s="66">
        <v>110</v>
      </c>
      <c r="U22" s="6">
        <v>200</v>
      </c>
      <c r="V22" s="1">
        <v>38</v>
      </c>
      <c r="W22" s="1">
        <v>229</v>
      </c>
      <c r="X22" s="7">
        <v>167</v>
      </c>
      <c r="Y22" s="16">
        <v>240</v>
      </c>
      <c r="Z22" s="1">
        <v>50</v>
      </c>
      <c r="AA22" s="1">
        <v>391</v>
      </c>
      <c r="AB22" s="7">
        <v>304</v>
      </c>
    </row>
    <row r="23" spans="9:28" x14ac:dyDescent="0.25">
      <c r="I23" s="62">
        <v>85</v>
      </c>
      <c r="J23" s="1">
        <v>150</v>
      </c>
      <c r="K23" s="1">
        <v>28</v>
      </c>
      <c r="L23" s="70">
        <v>2</v>
      </c>
      <c r="M23" s="6">
        <v>99</v>
      </c>
      <c r="N23" s="7">
        <v>136</v>
      </c>
      <c r="O23" s="6">
        <v>83.2</v>
      </c>
      <c r="P23" s="7">
        <v>53</v>
      </c>
      <c r="Q23" s="16">
        <v>90.4</v>
      </c>
      <c r="R23" s="7">
        <v>63</v>
      </c>
      <c r="T23" s="66">
        <v>120</v>
      </c>
      <c r="U23" s="6">
        <v>215</v>
      </c>
      <c r="V23" s="1">
        <v>40</v>
      </c>
      <c r="W23" s="1">
        <v>260</v>
      </c>
      <c r="X23" s="7">
        <v>183</v>
      </c>
      <c r="Y23" s="16">
        <v>260</v>
      </c>
      <c r="Z23" s="1">
        <v>55</v>
      </c>
      <c r="AA23" s="1">
        <v>457</v>
      </c>
      <c r="AB23" s="7">
        <v>340</v>
      </c>
    </row>
    <row r="24" spans="9:28" x14ac:dyDescent="0.25">
      <c r="I24" s="62">
        <v>90</v>
      </c>
      <c r="J24" s="1">
        <v>160</v>
      </c>
      <c r="K24" s="1">
        <v>30</v>
      </c>
      <c r="L24" s="70">
        <v>2</v>
      </c>
      <c r="M24" s="6">
        <v>104</v>
      </c>
      <c r="N24" s="7">
        <v>146</v>
      </c>
      <c r="O24" s="6">
        <v>95.6</v>
      </c>
      <c r="P24" s="7">
        <v>62</v>
      </c>
      <c r="Q24" s="16">
        <v>106</v>
      </c>
      <c r="R24" s="7">
        <v>73.5</v>
      </c>
      <c r="T24" s="66">
        <v>130</v>
      </c>
      <c r="U24" s="6">
        <v>230</v>
      </c>
      <c r="V24" s="1">
        <v>40</v>
      </c>
      <c r="W24" s="1">
        <v>270</v>
      </c>
      <c r="X24" s="7">
        <v>193</v>
      </c>
      <c r="Y24" s="16">
        <v>280</v>
      </c>
      <c r="Z24" s="1">
        <v>58</v>
      </c>
      <c r="AA24" s="1">
        <v>539</v>
      </c>
      <c r="AB24" s="7">
        <v>408</v>
      </c>
    </row>
    <row r="25" spans="9:28" ht="15.75" thickBot="1" x14ac:dyDescent="0.3">
      <c r="I25" s="63">
        <v>95</v>
      </c>
      <c r="J25" s="25">
        <v>170</v>
      </c>
      <c r="K25" s="25">
        <v>32</v>
      </c>
      <c r="L25" s="74">
        <v>2</v>
      </c>
      <c r="M25" s="8">
        <v>110</v>
      </c>
      <c r="N25" s="9">
        <v>156</v>
      </c>
      <c r="O25" s="8">
        <v>108</v>
      </c>
      <c r="P25" s="9">
        <v>69.5</v>
      </c>
      <c r="Q25" s="18">
        <v>121</v>
      </c>
      <c r="R25" s="9">
        <v>85</v>
      </c>
      <c r="T25" s="66">
        <v>140</v>
      </c>
      <c r="U25" s="6">
        <v>250</v>
      </c>
      <c r="V25" s="1">
        <v>42</v>
      </c>
      <c r="W25" s="1">
        <v>319</v>
      </c>
      <c r="X25" s="7">
        <v>240</v>
      </c>
      <c r="Y25" s="16">
        <v>300</v>
      </c>
      <c r="Z25" s="1">
        <v>62</v>
      </c>
      <c r="AA25" s="1">
        <v>682</v>
      </c>
      <c r="AB25" s="7">
        <v>454</v>
      </c>
    </row>
    <row r="26" spans="9:28" ht="15.75" thickBot="1" x14ac:dyDescent="0.3">
      <c r="T26" s="67">
        <v>150</v>
      </c>
      <c r="U26" s="8">
        <v>270</v>
      </c>
      <c r="V26" s="25">
        <v>45</v>
      </c>
      <c r="W26" s="25">
        <v>446</v>
      </c>
      <c r="X26" s="9">
        <v>260</v>
      </c>
      <c r="Y26" s="18">
        <v>320</v>
      </c>
      <c r="Z26" s="25">
        <v>65</v>
      </c>
      <c r="AA26" s="25">
        <v>781</v>
      </c>
      <c r="AB26" s="9">
        <v>502</v>
      </c>
    </row>
  </sheetData>
  <mergeCells count="27">
    <mergeCell ref="AF2:AG2"/>
    <mergeCell ref="AD1:AG1"/>
    <mergeCell ref="I1:R1"/>
    <mergeCell ref="O2:R2"/>
    <mergeCell ref="Q3:R3"/>
    <mergeCell ref="O3:P3"/>
    <mergeCell ref="AD2:AE2"/>
    <mergeCell ref="D2:E2"/>
    <mergeCell ref="F2:G2"/>
    <mergeCell ref="B1:G1"/>
    <mergeCell ref="B2:B3"/>
    <mergeCell ref="C2:C3"/>
    <mergeCell ref="I2:I4"/>
    <mergeCell ref="J2:J4"/>
    <mergeCell ref="K2:K4"/>
    <mergeCell ref="L2:L4"/>
    <mergeCell ref="M2:N3"/>
    <mergeCell ref="T2:T4"/>
    <mergeCell ref="T1:AB1"/>
    <mergeCell ref="W3:X3"/>
    <mergeCell ref="AA3:AB3"/>
    <mergeCell ref="U2:X2"/>
    <mergeCell ref="Y2:AB2"/>
    <mergeCell ref="U3:U4"/>
    <mergeCell ref="V3:V4"/>
    <mergeCell ref="Y3:Y4"/>
    <mergeCell ref="Z3:Z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7EECA-6360-4F45-AA5E-5A594B9E6A45}">
  <dimension ref="A1:I44"/>
  <sheetViews>
    <sheetView tabSelected="1" workbookViewId="0">
      <selection activeCell="I16" sqref="I16"/>
    </sheetView>
  </sheetViews>
  <sheetFormatPr defaultRowHeight="15" x14ac:dyDescent="0.25"/>
  <cols>
    <col min="1" max="1" width="22" customWidth="1"/>
    <col min="2" max="2" width="35.140625" bestFit="1" customWidth="1"/>
    <col min="3" max="3" width="14.42578125" customWidth="1"/>
    <col min="4" max="4" width="12" customWidth="1"/>
  </cols>
  <sheetData>
    <row r="1" spans="1:7" ht="15.75" thickBot="1" x14ac:dyDescent="0.3">
      <c r="A1" t="s">
        <v>0</v>
      </c>
      <c r="B1" s="85" t="s">
        <v>125</v>
      </c>
    </row>
    <row r="2" spans="1:7" x14ac:dyDescent="0.25">
      <c r="A2" t="s">
        <v>135</v>
      </c>
      <c r="B2" s="84" t="s">
        <v>122</v>
      </c>
    </row>
    <row r="3" spans="1:7" x14ac:dyDescent="0.25">
      <c r="B3" s="82" t="s">
        <v>123</v>
      </c>
    </row>
    <row r="4" spans="1:7" ht="15.75" thickBot="1" x14ac:dyDescent="0.3">
      <c r="A4" s="100" t="s">
        <v>136</v>
      </c>
      <c r="B4" s="83" t="s">
        <v>124</v>
      </c>
    </row>
    <row r="5" spans="1:7" ht="15.75" thickBot="1" x14ac:dyDescent="0.3"/>
    <row r="6" spans="1:7" ht="15.75" thickBot="1" x14ac:dyDescent="0.3">
      <c r="A6" s="19"/>
      <c r="B6" s="97" t="s">
        <v>126</v>
      </c>
      <c r="C6" s="98" t="s">
        <v>127</v>
      </c>
      <c r="D6" s="98" t="s">
        <v>128</v>
      </c>
      <c r="E6" s="98" t="s">
        <v>129</v>
      </c>
      <c r="F6" s="98" t="s">
        <v>130</v>
      </c>
      <c r="G6" s="99" t="s">
        <v>131</v>
      </c>
    </row>
    <row r="7" spans="1:7" ht="18" x14ac:dyDescent="0.35">
      <c r="B7" s="36" t="s">
        <v>57</v>
      </c>
      <c r="C7" s="37" t="s">
        <v>59</v>
      </c>
      <c r="D7" s="29">
        <v>454.3</v>
      </c>
      <c r="E7" s="37" t="s">
        <v>11</v>
      </c>
      <c r="F7" s="55">
        <f>CONVERT(D7,"lbf","kN")</f>
        <v>2.0208270798128454</v>
      </c>
      <c r="G7" s="30" t="s">
        <v>39</v>
      </c>
    </row>
    <row r="8" spans="1:7" ht="18" x14ac:dyDescent="0.35">
      <c r="B8" s="24" t="s">
        <v>58</v>
      </c>
      <c r="C8" s="20" t="s">
        <v>60</v>
      </c>
      <c r="D8" s="2">
        <v>485.7</v>
      </c>
      <c r="E8" s="20" t="s">
        <v>11</v>
      </c>
      <c r="F8" s="1">
        <f>CONVERT(F_D,"lbf","kN")</f>
        <v>2.1605012385320252</v>
      </c>
      <c r="G8" s="7" t="s">
        <v>39</v>
      </c>
    </row>
    <row r="9" spans="1:7" ht="18" x14ac:dyDescent="0.35">
      <c r="B9" s="24" t="s">
        <v>15</v>
      </c>
      <c r="C9" s="50" t="s">
        <v>19</v>
      </c>
      <c r="D9" s="2">
        <v>110</v>
      </c>
      <c r="E9" s="20" t="s">
        <v>17</v>
      </c>
      <c r="F9" s="1">
        <f>CONVERT(omega_D,"s","min")*(2*PI())</f>
        <v>11.519173063162574</v>
      </c>
      <c r="G9" s="7" t="s">
        <v>40</v>
      </c>
    </row>
    <row r="10" spans="1:7" ht="18" x14ac:dyDescent="0.35">
      <c r="B10" s="24" t="s">
        <v>16</v>
      </c>
      <c r="C10" s="51" t="s">
        <v>26</v>
      </c>
      <c r="D10" s="2">
        <f>365.25*24/4</f>
        <v>2191.5</v>
      </c>
      <c r="E10" s="20" t="s">
        <v>6</v>
      </c>
      <c r="F10" s="1">
        <f>CONVERT(D10,"hr","s")</f>
        <v>7889400</v>
      </c>
      <c r="G10" s="7" t="s">
        <v>41</v>
      </c>
    </row>
    <row r="11" spans="1:7" ht="18" x14ac:dyDescent="0.35">
      <c r="B11" s="24" t="s">
        <v>27</v>
      </c>
      <c r="C11" s="51" t="s">
        <v>28</v>
      </c>
      <c r="D11" s="52">
        <v>0.95</v>
      </c>
      <c r="E11" s="20" t="s">
        <v>3</v>
      </c>
      <c r="F11" s="1">
        <f>R_D</f>
        <v>0.95</v>
      </c>
      <c r="G11" s="7" t="s">
        <v>3</v>
      </c>
    </row>
    <row r="12" spans="1:7" ht="18" x14ac:dyDescent="0.35">
      <c r="B12" s="24" t="s">
        <v>29</v>
      </c>
      <c r="C12" s="51" t="s">
        <v>32</v>
      </c>
      <c r="D12" s="53">
        <v>1.3</v>
      </c>
      <c r="E12" s="20" t="s">
        <v>3</v>
      </c>
      <c r="F12" s="20"/>
      <c r="G12" s="7" t="s">
        <v>3</v>
      </c>
    </row>
    <row r="13" spans="1:7" x14ac:dyDescent="0.25">
      <c r="B13" s="6" t="s">
        <v>7</v>
      </c>
      <c r="C13" s="1"/>
      <c r="D13" s="2" t="s">
        <v>82</v>
      </c>
      <c r="E13" s="1" t="s">
        <v>3</v>
      </c>
      <c r="F13" s="20"/>
      <c r="G13" s="7" t="s">
        <v>3</v>
      </c>
    </row>
    <row r="14" spans="1:7" x14ac:dyDescent="0.25">
      <c r="B14" s="6" t="s">
        <v>45</v>
      </c>
      <c r="C14" s="1"/>
      <c r="D14" s="2" t="s">
        <v>43</v>
      </c>
      <c r="E14" s="1"/>
      <c r="F14" s="1"/>
      <c r="G14" s="7" t="s">
        <v>3</v>
      </c>
    </row>
    <row r="15" spans="1:7" x14ac:dyDescent="0.25">
      <c r="B15" s="24" t="s">
        <v>14</v>
      </c>
      <c r="C15" s="20" t="s">
        <v>12</v>
      </c>
      <c r="D15" s="101">
        <f>CONVERT(D9,"hr","min")*D10</f>
        <v>14463900</v>
      </c>
      <c r="E15" s="20" t="s">
        <v>10</v>
      </c>
      <c r="F15" s="1"/>
      <c r="G15" s="7" t="s">
        <v>3</v>
      </c>
    </row>
    <row r="16" spans="1:7" x14ac:dyDescent="0.25">
      <c r="B16" s="6" t="s">
        <v>35</v>
      </c>
      <c r="C16" s="1" t="s">
        <v>4</v>
      </c>
      <c r="D16" s="20">
        <f>_xlfn.XLOOKUP(D13,Bearing_Type,'REFERENCE (Shigleys Tables)'!$AE$4:$AE$7)</f>
        <v>3</v>
      </c>
      <c r="E16" s="1" t="s">
        <v>3</v>
      </c>
      <c r="F16" s="1"/>
      <c r="G16" s="7" t="s">
        <v>3</v>
      </c>
    </row>
    <row r="17" spans="1:8" x14ac:dyDescent="0.25">
      <c r="B17" s="6" t="s">
        <v>47</v>
      </c>
      <c r="C17" s="1" t="s">
        <v>46</v>
      </c>
      <c r="D17" s="20">
        <f>_xlfn.XLOOKUP(D14,Inner_Outer,'REFERENCE (Shigleys Tables)'!AG3:AG4)</f>
        <v>1</v>
      </c>
      <c r="E17" s="1"/>
      <c r="F17" s="1"/>
      <c r="G17" s="7" t="s">
        <v>3</v>
      </c>
    </row>
    <row r="18" spans="1:8" ht="18.75" thickBot="1" x14ac:dyDescent="0.4">
      <c r="A18" s="54"/>
      <c r="B18" s="8" t="s">
        <v>34</v>
      </c>
      <c r="C18" s="25" t="s">
        <v>33</v>
      </c>
      <c r="D18" s="96">
        <f>D15/D19</f>
        <v>14.463900000000001</v>
      </c>
      <c r="E18" s="25" t="s">
        <v>3</v>
      </c>
      <c r="F18" s="25"/>
      <c r="G18" s="9"/>
    </row>
    <row r="19" spans="1:8" ht="18" x14ac:dyDescent="0.35">
      <c r="A19" s="54"/>
      <c r="B19" s="6" t="s">
        <v>36</v>
      </c>
      <c r="C19" s="1" t="s">
        <v>24</v>
      </c>
      <c r="D19" s="78">
        <f>10^6</f>
        <v>1000000</v>
      </c>
      <c r="E19" s="1" t="s">
        <v>10</v>
      </c>
      <c r="F19" s="1"/>
      <c r="G19" s="7"/>
    </row>
    <row r="20" spans="1:8" ht="18" x14ac:dyDescent="0.35">
      <c r="A20" s="133" t="s">
        <v>37</v>
      </c>
      <c r="B20" s="6" t="s">
        <v>2</v>
      </c>
      <c r="C20" s="1" t="s">
        <v>25</v>
      </c>
      <c r="D20" s="79">
        <v>0.9</v>
      </c>
      <c r="E20" s="1" t="s">
        <v>3</v>
      </c>
      <c r="F20" s="1"/>
      <c r="G20" s="7"/>
    </row>
    <row r="21" spans="1:8" ht="18" x14ac:dyDescent="0.35">
      <c r="A21" s="133"/>
      <c r="B21" s="6"/>
      <c r="C21" s="1" t="s">
        <v>30</v>
      </c>
      <c r="D21" s="80">
        <v>0.02</v>
      </c>
      <c r="E21" s="1"/>
      <c r="F21" s="1"/>
      <c r="G21" s="7"/>
    </row>
    <row r="22" spans="1:8" x14ac:dyDescent="0.25">
      <c r="A22" s="133"/>
      <c r="B22" s="6"/>
      <c r="C22" s="1" t="s">
        <v>31</v>
      </c>
      <c r="D22" s="80">
        <v>1.4830000000000001</v>
      </c>
      <c r="E22" s="1"/>
      <c r="F22" s="1"/>
      <c r="G22" s="7"/>
    </row>
    <row r="23" spans="1:8" ht="15.75" thickBot="1" x14ac:dyDescent="0.3">
      <c r="B23" s="6"/>
      <c r="C23" s="77" t="s">
        <v>38</v>
      </c>
      <c r="D23" s="80">
        <v>4.4589999999999996</v>
      </c>
      <c r="E23" s="1"/>
      <c r="F23" s="1"/>
      <c r="G23" s="7"/>
    </row>
    <row r="24" spans="1:8" x14ac:dyDescent="0.25">
      <c r="A24" s="139" t="s">
        <v>112</v>
      </c>
      <c r="B24" s="3" t="s">
        <v>93</v>
      </c>
      <c r="C24" s="93" t="s">
        <v>92</v>
      </c>
      <c r="D24" s="95">
        <f>(a_f*D8)*(D18/(x_0+(D23-x_0)*((1-R_D)^(1/D22))))^(1/D16)</f>
        <v>1815.1318185816074</v>
      </c>
      <c r="E24" s="32" t="s">
        <v>11</v>
      </c>
      <c r="F24" s="32">
        <f>CONVERT(D24,"lbf","kN")</f>
        <v>8.0741085899618064</v>
      </c>
      <c r="G24" s="5" t="s">
        <v>39</v>
      </c>
    </row>
    <row r="25" spans="1:8" x14ac:dyDescent="0.25">
      <c r="A25" s="139"/>
      <c r="B25" s="6" t="s">
        <v>94</v>
      </c>
      <c r="C25" s="77" t="s">
        <v>103</v>
      </c>
      <c r="D25" s="20">
        <f>CONVERT(F25,"mm","in")</f>
        <v>0.6692913385826772</v>
      </c>
      <c r="E25" s="1" t="s">
        <v>90</v>
      </c>
      <c r="F25" s="1">
        <f>IF(D13='REFERENCE (Shigleys Tables)'!AD4,_xlfn.XLOOKUP(F24,'REFERENCE (Shigleys Tables)'!$O$6:$O$25,'REFERENCE (Shigleys Tables)'!$I$6:$I$25,'REFERENCE (Shigleys Tables)'!$I$6,1),IF(D13='REFERENCE (Shigleys Tables)'!AD5,_xlfn.XLOOKUP(F24,'REFERENCE (Shigleys Tables)'!$Q$6:$Q$25,'REFERENCE (Shigleys Tables)'!$I$6:$I$25,'REFERENCE (Shigleys Tables)'!$I$6,1),IF(D13='REFERENCE (Shigleys Tables)'!AD6,_xlfn.XLOOKUP(F24,'REFERENCE (Shigleys Tables)'!$W$6:$W$26,'REFERENCE (Shigleys Tables)'!$T$6:$T$26,'REFERENCE (Shigleys Tables)'!$T$6,1),IF(D13='REFERENCE (Shigleys Tables)'!AD7,_xlfn.XLOOKUP(F24,'REFERENCE (Shigleys Tables)'!$AA$6:$AA$26,'REFERENCE (Shigleys Tables)'!$T$6:$T$26,'REFERENCE (Shigleys Tables)'!$T$6,1)))))</f>
        <v>17</v>
      </c>
      <c r="G25" s="7" t="s">
        <v>67</v>
      </c>
      <c r="H25" s="102"/>
    </row>
    <row r="26" spans="1:8" x14ac:dyDescent="0.25">
      <c r="A26" s="139"/>
      <c r="B26" s="6" t="s">
        <v>95</v>
      </c>
      <c r="C26" s="20" t="s">
        <v>96</v>
      </c>
      <c r="D26" s="20">
        <f>CONVERT(F26,"kN","lbf")</f>
        <v>1011.6402439486972</v>
      </c>
      <c r="E26" s="1" t="s">
        <v>11</v>
      </c>
      <c r="F26" s="1">
        <f>IF(D13='REFERENCE (Shigleys Tables)'!AD4,_xlfn.XLOOKUP(F25,'REFERENCE (Shigleys Tables)'!$I$6:$I$25,'REFERENCE (Shigleys Tables)'!$P$6:$P$25),IF(D13='REFERENCE (Shigleys Tables)'!AD5,_xlfn.XLOOKUP(F25,'REFERENCE (Shigleys Tables)'!$I$6:$I$25,'REFERENCE (Shigleys Tables)'!$R$6:$R$25),IF(D13='REFERENCE (Shigleys Tables)'!AD6,_xlfn.XLOOKUP(F25,'REFERENCE (Shigleys Tables)'!$T$6:$T$26,'REFERENCE (Shigleys Tables)'!$X$6:$X$26),IF(D13='REFERENCE (Shigleys Tables)'!AD7,_xlfn.XLOOKUP(F25,'REFERENCE (Shigleys Tables)'!$T$6:$T$26,'REFERENCE (Shigleys Tables)'!$AB$6:$AB$26)))))</f>
        <v>4.5</v>
      </c>
      <c r="G26" s="7" t="s">
        <v>39</v>
      </c>
    </row>
    <row r="27" spans="1:8" ht="18" x14ac:dyDescent="0.35">
      <c r="A27" s="139"/>
      <c r="B27" s="24" t="s">
        <v>86</v>
      </c>
      <c r="C27" s="20" t="s">
        <v>61</v>
      </c>
      <c r="D27" s="20">
        <f>D7/(D17*F_D)</f>
        <v>0.93535103973646283</v>
      </c>
      <c r="E27" s="1"/>
      <c r="F27" s="1"/>
      <c r="G27" s="7"/>
    </row>
    <row r="28" spans="1:8" x14ac:dyDescent="0.25">
      <c r="A28" s="139"/>
      <c r="B28" s="6" t="s">
        <v>91</v>
      </c>
      <c r="C28" s="20" t="s">
        <v>87</v>
      </c>
      <c r="D28" s="76">
        <f>D7/D26</f>
        <v>0.44907268440285447</v>
      </c>
      <c r="E28" s="1" t="s">
        <v>3</v>
      </c>
      <c r="F28" s="1">
        <f>D28</f>
        <v>0.44907268440285447</v>
      </c>
      <c r="G28" s="7" t="s">
        <v>3</v>
      </c>
    </row>
    <row r="29" spans="1:8" ht="15.75" thickBot="1" x14ac:dyDescent="0.3">
      <c r="A29" s="139"/>
      <c r="B29" s="8" t="s">
        <v>97</v>
      </c>
      <c r="C29" s="94" t="s">
        <v>98</v>
      </c>
      <c r="D29" s="96">
        <f>IF(D27&gt;_xlfn.XLOOKUP(D28,'REFERENCE (Shigleys Tables)'!$B$4:$B$16,'REFERENCE (Shigleys Tables)'!$C$4:$C$16,,-1),_xlfn.XLOOKUP(D28,'REFERENCE (Shigleys Tables)'!$B$4:$B$16,'REFERENCE (Shigleys Tables)'!$F$4:$F$16,,-1)*D17*F_D+_xlfn.XLOOKUP(D28,'REFERENCE (Shigleys Tables)'!$B$4:$B$16,'REFERENCE (Shigleys Tables)'!$G$4:$G$16,,-1)*Calc!D7,Calc!D17*F_D)</f>
        <v>744.46400000000006</v>
      </c>
      <c r="E29" s="25" t="s">
        <v>11</v>
      </c>
      <c r="F29" s="25">
        <f>CONVERT(D29,"lbf","kN")</f>
        <v>3.3115408565832931</v>
      </c>
      <c r="G29" s="9" t="s">
        <v>39</v>
      </c>
    </row>
    <row r="30" spans="1:8" x14ac:dyDescent="0.25">
      <c r="A30" s="139" t="s">
        <v>113</v>
      </c>
      <c r="B30" s="3" t="s">
        <v>100</v>
      </c>
      <c r="C30" s="93" t="s">
        <v>99</v>
      </c>
      <c r="D30" s="95">
        <f>(a_f*D29)*(D18/(x_0+(D23-x_0)*((1-R_D)^(1/D22))))^(1/D16)</f>
        <v>2782.1706695255052</v>
      </c>
      <c r="E30" s="32" t="s">
        <v>11</v>
      </c>
      <c r="F30" s="32">
        <f>CONVERT(D30,"lbf","kN")</f>
        <v>12.375711709527129</v>
      </c>
      <c r="G30" s="5" t="s">
        <v>39</v>
      </c>
    </row>
    <row r="31" spans="1:8" x14ac:dyDescent="0.25">
      <c r="A31" s="139"/>
      <c r="B31" s="6" t="s">
        <v>101</v>
      </c>
      <c r="C31" s="77" t="s">
        <v>103</v>
      </c>
      <c r="D31" s="1">
        <f>CONVERT(F31,"mm","in")</f>
        <v>0.78740157480314965</v>
      </c>
      <c r="E31" s="1" t="s">
        <v>90</v>
      </c>
      <c r="F31" s="1">
        <f>IF(D13='REFERENCE (Shigleys Tables)'!AD4,_xlfn.XLOOKUP(F30,'REFERENCE (Shigleys Tables)'!O6:O25,'REFERENCE (Shigleys Tables)'!I6:I25,'REFERENCE (Shigleys Tables)'!I6,1),IF(D13='REFERENCE (Shigleys Tables)'!AD5,_xlfn.XLOOKUP(F30,'REFERENCE (Shigleys Tables)'!Q6:Q25,'REFERENCE (Shigleys Tables)'!I6:I25,'REFERENCE (Shigleys Tables)'!I6,1),IF(D13='REFERENCE (Shigleys Tables)'!AD6,_xlfn.XLOOKUP(F30,'REFERENCE (Shigleys Tables)'!W6:W26,'REFERENCE (Shigleys Tables)'!T6:T26,'REFERENCE (Shigleys Tables)'!T6,1),IF(D13='REFERENCE (Shigleys Tables)'!AD7,_xlfn.XLOOKUP(F30,'REFERENCE (Shigleys Tables)'!AA6:AA26,'REFERENCE (Shigleys Tables)'!T6:T26,'REFERENCE (Shigleys Tables)'!T6,1)))))</f>
        <v>20</v>
      </c>
      <c r="G31" s="7" t="s">
        <v>67</v>
      </c>
    </row>
    <row r="32" spans="1:8" x14ac:dyDescent="0.25">
      <c r="A32" s="139"/>
      <c r="B32" s="6" t="s">
        <v>104</v>
      </c>
      <c r="C32" s="20" t="s">
        <v>105</v>
      </c>
      <c r="D32" s="1">
        <f>CONVERT(F32,"kN","lbf")</f>
        <v>1393.815447218205</v>
      </c>
      <c r="E32" s="1" t="s">
        <v>11</v>
      </c>
      <c r="F32" s="1">
        <f>IF(D13='REFERENCE (Shigleys Tables)'!AD4,_xlfn.XLOOKUP(F31,'REFERENCE (Shigleys Tables)'!I6:I25,'REFERENCE (Shigleys Tables)'!P6:P25),IF(D13='REFERENCE (Shigleys Tables)'!AD5,_xlfn.XLOOKUP(F31,'REFERENCE (Shigleys Tables)'!I6:I25,'REFERENCE (Shigleys Tables)'!R6:R25),IF(D13='REFERENCE (Shigleys Tables)'!AD6,_xlfn.XLOOKUP(F31,'REFERENCE (Shigleys Tables)'!T6:T26,'REFERENCE (Shigleys Tables)'!X6:X26),IF(D13='REFERENCE (Shigleys Tables)'!AD7,_xlfn.XLOOKUP(F31,'REFERENCE (Shigleys Tables)'!T6:T26,'REFERENCE (Shigleys Tables)'!AB6:AB26)))))</f>
        <v>6.2</v>
      </c>
      <c r="G32" s="7" t="s">
        <v>39</v>
      </c>
    </row>
    <row r="33" spans="1:9" x14ac:dyDescent="0.25">
      <c r="A33" s="139"/>
      <c r="B33" s="6" t="s">
        <v>102</v>
      </c>
      <c r="C33" s="20" t="s">
        <v>87</v>
      </c>
      <c r="D33" s="1">
        <f>D7/D32</f>
        <v>0.32593985158271699</v>
      </c>
      <c r="E33" s="1" t="s">
        <v>3</v>
      </c>
      <c r="F33" s="1">
        <f>D33</f>
        <v>0.32593985158271699</v>
      </c>
      <c r="G33" s="7" t="s">
        <v>3</v>
      </c>
    </row>
    <row r="34" spans="1:9" ht="15.75" thickBot="1" x14ac:dyDescent="0.3">
      <c r="A34" s="139"/>
      <c r="B34" s="8" t="s">
        <v>106</v>
      </c>
      <c r="C34" s="94" t="s">
        <v>107</v>
      </c>
      <c r="D34" s="25">
        <f>IF(D27&gt;_xlfn.XLOOKUP(D33,'REFERENCE (Shigleys Tables)'!B4:B16,'REFERENCE (Shigleys Tables)'!C4:C16,,-1),_xlfn.XLOOKUP(D33,'REFERENCE (Shigleys Tables)'!B4:B16,'REFERENCE (Shigleys Tables)'!F4:F16,,-1)*D17*F_D+_xlfn.XLOOKUP(D33,'REFERENCE (Shigleys Tables)'!B4:B16,'REFERENCE (Shigleys Tables)'!G4:G16,,-1)*Calc!D7,Calc!D17*F_D)</f>
        <v>794.4369999999999</v>
      </c>
      <c r="E34" s="25" t="s">
        <v>11</v>
      </c>
      <c r="F34" s="25">
        <f>CONVERT(D34,"lbf","kN")</f>
        <v>3.5338318353627054</v>
      </c>
      <c r="G34" s="9" t="s">
        <v>39</v>
      </c>
    </row>
    <row r="35" spans="1:9" x14ac:dyDescent="0.25">
      <c r="A35" s="139" t="s">
        <v>114</v>
      </c>
      <c r="B35" s="3" t="s">
        <v>108</v>
      </c>
      <c r="C35" s="93" t="s">
        <v>109</v>
      </c>
      <c r="D35" s="32">
        <f>(a_f*D34)*(D18/(x_0+(D23-x_0)*((1-R_D)^(1/D22))))^(1/D16)</f>
        <v>2968.9270672400999</v>
      </c>
      <c r="E35" s="32" t="s">
        <v>11</v>
      </c>
      <c r="F35" s="32">
        <f>CONVERT(D35,"lbf","kN")</f>
        <v>13.206445554629376</v>
      </c>
      <c r="G35" s="5" t="s">
        <v>39</v>
      </c>
      <c r="H35" s="10"/>
    </row>
    <row r="36" spans="1:9" x14ac:dyDescent="0.25">
      <c r="A36" s="139"/>
      <c r="B36" s="6" t="s">
        <v>111</v>
      </c>
      <c r="C36" s="77" t="s">
        <v>103</v>
      </c>
      <c r="D36" s="1">
        <f>CONVERT(F36,"mm","in")</f>
        <v>0.98425196850393704</v>
      </c>
      <c r="E36" s="1" t="s">
        <v>90</v>
      </c>
      <c r="F36" s="1">
        <f>IF(D13='REFERENCE (Shigleys Tables)'!AD4,_xlfn.XLOOKUP(F35,'REFERENCE (Shigleys Tables)'!O6:O25,'REFERENCE (Shigleys Tables)'!I6:I25,'REFERENCE (Shigleys Tables)'!I6,1),IF(D13='REFERENCE (Shigleys Tables)'!AD5,_xlfn.XLOOKUP(F35,'REFERENCE (Shigleys Tables)'!Q6:Q25,'REFERENCE (Shigleys Tables)'!I6:I25,'REFERENCE (Shigleys Tables)'!I6,1),IF(D13='REFERENCE (Shigleys Tables)'!AD6,_xlfn.XLOOKUP(F35,'REFERENCE (Shigleys Tables)'!W6:W26,'REFERENCE (Shigleys Tables)'!T6:T26,'REFERENCE (Shigleys Tables)'!T6,1),IF(D13='REFERENCE (Shigleys Tables)'!AD7,_xlfn.XLOOKUP(F35,'REFERENCE (Shigleys Tables)'!AA6:AA26,'REFERENCE (Shigleys Tables)'!T6:T26,'REFERENCE (Shigleys Tables)'!T6,1)))))</f>
        <v>25</v>
      </c>
      <c r="G36" s="7" t="s">
        <v>67</v>
      </c>
      <c r="I36" s="14"/>
    </row>
    <row r="37" spans="1:9" x14ac:dyDescent="0.25">
      <c r="A37" s="139"/>
      <c r="B37" s="6" t="s">
        <v>115</v>
      </c>
      <c r="C37" s="20" t="s">
        <v>110</v>
      </c>
      <c r="D37" s="1">
        <f>CONVERT(F37,"kN","lbf")</f>
        <v>1562.4221545429878</v>
      </c>
      <c r="E37" s="1" t="s">
        <v>11</v>
      </c>
      <c r="F37" s="1">
        <f>IF(D13='REFERENCE (Shigleys Tables)'!AD4,_xlfn.XLOOKUP(F36,'REFERENCE (Shigleys Tables)'!I6:I25,'REFERENCE (Shigleys Tables)'!P6:P25),IF(D13='REFERENCE (Shigleys Tables)'!AD5,_xlfn.XLOOKUP(F36,'REFERENCE (Shigleys Tables)'!I6:I25,'REFERENCE (Shigleys Tables)'!R6:R25),IF(D13='REFERENCE (Shigleys Tables)'!AD6,_xlfn.XLOOKUP(F36,'REFERENCE (Shigleys Tables)'!T6:T26,'REFERENCE (Shigleys Tables)'!X6:X26),IF(D13='REFERENCE (Shigleys Tables)'!AD7,_xlfn.XLOOKUP(F36,'REFERENCE (Shigleys Tables)'!T6:T26,'REFERENCE (Shigleys Tables)'!AB6:AB26)))))</f>
        <v>6.95</v>
      </c>
      <c r="G37" s="7" t="s">
        <v>39</v>
      </c>
    </row>
    <row r="38" spans="1:9" x14ac:dyDescent="0.25">
      <c r="A38" s="139"/>
      <c r="B38" s="6" t="s">
        <v>116</v>
      </c>
      <c r="C38" s="20" t="s">
        <v>87</v>
      </c>
      <c r="D38" s="1">
        <f>D7/D37</f>
        <v>0.29076648630400653</v>
      </c>
      <c r="E38" s="1" t="s">
        <v>3</v>
      </c>
      <c r="F38" s="1">
        <f>D38</f>
        <v>0.29076648630400653</v>
      </c>
      <c r="G38" s="7" t="s">
        <v>3</v>
      </c>
    </row>
    <row r="39" spans="1:9" ht="15.75" thickBot="1" x14ac:dyDescent="0.3">
      <c r="A39" s="139"/>
      <c r="B39" s="8" t="s">
        <v>117</v>
      </c>
      <c r="C39" s="94" t="s">
        <v>120</v>
      </c>
      <c r="D39" s="25">
        <f>IF(D27&gt;_xlfn.XLOOKUP(D38,'REFERENCE (Shigleys Tables)'!B4:B16,'REFERENCE (Shigleys Tables)'!C4:C16,,-1),_xlfn.XLOOKUP(D38,'REFERENCE (Shigleys Tables)'!B4:B16,'REFERENCE (Shigleys Tables)'!F4:F16,,-1)*D17*F_D+_xlfn.XLOOKUP(D38,'REFERENCE (Shigleys Tables)'!B4:B16,'REFERENCE (Shigleys Tables)'!G4:G16,,-1)*Calc!D7,Calc!D17*F_D)</f>
        <v>794.4369999999999</v>
      </c>
      <c r="E39" s="25" t="s">
        <v>11</v>
      </c>
      <c r="F39" s="25">
        <f>CONVERT(D39,"lbf","kN")</f>
        <v>3.5338318353627054</v>
      </c>
      <c r="G39" s="9" t="s">
        <v>39</v>
      </c>
    </row>
    <row r="40" spans="1:9" x14ac:dyDescent="0.25">
      <c r="A40" s="19"/>
      <c r="B40" s="21" t="s">
        <v>121</v>
      </c>
      <c r="C40" s="22" t="s">
        <v>88</v>
      </c>
      <c r="D40" s="32">
        <f>CONVERT(F40,"kN","lbf")</f>
        <v>3147.3252033959466</v>
      </c>
      <c r="E40" s="32" t="s">
        <v>11</v>
      </c>
      <c r="F40" s="32">
        <f>IF(D13='REFERENCE (Shigleys Tables)'!AD4,_xlfn.XLOOKUP(Calc!F36,'REFERENCE (Shigleys Tables)'!I6:I25,'REFERENCE (Shigleys Tables)'!O6:O25,,-1))</f>
        <v>14</v>
      </c>
      <c r="G40" s="5" t="s">
        <v>39</v>
      </c>
    </row>
    <row r="41" spans="1:9" x14ac:dyDescent="0.25">
      <c r="B41" s="6" t="s">
        <v>118</v>
      </c>
      <c r="C41" s="77" t="s">
        <v>119</v>
      </c>
      <c r="D41" s="1">
        <f>(a_f*D39)*(D18/(x_0+(D23-x_0)*((1-R_D)^(1/D22))))^(1/D16)</f>
        <v>2968.9270672400999</v>
      </c>
      <c r="E41" s="1" t="s">
        <v>11</v>
      </c>
      <c r="F41" s="1">
        <f>CONVERT(D41,"lbf","kN")</f>
        <v>13.206445554629376</v>
      </c>
      <c r="G41" s="7" t="s">
        <v>39</v>
      </c>
    </row>
    <row r="42" spans="1:9" x14ac:dyDescent="0.25">
      <c r="B42" s="24" t="s">
        <v>89</v>
      </c>
      <c r="C42" s="77"/>
      <c r="D42" s="1" t="str">
        <f>IF(D41&lt;D40,"Yes","No")</f>
        <v>Yes</v>
      </c>
      <c r="E42" s="1" t="s">
        <v>3</v>
      </c>
      <c r="F42" s="1" t="str">
        <f>D42</f>
        <v>Yes</v>
      </c>
      <c r="G42" s="7" t="s">
        <v>3</v>
      </c>
    </row>
    <row r="43" spans="1:9" x14ac:dyDescent="0.25">
      <c r="B43" s="6" t="s">
        <v>133</v>
      </c>
      <c r="C43" s="77" t="s">
        <v>132</v>
      </c>
      <c r="D43" s="86">
        <f>IF(D42="Yes",D36,_xlfn.CONCAT("Unknown, but larger than ",D36,"in"))</f>
        <v>0.98425196850393704</v>
      </c>
      <c r="E43" s="1" t="s">
        <v>90</v>
      </c>
      <c r="F43" s="81">
        <f>IF(D42="Yes",F36,_xlfn.CONCAT("Unknown, but larger than ",F36,"in"))</f>
        <v>25</v>
      </c>
      <c r="G43" s="7" t="s">
        <v>67</v>
      </c>
    </row>
    <row r="44" spans="1:9" ht="15.75" thickBot="1" x14ac:dyDescent="0.3">
      <c r="B44" s="87" t="s">
        <v>134</v>
      </c>
      <c r="C44" s="88" t="s">
        <v>22</v>
      </c>
      <c r="D44" s="89">
        <f>IF(D42="Yes",D41,"Unknown")</f>
        <v>2968.9270672400999</v>
      </c>
      <c r="E44" s="90" t="s">
        <v>11</v>
      </c>
      <c r="F44" s="91">
        <f>CONVERT(D44,"lbf","kN")</f>
        <v>13.206445554629376</v>
      </c>
      <c r="G44" s="92" t="s">
        <v>39</v>
      </c>
    </row>
  </sheetData>
  <mergeCells count="4">
    <mergeCell ref="A20:A22"/>
    <mergeCell ref="A30:A34"/>
    <mergeCell ref="A35:A39"/>
    <mergeCell ref="A24:A29"/>
  </mergeCells>
  <conditionalFormatting sqref="D42">
    <cfRule type="containsText" dxfId="1" priority="1" operator="containsText" text="No">
      <formula>NOT(ISERROR(SEARCH("No",D42)))</formula>
    </cfRule>
    <cfRule type="containsText" dxfId="0" priority="2" operator="containsText" text="Yes">
      <formula>NOT(ISERROR(SEARCH("Yes",D42)))</formula>
    </cfRule>
  </conditionalFormatting>
  <dataValidations count="2">
    <dataValidation type="list" allowBlank="1" showInputMessage="1" showErrorMessage="1" sqref="D14" xr:uid="{646225D7-D501-42D6-8E8F-B8A878C14DA5}">
      <formula1>Inner_Outer</formula1>
    </dataValidation>
    <dataValidation type="list" allowBlank="1" showInputMessage="1" showErrorMessage="1" sqref="D13" xr:uid="{0179676D-9836-41B4-B164-4D179B1E44A7}">
      <formula1>Bearing_Type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Simple</vt:lpstr>
      <vt:lpstr>REFERENCE (Shigleys Tables)</vt:lpstr>
      <vt:lpstr>Calc</vt:lpstr>
      <vt:lpstr>Calc!a_f</vt:lpstr>
      <vt:lpstr>Calc!Bearing_Type</vt:lpstr>
      <vt:lpstr>Simple!Bearing_Type</vt:lpstr>
      <vt:lpstr>Calc!F_D</vt:lpstr>
      <vt:lpstr>Calc!F_r</vt:lpstr>
      <vt:lpstr>Calc!Inner_Outer</vt:lpstr>
      <vt:lpstr>Calc!omega_D</vt:lpstr>
      <vt:lpstr>Calc!R_D</vt:lpstr>
      <vt:lpstr>Calc!x_0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2022-08-28T18:47:20Z</dcterms:created>
  <dcterms:modified xsi:type="dcterms:W3CDTF">2022-08-29T02:14:50Z</dcterms:modified>
</cp:coreProperties>
</file>