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https://ontextron-my.sharepoint.com/personal/jwilli42_txt_textron_com/Documents/Desktop/Temp folder to place stuff in then delete/to Github/protected/"/>
    </mc:Choice>
  </mc:AlternateContent>
  <xr:revisionPtr revIDLastSave="0" documentId="8_{5B927CDE-60CB-45F7-AE9C-529E7AAC639E}" xr6:coauthVersionLast="46" xr6:coauthVersionMax="46" xr10:uidLastSave="{00000000-0000-0000-0000-000000000000}"/>
  <bookViews>
    <workbookView xWindow="-120" yWindow="-120" windowWidth="29040" windowHeight="15840" xr2:uid="{D6CBD572-0D52-4DBF-984C-B3A1C7419854}"/>
  </bookViews>
  <sheets>
    <sheet name="Bolted Member Stiffness" sheetId="3" r:id="rId1"/>
  </sheets>
  <definedNames>
    <definedName name="ConnType">'Bolted Member Stiffness'!$BB$9:$BB$10</definedName>
    <definedName name="Nutorthreaded">'Bolted Member Stiffness'!$BA$9:$BA$10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107" i="3" l="1"/>
  <c r="H108" i="3"/>
  <c r="H106" i="3"/>
  <c r="C98" i="3"/>
  <c r="C97" i="3"/>
  <c r="CD19" i="3"/>
  <c r="CD18" i="3"/>
  <c r="BI20" i="3"/>
  <c r="BX19" i="3"/>
  <c r="C81" i="3"/>
  <c r="C84" i="3" s="1"/>
  <c r="H81" i="3"/>
  <c r="H78" i="3"/>
  <c r="BF19" i="3"/>
  <c r="BH19" i="3" s="1"/>
  <c r="K80" i="3"/>
  <c r="BS18" i="3"/>
  <c r="BT18" i="3"/>
  <c r="BT19" i="3" s="1"/>
  <c r="BQ18" i="3"/>
  <c r="BR18" i="3"/>
  <c r="BR19" i="3" s="1"/>
  <c r="BQ19" i="3"/>
  <c r="BS19" i="3" s="1"/>
  <c r="BN18" i="3"/>
  <c r="BP18" i="3" s="1"/>
  <c r="BM18" i="3"/>
  <c r="BO18" i="3" s="1"/>
  <c r="BL19" i="3"/>
  <c r="BK19" i="3"/>
  <c r="BK18" i="3"/>
  <c r="BJ19" i="3"/>
  <c r="BJ18" i="3"/>
  <c r="BG19" i="3"/>
  <c r="BD19" i="3"/>
  <c r="BC19" i="3"/>
  <c r="C82" i="3"/>
  <c r="C80" i="3"/>
  <c r="C75" i="3"/>
  <c r="C68" i="3"/>
  <c r="H68" i="3"/>
  <c r="C63" i="3"/>
  <c r="C64" i="3" s="1"/>
  <c r="C95" i="3"/>
  <c r="C94" i="3"/>
  <c r="C83" i="3"/>
  <c r="C79" i="3"/>
  <c r="C74" i="3"/>
  <c r="C61" i="3"/>
  <c r="C96" i="3" s="1"/>
  <c r="H95" i="3"/>
  <c r="H83" i="3"/>
  <c r="H61" i="3"/>
  <c r="H63" i="3" s="1"/>
  <c r="H64" i="3" s="1"/>
  <c r="H67" i="3" s="1"/>
  <c r="C10" i="3"/>
  <c r="C17" i="3"/>
  <c r="C18" i="3" s="1"/>
  <c r="C19" i="3" s="1"/>
  <c r="H47" i="3"/>
  <c r="H42" i="3"/>
  <c r="H39" i="3"/>
  <c r="H40" i="3" s="1"/>
  <c r="H48" i="3" s="1"/>
  <c r="H18" i="3"/>
  <c r="H19" i="3" s="1"/>
  <c r="H24" i="3"/>
  <c r="H25" i="3" s="1"/>
  <c r="H26" i="3" s="1"/>
  <c r="H27" i="3" s="1"/>
  <c r="H22" i="3"/>
  <c r="H14" i="3"/>
  <c r="H46" i="3" s="1"/>
  <c r="C24" i="3"/>
  <c r="C25" i="3" s="1"/>
  <c r="C26" i="3" s="1"/>
  <c r="C27" i="3" s="1"/>
  <c r="C101" i="3" l="1"/>
  <c r="C100" i="3"/>
  <c r="BV19" i="3"/>
  <c r="BZ18" i="3" s="1"/>
  <c r="BZ19" i="3" s="1"/>
  <c r="BV18" i="3"/>
  <c r="BU19" i="3"/>
  <c r="BU18" i="3"/>
  <c r="H70" i="3"/>
  <c r="C73" i="3"/>
  <c r="C67" i="3"/>
  <c r="C70" i="3" s="1"/>
  <c r="H50" i="3"/>
  <c r="H96" i="3"/>
  <c r="H41" i="3"/>
  <c r="H51" i="3" s="1"/>
  <c r="H43" i="3"/>
  <c r="H15" i="3"/>
  <c r="H20" i="3"/>
  <c r="H21" i="3" s="1"/>
  <c r="H31" i="3" s="1"/>
  <c r="C39" i="3"/>
  <c r="C40" i="3" s="1"/>
  <c r="C48" i="3" s="1"/>
  <c r="H73" i="3"/>
  <c r="C47" i="3"/>
  <c r="C52" i="3"/>
  <c r="C14" i="3"/>
  <c r="C46" i="3" s="1"/>
  <c r="C20" i="3"/>
  <c r="C22" i="3"/>
  <c r="C42" i="3"/>
  <c r="CB18" i="3" l="1"/>
  <c r="CB19" i="3" s="1"/>
  <c r="C78" i="3"/>
  <c r="H45" i="3"/>
  <c r="H56" i="3" s="1"/>
  <c r="H79" i="3" s="1"/>
  <c r="H32" i="3"/>
  <c r="H74" i="3"/>
  <c r="H80" i="3" s="1"/>
  <c r="H99" i="3"/>
  <c r="H53" i="3"/>
  <c r="H54" i="3"/>
  <c r="H55" i="3" s="1"/>
  <c r="H52" i="3"/>
  <c r="C43" i="3"/>
  <c r="C50" i="3"/>
  <c r="C41" i="3"/>
  <c r="C51" i="3" s="1"/>
  <c r="C15" i="3"/>
  <c r="C21" i="3"/>
  <c r="C31" i="3" s="1"/>
  <c r="C85" i="3" l="1"/>
  <c r="C99" i="3"/>
  <c r="H75" i="3"/>
  <c r="H82" i="3"/>
  <c r="BE19" i="3" s="1"/>
  <c r="H57" i="3"/>
  <c r="H94" i="3" s="1"/>
  <c r="H100" i="3" s="1"/>
  <c r="C53" i="3"/>
  <c r="C54" i="3"/>
  <c r="C45" i="3"/>
  <c r="C32" i="3"/>
  <c r="BP19" i="3" l="1"/>
  <c r="BG18" i="3"/>
  <c r="C102" i="3"/>
  <c r="H102" i="3"/>
  <c r="H84" i="3"/>
  <c r="H85" i="3" s="1"/>
  <c r="H101" i="3"/>
  <c r="C55" i="3"/>
  <c r="C56" i="3" s="1"/>
  <c r="C57" i="3" s="1"/>
  <c r="BM19" i="3" l="1"/>
  <c r="BI19" i="3"/>
  <c r="CA19" i="3" s="1"/>
  <c r="BN19" i="3" l="1"/>
  <c r="BW19" i="3"/>
  <c r="BW18" i="3"/>
  <c r="CC19" i="3"/>
  <c r="BY19"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Williams, Justin</author>
  </authors>
  <commentList>
    <comment ref="C5" authorId="0" shapeId="0" xr:uid="{858091AA-2CCE-44B9-B32B-6C0B3BA6444D}">
      <text>
        <r>
          <rPr>
            <b/>
            <sz val="9"/>
            <color indexed="81"/>
            <rFont val="Tahoma"/>
            <family val="2"/>
          </rPr>
          <t>Williams, Justin:</t>
        </r>
        <r>
          <rPr>
            <sz val="9"/>
            <color indexed="81"/>
            <rFont val="Tahoma"/>
            <family val="2"/>
          </rPr>
          <t xml:space="preserve">
Calculations may be done on these for typical scenarios or assumptions that have been made, but may need to be overwritten.
</t>
        </r>
      </text>
    </comment>
    <comment ref="B10" authorId="0" shapeId="0" xr:uid="{8B5EBFA1-3DCD-4B38-BC7C-0EC655CBAB2F}">
      <text>
        <r>
          <rPr>
            <b/>
            <sz val="9"/>
            <color indexed="81"/>
            <rFont val="Tahoma"/>
            <family val="2"/>
          </rPr>
          <t>Williams, Justin:</t>
        </r>
        <r>
          <rPr>
            <sz val="9"/>
            <color indexed="81"/>
            <rFont val="Tahoma"/>
            <family val="2"/>
          </rPr>
          <t xml:space="preserve">
Table A-31</t>
        </r>
      </text>
    </comment>
    <comment ref="G10" authorId="0" shapeId="0" xr:uid="{2696A432-9EA0-4655-8792-E04307B884DD}">
      <text>
        <r>
          <rPr>
            <b/>
            <sz val="9"/>
            <color indexed="81"/>
            <rFont val="Tahoma"/>
            <family val="2"/>
          </rPr>
          <t>Williams, Justin:</t>
        </r>
        <r>
          <rPr>
            <sz val="9"/>
            <color indexed="81"/>
            <rFont val="Tahoma"/>
            <family val="2"/>
          </rPr>
          <t xml:space="preserve">
Table A-31</t>
        </r>
      </text>
    </comment>
    <comment ref="B11" authorId="0" shapeId="0" xr:uid="{3E2A1A9B-E752-4E04-88DD-BE89E3F450BA}">
      <text>
        <r>
          <rPr>
            <b/>
            <sz val="9"/>
            <color indexed="81"/>
            <rFont val="Tahoma"/>
            <family val="2"/>
          </rPr>
          <t>Williams, Justin:</t>
        </r>
        <r>
          <rPr>
            <sz val="9"/>
            <color indexed="81"/>
            <rFont val="Tahoma"/>
            <family val="2"/>
          </rPr>
          <t xml:space="preserve">
Table A-32
Believe N and W refer to Narrow/Wide ?</t>
        </r>
      </text>
    </comment>
    <comment ref="G11" authorId="0" shapeId="0" xr:uid="{2B035D5F-54E2-4C34-9BC2-B80577B6EFFE}">
      <text>
        <r>
          <rPr>
            <b/>
            <sz val="9"/>
            <color indexed="81"/>
            <rFont val="Tahoma"/>
            <family val="2"/>
          </rPr>
          <t>Williams, Justin:</t>
        </r>
        <r>
          <rPr>
            <sz val="9"/>
            <color indexed="81"/>
            <rFont val="Tahoma"/>
            <family val="2"/>
          </rPr>
          <t xml:space="preserve">
Table A-32
Believe N and W refer to Narrow/Wide ?</t>
        </r>
      </text>
    </comment>
    <comment ref="B16" authorId="0" shapeId="0" xr:uid="{D80D13CE-9E1B-4D1C-86DB-67EB40CD1B5A}">
      <text>
        <r>
          <rPr>
            <b/>
            <sz val="9"/>
            <color indexed="81"/>
            <rFont val="Tahoma"/>
            <family val="2"/>
          </rPr>
          <t>Williams, Justin:</t>
        </r>
        <r>
          <rPr>
            <sz val="9"/>
            <color indexed="81"/>
            <rFont val="Tahoma"/>
            <family val="2"/>
          </rPr>
          <t xml:space="preserve">
Choose standard length Table A-17</t>
        </r>
      </text>
    </comment>
    <comment ref="G16" authorId="0" shapeId="0" xr:uid="{E7DD8F2E-BAF3-40BA-A297-0C96EC23DBE6}">
      <text>
        <r>
          <rPr>
            <b/>
            <sz val="9"/>
            <color indexed="81"/>
            <rFont val="Tahoma"/>
            <family val="2"/>
          </rPr>
          <t>Williams, Justin:</t>
        </r>
        <r>
          <rPr>
            <sz val="9"/>
            <color indexed="81"/>
            <rFont val="Tahoma"/>
            <family val="2"/>
          </rPr>
          <t xml:space="preserve">
Choose standard length Table A-17</t>
        </r>
      </text>
    </comment>
    <comment ref="B18" authorId="0" shapeId="0" xr:uid="{E2E19F0B-FABE-4B5B-8EF9-1F095FB517C9}">
      <text>
        <r>
          <rPr>
            <b/>
            <sz val="9"/>
            <color indexed="81"/>
            <rFont val="Tahoma"/>
            <family val="2"/>
          </rPr>
          <t>Williams, Justin:</t>
        </r>
        <r>
          <rPr>
            <sz val="9"/>
            <color indexed="81"/>
            <rFont val="Tahoma"/>
            <family val="2"/>
          </rPr>
          <t xml:space="preserve">
Overw</t>
        </r>
      </text>
    </comment>
    <comment ref="G18" authorId="0" shapeId="0" xr:uid="{23270ECB-1187-45F7-B26A-FD0673F2D8BA}">
      <text>
        <r>
          <rPr>
            <b/>
            <sz val="9"/>
            <color indexed="81"/>
            <rFont val="Tahoma"/>
            <family val="2"/>
          </rPr>
          <t>Williams, Justin:</t>
        </r>
        <r>
          <rPr>
            <sz val="9"/>
            <color indexed="81"/>
            <rFont val="Tahoma"/>
            <family val="2"/>
          </rPr>
          <t xml:space="preserve">
Overw</t>
        </r>
      </text>
    </comment>
    <comment ref="B19" authorId="0" shapeId="0" xr:uid="{A2511747-1B06-45E1-92B4-45FF05EA1155}">
      <text>
        <r>
          <rPr>
            <b/>
            <sz val="9"/>
            <color indexed="81"/>
            <rFont val="Tahoma"/>
            <family val="2"/>
          </rPr>
          <t>Williams, Justin:</t>
        </r>
        <r>
          <rPr>
            <sz val="9"/>
            <color indexed="81"/>
            <rFont val="Tahoma"/>
            <family val="2"/>
          </rPr>
          <t xml:space="preserve">
Table 8-7
Note different formula for english/metric</t>
        </r>
      </text>
    </comment>
    <comment ref="G19" authorId="0" shapeId="0" xr:uid="{468C5838-E3D0-4777-8DCD-9C5ECB53B7C4}">
      <text>
        <r>
          <rPr>
            <b/>
            <sz val="9"/>
            <color indexed="81"/>
            <rFont val="Tahoma"/>
            <family val="2"/>
          </rPr>
          <t>Williams, Justin:</t>
        </r>
        <r>
          <rPr>
            <sz val="9"/>
            <color indexed="81"/>
            <rFont val="Tahoma"/>
            <family val="2"/>
          </rPr>
          <t xml:space="preserve">
Table 8-7
Note different formula for english/metric</t>
        </r>
      </text>
    </comment>
    <comment ref="B28" authorId="0" shapeId="0" xr:uid="{EB9AC145-9446-47DD-875D-E0291C1847C0}">
      <text>
        <r>
          <rPr>
            <b/>
            <sz val="9"/>
            <color indexed="81"/>
            <rFont val="Tahoma"/>
            <family val="2"/>
          </rPr>
          <t>Williams, Justin:</t>
        </r>
        <r>
          <rPr>
            <sz val="9"/>
            <color indexed="81"/>
            <rFont val="Tahoma"/>
            <family val="2"/>
          </rPr>
          <t xml:space="preserve">
Can use root and pitch diameter to find, or use table 8-1</t>
        </r>
      </text>
    </comment>
    <comment ref="G28" authorId="0" shapeId="0" xr:uid="{95CDB571-A3CF-4759-8213-30A16D6F5E1C}">
      <text>
        <r>
          <rPr>
            <b/>
            <sz val="9"/>
            <color indexed="81"/>
            <rFont val="Tahoma"/>
            <family val="2"/>
          </rPr>
          <t>Williams, Justin:</t>
        </r>
        <r>
          <rPr>
            <sz val="9"/>
            <color indexed="81"/>
            <rFont val="Tahoma"/>
            <family val="2"/>
          </rPr>
          <t xml:space="preserve">
Can use root and pitch diameter to find, or use table 8-2</t>
        </r>
      </text>
    </comment>
    <comment ref="D31" authorId="0" shapeId="0" xr:uid="{B17490FD-93A7-40C2-8F3B-7A2C04527394}">
      <text>
        <r>
          <rPr>
            <b/>
            <sz val="9"/>
            <color indexed="81"/>
            <rFont val="Tahoma"/>
            <family val="2"/>
          </rPr>
          <t>Williams, Justin:</t>
        </r>
        <r>
          <rPr>
            <sz val="9"/>
            <color indexed="81"/>
            <rFont val="Tahoma"/>
            <family val="2"/>
          </rPr>
          <t xml:space="preserve">
Mega pounds per inch
(lbf*10^6)/in</t>
        </r>
      </text>
    </comment>
    <comment ref="A34" authorId="0" shapeId="0" xr:uid="{0453B440-CC1F-4074-8725-1C78A324B6AF}">
      <text>
        <r>
          <rPr>
            <b/>
            <sz val="9"/>
            <color indexed="81"/>
            <rFont val="Tahoma"/>
            <family val="2"/>
          </rPr>
          <t>Williams, Justin:</t>
        </r>
        <r>
          <rPr>
            <sz val="9"/>
            <color indexed="81"/>
            <rFont val="Tahoma"/>
            <family val="2"/>
          </rPr>
          <t xml:space="preserve">
See Figure 8-17</t>
        </r>
      </text>
    </comment>
    <comment ref="F34" authorId="0" shapeId="0" xr:uid="{B2314E1D-B741-443F-9CF8-20CD32854969}">
      <text>
        <r>
          <rPr>
            <b/>
            <sz val="9"/>
            <color indexed="81"/>
            <rFont val="Tahoma"/>
            <family val="2"/>
          </rPr>
          <t>Williams, Justin:</t>
        </r>
        <r>
          <rPr>
            <sz val="9"/>
            <color indexed="81"/>
            <rFont val="Tahoma"/>
            <family val="2"/>
          </rPr>
          <t xml:space="preserve">
See Figure 8-17</t>
        </r>
      </text>
    </comment>
    <comment ref="B38" authorId="0" shapeId="0" xr:uid="{C180C13B-BE28-41D6-A195-11E9F0F6DA75}">
      <text>
        <r>
          <rPr>
            <b/>
            <sz val="9"/>
            <color indexed="81"/>
            <rFont val="Tahoma"/>
            <family val="2"/>
          </rPr>
          <t>Williams, Justin:</t>
        </r>
        <r>
          <rPr>
            <sz val="9"/>
            <color indexed="81"/>
            <rFont val="Tahoma"/>
            <family val="2"/>
          </rPr>
          <t xml:space="preserve">
degree of frustra shape. Typically between 25-33 degrees
</t>
        </r>
      </text>
    </comment>
    <comment ref="G38" authorId="0" shapeId="0" xr:uid="{5ADE1DB9-C53D-4149-9483-D0E12F5D3300}">
      <text>
        <r>
          <rPr>
            <b/>
            <sz val="9"/>
            <color indexed="81"/>
            <rFont val="Tahoma"/>
            <family val="2"/>
          </rPr>
          <t>Williams, Justin:</t>
        </r>
        <r>
          <rPr>
            <sz val="9"/>
            <color indexed="81"/>
            <rFont val="Tahoma"/>
            <family val="2"/>
          </rPr>
          <t xml:space="preserve">
degree of frustra shape. Typically between 25-33 degrees
</t>
        </r>
      </text>
    </comment>
    <comment ref="B39" authorId="0" shapeId="0" xr:uid="{13835606-C1A6-43F5-8FAA-B0E3445E39F3}">
      <text>
        <r>
          <rPr>
            <b/>
            <sz val="9"/>
            <color indexed="81"/>
            <rFont val="Tahoma"/>
            <family val="2"/>
          </rPr>
          <t>Williams, Justin:</t>
        </r>
        <r>
          <rPr>
            <sz val="9"/>
            <color indexed="81"/>
            <rFont val="Tahoma"/>
            <family val="2"/>
          </rPr>
          <t xml:space="preserve">
Overwrite if known. Note this is NOT the diameter of a washer, but of the face of the bolt that contacts another member.</t>
        </r>
      </text>
    </comment>
    <comment ref="G39" authorId="0" shapeId="0" xr:uid="{054C1794-638A-49F3-A012-632D2DBBEAE3}">
      <text>
        <r>
          <rPr>
            <b/>
            <sz val="9"/>
            <color indexed="81"/>
            <rFont val="Tahoma"/>
            <family val="2"/>
          </rPr>
          <t>Williams, Justin:</t>
        </r>
        <r>
          <rPr>
            <sz val="9"/>
            <color indexed="81"/>
            <rFont val="Tahoma"/>
            <family val="2"/>
          </rPr>
          <t xml:space="preserve">
Overwrite if known. Note this is NOT the diameter of a washer, but of the face of the bolt that contacts another member.</t>
        </r>
      </text>
    </comment>
    <comment ref="B40" authorId="0" shapeId="0" xr:uid="{90453F0C-799E-40DE-9679-338B90F74593}">
      <text>
        <r>
          <rPr>
            <b/>
            <sz val="9"/>
            <color indexed="81"/>
            <rFont val="Tahoma"/>
            <family val="2"/>
          </rPr>
          <t>Williams, Justin:</t>
        </r>
        <r>
          <rPr>
            <sz val="9"/>
            <color indexed="81"/>
            <rFont val="Tahoma"/>
            <family val="2"/>
          </rPr>
          <t xml:space="preserve">
Overwrite if known. Note this is NOT the diameter of a washer, but of the face of the bolt that contacts another member.</t>
        </r>
      </text>
    </comment>
    <comment ref="G40" authorId="0" shapeId="0" xr:uid="{3F4925B3-7800-4C13-8DF4-2679650E8324}">
      <text>
        <r>
          <rPr>
            <b/>
            <sz val="9"/>
            <color indexed="81"/>
            <rFont val="Tahoma"/>
            <family val="2"/>
          </rPr>
          <t>Williams, Justin:</t>
        </r>
        <r>
          <rPr>
            <sz val="9"/>
            <color indexed="81"/>
            <rFont val="Tahoma"/>
            <family val="2"/>
          </rPr>
          <t xml:space="preserve">
Overwrite if known. Note this is NOT the diameter of a washer, but of the face of the bolt that contacts another member.</t>
        </r>
      </text>
    </comment>
    <comment ref="B42" authorId="0" shapeId="0" xr:uid="{B8609FE4-02BC-483A-BF39-774C5C00F379}">
      <text>
        <r>
          <rPr>
            <b/>
            <sz val="9"/>
            <color indexed="81"/>
            <rFont val="Tahoma"/>
            <family val="2"/>
          </rPr>
          <t>Williams, Justin:</t>
        </r>
        <r>
          <rPr>
            <sz val="9"/>
            <color indexed="81"/>
            <rFont val="Tahoma"/>
            <family val="2"/>
          </rPr>
          <t xml:space="preserve">
If unknown, enter diameter of bolt shank.</t>
        </r>
      </text>
    </comment>
    <comment ref="G42" authorId="0" shapeId="0" xr:uid="{CFEF7E23-37D2-4C16-9416-16E5A176908E}">
      <text>
        <r>
          <rPr>
            <b/>
            <sz val="9"/>
            <color indexed="81"/>
            <rFont val="Tahoma"/>
            <family val="2"/>
          </rPr>
          <t>Williams, Justin:</t>
        </r>
        <r>
          <rPr>
            <sz val="9"/>
            <color indexed="81"/>
            <rFont val="Tahoma"/>
            <family val="2"/>
          </rPr>
          <t xml:space="preserve">
If unknown, enter diameter of bolt shank.</t>
        </r>
      </text>
    </comment>
    <comment ref="D45" authorId="0" shapeId="0" xr:uid="{42493CBF-A8EA-4485-839E-79927E87618B}">
      <text>
        <r>
          <rPr>
            <b/>
            <sz val="9"/>
            <color indexed="81"/>
            <rFont val="Tahoma"/>
            <family val="2"/>
          </rPr>
          <t>Williams, Justin:</t>
        </r>
        <r>
          <rPr>
            <sz val="9"/>
            <color indexed="81"/>
            <rFont val="Tahoma"/>
            <family val="2"/>
          </rPr>
          <t xml:space="preserve">
Mega pounds per inch
(lbf*10^6)/in</t>
        </r>
      </text>
    </comment>
    <comment ref="B47" authorId="0" shapeId="0" xr:uid="{C4B75BDF-FEF8-47A7-A239-2A01FB77469E}">
      <text>
        <r>
          <rPr>
            <b/>
            <sz val="9"/>
            <color indexed="81"/>
            <rFont val="Tahoma"/>
            <family val="2"/>
          </rPr>
          <t>Williams, Justin:</t>
        </r>
        <r>
          <rPr>
            <sz val="9"/>
            <color indexed="81"/>
            <rFont val="Tahoma"/>
            <family val="2"/>
          </rPr>
          <t xml:space="preserve">
If unknown, enter diameter of bolt shank.</t>
        </r>
      </text>
    </comment>
    <comment ref="G47" authorId="0" shapeId="0" xr:uid="{30F14A06-433B-4367-A630-A901FEFF0659}">
      <text>
        <r>
          <rPr>
            <b/>
            <sz val="9"/>
            <color indexed="81"/>
            <rFont val="Tahoma"/>
            <family val="2"/>
          </rPr>
          <t>Williams, Justin:</t>
        </r>
        <r>
          <rPr>
            <sz val="9"/>
            <color indexed="81"/>
            <rFont val="Tahoma"/>
            <family val="2"/>
          </rPr>
          <t xml:space="preserve">
If unknown, enter diameter of bolt shank.</t>
        </r>
      </text>
    </comment>
    <comment ref="D50" authorId="0" shapeId="0" xr:uid="{B1262C22-1821-46E1-BDF4-6A1999895FDD}">
      <text>
        <r>
          <rPr>
            <b/>
            <sz val="9"/>
            <color indexed="81"/>
            <rFont val="Tahoma"/>
            <family val="2"/>
          </rPr>
          <t>Williams, Justin:</t>
        </r>
        <r>
          <rPr>
            <sz val="9"/>
            <color indexed="81"/>
            <rFont val="Tahoma"/>
            <family val="2"/>
          </rPr>
          <t xml:space="preserve">
Mega pounds per inch
(lbf*10^6)/in</t>
        </r>
      </text>
    </comment>
    <comment ref="B52" authorId="0" shapeId="0" xr:uid="{46B8B78D-1613-4075-B614-674B211C502B}">
      <text>
        <r>
          <rPr>
            <b/>
            <sz val="9"/>
            <color indexed="81"/>
            <rFont val="Tahoma"/>
            <family val="2"/>
          </rPr>
          <t>Williams, Justin:</t>
        </r>
        <r>
          <rPr>
            <sz val="9"/>
            <color indexed="81"/>
            <rFont val="Tahoma"/>
            <family val="2"/>
          </rPr>
          <t xml:space="preserve">
If unknown, enter diameter of bolt shank.</t>
        </r>
      </text>
    </comment>
    <comment ref="G52" authorId="0" shapeId="0" xr:uid="{8D200717-4602-44C8-8B45-2D7AF94F2770}">
      <text>
        <r>
          <rPr>
            <b/>
            <sz val="9"/>
            <color indexed="81"/>
            <rFont val="Tahoma"/>
            <family val="2"/>
          </rPr>
          <t>Williams, Justin:</t>
        </r>
        <r>
          <rPr>
            <sz val="9"/>
            <color indexed="81"/>
            <rFont val="Tahoma"/>
            <family val="2"/>
          </rPr>
          <t xml:space="preserve">
If unknown, enter diameter of bolt shank.</t>
        </r>
      </text>
    </comment>
    <comment ref="D55" authorId="0" shapeId="0" xr:uid="{857BCC67-9429-415E-A94B-E6EC9FCE3BC8}">
      <text>
        <r>
          <rPr>
            <b/>
            <sz val="9"/>
            <color indexed="81"/>
            <rFont val="Tahoma"/>
            <family val="2"/>
          </rPr>
          <t>Williams, Justin:</t>
        </r>
        <r>
          <rPr>
            <sz val="9"/>
            <color indexed="81"/>
            <rFont val="Tahoma"/>
            <family val="2"/>
          </rPr>
          <t xml:space="preserve">
Mega pounds per inch
(lbf*10^6)/in</t>
        </r>
      </text>
    </comment>
    <comment ref="B57" authorId="0" shapeId="0" xr:uid="{52A2E5F5-BFD9-4FB5-8216-4E1C3B6DCF3C}">
      <text>
        <r>
          <rPr>
            <b/>
            <sz val="9"/>
            <color indexed="81"/>
            <rFont val="Tahoma"/>
            <family val="2"/>
          </rPr>
          <t>Williams, Justin:</t>
        </r>
        <r>
          <rPr>
            <sz val="9"/>
            <color indexed="81"/>
            <rFont val="Tahoma"/>
            <family val="2"/>
          </rPr>
          <t xml:space="preserve">
Ratio of how much load the bolt will carry if adding additional load to members.</t>
        </r>
      </text>
    </comment>
    <comment ref="G57" authorId="0" shapeId="0" xr:uid="{68EBDB18-2C46-4FCC-94BE-9135CBE111E7}">
      <text>
        <r>
          <rPr>
            <b/>
            <sz val="9"/>
            <color indexed="81"/>
            <rFont val="Tahoma"/>
            <family val="2"/>
          </rPr>
          <t>Williams, Justin:</t>
        </r>
        <r>
          <rPr>
            <sz val="9"/>
            <color indexed="81"/>
            <rFont val="Tahoma"/>
            <family val="2"/>
          </rPr>
          <t xml:space="preserve">
Ratio of how much load the bolt will carry if adding additional load to members.</t>
        </r>
      </text>
    </comment>
    <comment ref="B61" authorId="0" shapeId="0" xr:uid="{FA7D9F2E-158A-4935-BECB-97D182A322AC}">
      <text>
        <r>
          <rPr>
            <b/>
            <sz val="9"/>
            <color indexed="81"/>
            <rFont val="Tahoma"/>
            <family val="2"/>
          </rPr>
          <t>Williams, Justin:</t>
        </r>
        <r>
          <rPr>
            <sz val="9"/>
            <color indexed="81"/>
            <rFont val="Tahoma"/>
            <family val="2"/>
          </rPr>
          <t xml:space="preserve">
Table 8-1</t>
        </r>
      </text>
    </comment>
    <comment ref="G61" authorId="0" shapeId="0" xr:uid="{F8F92290-5ADC-4833-8A7A-D03934C4551F}">
      <text>
        <r>
          <rPr>
            <b/>
            <sz val="9"/>
            <color indexed="81"/>
            <rFont val="Tahoma"/>
            <family val="2"/>
          </rPr>
          <t>Williams, Justin:</t>
        </r>
        <r>
          <rPr>
            <sz val="9"/>
            <color indexed="81"/>
            <rFont val="Tahoma"/>
            <family val="2"/>
          </rPr>
          <t xml:space="preserve">
Table 8-1</t>
        </r>
      </text>
    </comment>
    <comment ref="B62" authorId="0" shapeId="0" xr:uid="{60011F80-B594-4973-9222-2AB5243C7B26}">
      <text>
        <r>
          <rPr>
            <b/>
            <sz val="9"/>
            <color indexed="81"/>
            <rFont val="Tahoma"/>
            <family val="2"/>
          </rPr>
          <t>Williams, Justin:</t>
        </r>
        <r>
          <rPr>
            <sz val="9"/>
            <color indexed="81"/>
            <rFont val="Tahoma"/>
            <family val="2"/>
          </rPr>
          <t xml:space="preserve">
Table 8-9, 8-10</t>
        </r>
      </text>
    </comment>
    <comment ref="G62" authorId="0" shapeId="0" xr:uid="{2E362147-C3E6-4B81-B29C-6AAC201D681D}">
      <text>
        <r>
          <rPr>
            <b/>
            <sz val="9"/>
            <color indexed="81"/>
            <rFont val="Tahoma"/>
            <family val="2"/>
          </rPr>
          <t>Williams, Justin:</t>
        </r>
        <r>
          <rPr>
            <sz val="9"/>
            <color indexed="81"/>
            <rFont val="Tahoma"/>
            <family val="2"/>
          </rPr>
          <t xml:space="preserve">
Table 8-11</t>
        </r>
      </text>
    </comment>
    <comment ref="B64" authorId="0" shapeId="0" xr:uid="{EAA4E8EB-4AA7-4BFA-BCBE-B6C56C7B119E}">
      <text>
        <r>
          <rPr>
            <b/>
            <sz val="9"/>
            <color indexed="81"/>
            <rFont val="Tahoma"/>
            <family val="2"/>
          </rPr>
          <t>Williams, Justin:</t>
        </r>
        <r>
          <rPr>
            <sz val="9"/>
            <color indexed="81"/>
            <rFont val="Tahoma"/>
            <family val="2"/>
          </rPr>
          <t xml:space="preserve">
This is a reasonable target preload for the bolt, assumming the material can handle the clamp load given by this. This only takes into account what the bolt can handle, not the clampled materials.</t>
        </r>
      </text>
    </comment>
    <comment ref="G64" authorId="0" shapeId="0" xr:uid="{E8C31750-C632-4721-BEFD-5CBC76F2DE3A}">
      <text>
        <r>
          <rPr>
            <b/>
            <sz val="9"/>
            <color indexed="81"/>
            <rFont val="Tahoma"/>
            <family val="2"/>
          </rPr>
          <t>Williams, Justin:</t>
        </r>
        <r>
          <rPr>
            <sz val="9"/>
            <color indexed="81"/>
            <rFont val="Tahoma"/>
            <family val="2"/>
          </rPr>
          <t xml:space="preserve">
This is a reasonable target preload for the bolt, assumming the material can handle the clamp load given by this. This only takes into account what the bolt can handle, not the clampled materials.</t>
        </r>
      </text>
    </comment>
    <comment ref="B67" authorId="0" shapeId="0" xr:uid="{A9524ACC-37DA-4FB8-8288-4D32F8DED3D3}">
      <text>
        <r>
          <rPr>
            <b/>
            <sz val="9"/>
            <color indexed="81"/>
            <rFont val="Tahoma"/>
            <family val="2"/>
          </rPr>
          <t>Williams, Justin:</t>
        </r>
        <r>
          <rPr>
            <sz val="9"/>
            <color indexed="81"/>
            <rFont val="Tahoma"/>
            <family val="2"/>
          </rPr>
          <t xml:space="preserve">
This is a reasonable target preload for the bolt, assumming the material can handle the clamp load given by this. This only takes into account what the bolt can handle, not the clampled materials.</t>
        </r>
      </text>
    </comment>
    <comment ref="G67" authorId="0" shapeId="0" xr:uid="{41F75303-A611-4A41-B0CB-AF6E728DA280}">
      <text>
        <r>
          <rPr>
            <b/>
            <sz val="9"/>
            <color indexed="81"/>
            <rFont val="Tahoma"/>
            <family val="2"/>
          </rPr>
          <t>Williams, Justin:</t>
        </r>
        <r>
          <rPr>
            <sz val="9"/>
            <color indexed="81"/>
            <rFont val="Tahoma"/>
            <family val="2"/>
          </rPr>
          <t xml:space="preserve">
This is a reasonable target preload for the bolt, assumming the material can handle the clamp load given by this. This only takes into account what the bolt can handle, not the clampled materials.</t>
        </r>
      </text>
    </comment>
    <comment ref="B69" authorId="0" shapeId="0" xr:uid="{4132B133-8AB8-4E93-A040-7774D8F822D7}">
      <text>
        <r>
          <rPr>
            <b/>
            <sz val="9"/>
            <color indexed="81"/>
            <rFont val="Tahoma"/>
            <family val="2"/>
          </rPr>
          <t>Williams, Justin:</t>
        </r>
        <r>
          <rPr>
            <sz val="9"/>
            <color indexed="81"/>
            <rFont val="Tahoma"/>
            <family val="2"/>
          </rPr>
          <t xml:space="preserve">
Table 8-15
Alternatively, use Eq 8-26 if wanting to subdivide coefficient of friction for threads and head of bolt.</t>
        </r>
      </text>
    </comment>
    <comment ref="G69" authorId="0" shapeId="0" xr:uid="{951BBCE2-EE43-4A71-9059-5EBD3DFDE410}">
      <text>
        <r>
          <rPr>
            <b/>
            <sz val="9"/>
            <color indexed="81"/>
            <rFont val="Tahoma"/>
            <family val="2"/>
          </rPr>
          <t>Williams, Justin:</t>
        </r>
        <r>
          <rPr>
            <sz val="9"/>
            <color indexed="81"/>
            <rFont val="Tahoma"/>
            <family val="2"/>
          </rPr>
          <t xml:space="preserve">
Table 8-15
Alternatively, use Eq 8-26 if wanting to subdivide coefficient of friction for threads and head of bolt.</t>
        </r>
      </text>
    </comment>
    <comment ref="B73" authorId="0" shapeId="0" xr:uid="{3EB1B4FC-01E3-4A26-9440-9E3308B324AA}">
      <text>
        <r>
          <rPr>
            <b/>
            <sz val="9"/>
            <color indexed="81"/>
            <rFont val="Tahoma"/>
            <family val="2"/>
          </rPr>
          <t>Williams, Justin:</t>
        </r>
        <r>
          <rPr>
            <sz val="9"/>
            <color indexed="81"/>
            <rFont val="Tahoma"/>
            <family val="2"/>
          </rPr>
          <t xml:space="preserve">
This is a reasonable target preload for the bolt, assumming the material can handle the clamp load given by this. This only takes into account what the bolt can handle, not the clampled materials.</t>
        </r>
      </text>
    </comment>
    <comment ref="G73" authorId="0" shapeId="0" xr:uid="{75A3C0BA-320C-429F-AC8A-061F8F47A423}">
      <text>
        <r>
          <rPr>
            <b/>
            <sz val="9"/>
            <color indexed="81"/>
            <rFont val="Tahoma"/>
            <family val="2"/>
          </rPr>
          <t>Williams, Justin:</t>
        </r>
        <r>
          <rPr>
            <sz val="9"/>
            <color indexed="81"/>
            <rFont val="Tahoma"/>
            <family val="2"/>
          </rPr>
          <t xml:space="preserve">
This is a reasonable target preload for the bolt, assumming the material can handle the clamp load given by this. This only takes into account what the bolt can handle, not the clampled materials.</t>
        </r>
      </text>
    </comment>
    <comment ref="B74" authorId="0" shapeId="0" xr:uid="{1DBB5B6A-4C2C-453F-8ACA-CA3363A51DC4}">
      <text>
        <r>
          <rPr>
            <b/>
            <sz val="9"/>
            <color indexed="81"/>
            <rFont val="Tahoma"/>
            <family val="2"/>
          </rPr>
          <t>Williams, Justin:</t>
        </r>
        <r>
          <rPr>
            <sz val="9"/>
            <color indexed="81"/>
            <rFont val="Tahoma"/>
            <family val="2"/>
          </rPr>
          <t xml:space="preserve">
Use first calculation above to get Kb</t>
        </r>
      </text>
    </comment>
    <comment ref="D74" authorId="0" shapeId="0" xr:uid="{A703B082-87C6-4ECD-A213-985400900B8D}">
      <text>
        <r>
          <rPr>
            <b/>
            <sz val="9"/>
            <color indexed="81"/>
            <rFont val="Tahoma"/>
            <family val="2"/>
          </rPr>
          <t>Williams, Justin:</t>
        </r>
        <r>
          <rPr>
            <sz val="9"/>
            <color indexed="81"/>
            <rFont val="Tahoma"/>
            <family val="2"/>
          </rPr>
          <t xml:space="preserve">
Mega pounds per inch
(lbf*10^6)/in</t>
        </r>
      </text>
    </comment>
    <comment ref="G74" authorId="0" shapeId="0" xr:uid="{8ECF1E17-313E-4E1A-9A86-6D827C1E6AD0}">
      <text>
        <r>
          <rPr>
            <b/>
            <sz val="9"/>
            <color indexed="81"/>
            <rFont val="Tahoma"/>
            <family val="2"/>
          </rPr>
          <t>Williams, Justin:</t>
        </r>
        <r>
          <rPr>
            <sz val="9"/>
            <color indexed="81"/>
            <rFont val="Tahoma"/>
            <family val="2"/>
          </rPr>
          <t xml:space="preserve">
Use first calculation above to get Kb</t>
        </r>
      </text>
    </comment>
    <comment ref="B78" authorId="0" shapeId="0" xr:uid="{F35C47B5-68B4-4FA3-BB7F-9F01C164E35C}">
      <text>
        <r>
          <rPr>
            <b/>
            <sz val="9"/>
            <color indexed="81"/>
            <rFont val="Tahoma"/>
            <family val="2"/>
          </rPr>
          <t>Williams, Justin:</t>
        </r>
        <r>
          <rPr>
            <sz val="9"/>
            <color indexed="81"/>
            <rFont val="Tahoma"/>
            <family val="2"/>
          </rPr>
          <t xml:space="preserve">
This is a reasonable target preload for the bolt, assumming the material can handle the clamp load given by this. This only takes into account what the bolt can handle, not the clampled materials.</t>
        </r>
      </text>
    </comment>
    <comment ref="G78" authorId="0" shapeId="0" xr:uid="{A8FE9FA6-B198-4696-8AAE-3C5CF59F6793}">
      <text>
        <r>
          <rPr>
            <b/>
            <sz val="9"/>
            <color indexed="81"/>
            <rFont val="Tahoma"/>
            <family val="2"/>
          </rPr>
          <t>Williams, Justin:</t>
        </r>
        <r>
          <rPr>
            <sz val="9"/>
            <color indexed="81"/>
            <rFont val="Tahoma"/>
            <family val="2"/>
          </rPr>
          <t xml:space="preserve">
This is a reasonable target preload for the bolt, assumming the material can handle the clamp load given by this. This only takes into account what the bolt can handle, not the clampled materials.</t>
        </r>
      </text>
    </comment>
    <comment ref="D79" authorId="0" shapeId="0" xr:uid="{42A39DC4-E2A8-4179-BCE9-7556B3F02044}">
      <text>
        <r>
          <rPr>
            <b/>
            <sz val="9"/>
            <color indexed="81"/>
            <rFont val="Tahoma"/>
            <family val="2"/>
          </rPr>
          <t>Williams, Justin:</t>
        </r>
        <r>
          <rPr>
            <sz val="9"/>
            <color indexed="81"/>
            <rFont val="Tahoma"/>
            <family val="2"/>
          </rPr>
          <t xml:space="preserve">
Mega pounds per inch
(lbf*10^6)/in</t>
        </r>
      </text>
    </comment>
    <comment ref="D80" authorId="0" shapeId="0" xr:uid="{79D8A86F-6C54-42ED-940C-293955F14844}">
      <text>
        <r>
          <rPr>
            <b/>
            <sz val="9"/>
            <color indexed="81"/>
            <rFont val="Tahoma"/>
            <family val="2"/>
          </rPr>
          <t>Williams, Justin:</t>
        </r>
        <r>
          <rPr>
            <sz val="9"/>
            <color indexed="81"/>
            <rFont val="Tahoma"/>
            <family val="2"/>
          </rPr>
          <t xml:space="preserve">
Mega pounds per inch
(lbf*10^6)/in</t>
        </r>
      </text>
    </comment>
    <comment ref="B95" authorId="0" shapeId="0" xr:uid="{C3904050-34D7-4BAD-9387-B097A509812A}">
      <text>
        <r>
          <rPr>
            <b/>
            <sz val="9"/>
            <color indexed="81"/>
            <rFont val="Tahoma"/>
            <family val="2"/>
          </rPr>
          <t>Williams, Justin:</t>
        </r>
        <r>
          <rPr>
            <sz val="9"/>
            <color indexed="81"/>
            <rFont val="Tahoma"/>
            <family val="2"/>
          </rPr>
          <t xml:space="preserve">
Table 8-11</t>
        </r>
      </text>
    </comment>
    <comment ref="G95" authorId="0" shapeId="0" xr:uid="{B39F6AD2-E233-4063-8234-293AC3D37A20}">
      <text>
        <r>
          <rPr>
            <b/>
            <sz val="9"/>
            <color indexed="81"/>
            <rFont val="Tahoma"/>
            <family val="2"/>
          </rPr>
          <t>Williams, Justin:</t>
        </r>
        <r>
          <rPr>
            <sz val="9"/>
            <color indexed="81"/>
            <rFont val="Tahoma"/>
            <family val="2"/>
          </rPr>
          <t xml:space="preserve">
Table 8-11</t>
        </r>
      </text>
    </comment>
    <comment ref="B96" authorId="0" shapeId="0" xr:uid="{62CE01D4-6D2E-4AA5-849F-8084BC4925F2}">
      <text>
        <r>
          <rPr>
            <b/>
            <sz val="9"/>
            <color indexed="81"/>
            <rFont val="Tahoma"/>
            <family val="2"/>
          </rPr>
          <t>Williams, Justin:</t>
        </r>
        <r>
          <rPr>
            <sz val="9"/>
            <color indexed="81"/>
            <rFont val="Tahoma"/>
            <family val="2"/>
          </rPr>
          <t xml:space="preserve">
Table 8-1</t>
        </r>
      </text>
    </comment>
    <comment ref="G96" authorId="0" shapeId="0" xr:uid="{E5D4110E-C599-4B50-A4A6-6440E08B8632}">
      <text>
        <r>
          <rPr>
            <b/>
            <sz val="9"/>
            <color indexed="81"/>
            <rFont val="Tahoma"/>
            <family val="2"/>
          </rPr>
          <t>Williams, Justin:</t>
        </r>
        <r>
          <rPr>
            <sz val="9"/>
            <color indexed="81"/>
            <rFont val="Tahoma"/>
            <family val="2"/>
          </rPr>
          <t xml:space="preserve">
Table 8-1</t>
        </r>
      </text>
    </comment>
    <comment ref="B100" authorId="0" shapeId="0" xr:uid="{51F72C22-E9A2-4461-B492-D783E369030D}">
      <text>
        <r>
          <rPr>
            <b/>
            <sz val="9"/>
            <color indexed="81"/>
            <rFont val="Tahoma"/>
            <family val="2"/>
          </rPr>
          <t>Williams, Justin:</t>
        </r>
        <r>
          <rPr>
            <sz val="9"/>
            <color indexed="81"/>
            <rFont val="Tahoma"/>
            <family val="2"/>
          </rPr>
          <t xml:space="preserve">
Eq 8-28
Note that not all additional load (external) goes to the bolt, and so a loading factor will be calculated below to see how much more external load can be handled.</t>
        </r>
      </text>
    </comment>
    <comment ref="G100" authorId="0" shapeId="0" xr:uid="{C4EDCB38-B962-486E-B21A-36D4BB783B1F}">
      <text>
        <r>
          <rPr>
            <b/>
            <sz val="9"/>
            <color indexed="81"/>
            <rFont val="Tahoma"/>
            <family val="2"/>
          </rPr>
          <t>Williams, Justin:</t>
        </r>
        <r>
          <rPr>
            <sz val="9"/>
            <color indexed="81"/>
            <rFont val="Tahoma"/>
            <family val="2"/>
          </rPr>
          <t xml:space="preserve">
Eq 8-28
Note that not all additional load (external) goes to the bolt, and so a loading factor will be calculated below to see how much more external load can be handled.</t>
        </r>
      </text>
    </comment>
    <comment ref="B101" authorId="0" shapeId="0" xr:uid="{1979E518-ACA2-400B-AF58-04BEEB0B5F17}">
      <text>
        <r>
          <rPr>
            <b/>
            <sz val="9"/>
            <color indexed="81"/>
            <rFont val="Tahoma"/>
            <family val="2"/>
          </rPr>
          <t>Williams, Justin:</t>
        </r>
        <r>
          <rPr>
            <sz val="9"/>
            <color indexed="81"/>
            <rFont val="Tahoma"/>
            <family val="2"/>
          </rPr>
          <t xml:space="preserve">
Eq 8-29
How many times the external load can safely be applied
</t>
        </r>
      </text>
    </comment>
    <comment ref="G101" authorId="0" shapeId="0" xr:uid="{6DD19243-C2A4-4289-BAAB-48D34BC1CA10}">
      <text>
        <r>
          <rPr>
            <b/>
            <sz val="9"/>
            <color indexed="81"/>
            <rFont val="Tahoma"/>
            <family val="2"/>
          </rPr>
          <t>Williams, Justin:</t>
        </r>
        <r>
          <rPr>
            <sz val="9"/>
            <color indexed="81"/>
            <rFont val="Tahoma"/>
            <family val="2"/>
          </rPr>
          <t xml:space="preserve">
Eq 8-29
How many times the external load can safely be applied
</t>
        </r>
      </text>
    </comment>
    <comment ref="B102" authorId="0" shapeId="0" xr:uid="{C0F02F18-ACA0-4BA9-AA45-BA59906C3299}">
      <text>
        <r>
          <rPr>
            <b/>
            <sz val="9"/>
            <color indexed="81"/>
            <rFont val="Tahoma"/>
            <family val="2"/>
          </rPr>
          <t>Williams, Justin:</t>
        </r>
        <r>
          <rPr>
            <sz val="9"/>
            <color indexed="81"/>
            <rFont val="Tahoma"/>
            <family val="2"/>
          </rPr>
          <t xml:space="preserve">
If this gets to 1 (or lower) this means that the external load has relaxed the compression of the members that were clamped together, and they will then be seperated.</t>
        </r>
      </text>
    </comment>
    <comment ref="G102" authorId="0" shapeId="0" xr:uid="{8FF1BD77-14E3-4123-91B7-D95912B6EDE3}">
      <text>
        <r>
          <rPr>
            <b/>
            <sz val="9"/>
            <color indexed="81"/>
            <rFont val="Tahoma"/>
            <family val="2"/>
          </rPr>
          <t>Williams, Justin:</t>
        </r>
        <r>
          <rPr>
            <sz val="9"/>
            <color indexed="81"/>
            <rFont val="Tahoma"/>
            <family val="2"/>
          </rPr>
          <t xml:space="preserve">
If this gets to 1 (or lower) this means that the external load has relaxed the compression of the members that were clamped together, and they will then be seperated.</t>
        </r>
      </text>
    </comment>
  </commentList>
</comments>
</file>

<file path=xl/sharedStrings.xml><?xml version="1.0" encoding="utf-8"?>
<sst xmlns="http://schemas.openxmlformats.org/spreadsheetml/2006/main" count="553" uniqueCount="188">
  <si>
    <t>Preload</t>
  </si>
  <si>
    <t>Nt</t>
  </si>
  <si>
    <t>P</t>
  </si>
  <si>
    <t>-</t>
  </si>
  <si>
    <t>δm</t>
  </si>
  <si>
    <t>δb</t>
  </si>
  <si>
    <t>Kb</t>
  </si>
  <si>
    <t>Km</t>
  </si>
  <si>
    <t>Fi</t>
  </si>
  <si>
    <t>L</t>
  </si>
  <si>
    <t>ld</t>
  </si>
  <si>
    <t>lt</t>
  </si>
  <si>
    <t>mm</t>
  </si>
  <si>
    <t>Young's Modulus of Bolt</t>
  </si>
  <si>
    <t>Eb</t>
  </si>
  <si>
    <t>Gpa</t>
  </si>
  <si>
    <t>Stiffness of Bolt</t>
  </si>
  <si>
    <t>Ad</t>
  </si>
  <si>
    <t>At</t>
  </si>
  <si>
    <t>mm^2</t>
  </si>
  <si>
    <t>inch</t>
  </si>
  <si>
    <t>Bolt Diameter</t>
  </si>
  <si>
    <t>Bolt Pitch</t>
  </si>
  <si>
    <t>inch^2</t>
  </si>
  <si>
    <t>l</t>
  </si>
  <si>
    <t>Lt</t>
  </si>
  <si>
    <t>T</t>
  </si>
  <si>
    <t>Bolt Stiffness</t>
  </si>
  <si>
    <t>ksi</t>
  </si>
  <si>
    <t>lbf/in</t>
  </si>
  <si>
    <t>Bolt Thread Root Diameter</t>
  </si>
  <si>
    <t>Bolt Thread Pitch Diameter</t>
  </si>
  <si>
    <t>Member 1 Young's Modulus</t>
  </si>
  <si>
    <t>Member 2 Young's Modulus</t>
  </si>
  <si>
    <t>E1</t>
  </si>
  <si>
    <t>E2</t>
  </si>
  <si>
    <t>t</t>
  </si>
  <si>
    <t>H</t>
  </si>
  <si>
    <t>Nut thickness (height)</t>
  </si>
  <si>
    <t>Washer thickness (height)</t>
  </si>
  <si>
    <t>Grip length</t>
  </si>
  <si>
    <t>Member 1 thickness (height)</t>
  </si>
  <si>
    <t>Member 2 thickness (height)</t>
  </si>
  <si>
    <t>M1t</t>
  </si>
  <si>
    <t>M2t</t>
  </si>
  <si>
    <t>Fastener Length</t>
  </si>
  <si>
    <t>Nut or Threaded Member</t>
  </si>
  <si>
    <t>Nutorthreaded</t>
  </si>
  <si>
    <t>Threaded Member</t>
  </si>
  <si>
    <t>Nut</t>
  </si>
  <si>
    <t>Min Fastener Length Needed</t>
  </si>
  <si>
    <t>Bolt diameter (shank/non-threaded)</t>
  </si>
  <si>
    <t>Typical threaded length of bolt</t>
  </si>
  <si>
    <t>Threaded length of bolt</t>
  </si>
  <si>
    <t>Length of threaded portion of bolt in grip length</t>
  </si>
  <si>
    <t>Length of shank (non-threaded portion) of bolt (in grip length)</t>
  </si>
  <si>
    <t>Abbreviation</t>
  </si>
  <si>
    <t>Description</t>
  </si>
  <si>
    <t>Value</t>
  </si>
  <si>
    <t>Units</t>
  </si>
  <si>
    <t>Cross-sectional area of shank of bolt</t>
  </si>
  <si>
    <t>d</t>
  </si>
  <si>
    <t>Bolt Thread Diameter</t>
  </si>
  <si>
    <t>Bolt thread diameter possible</t>
  </si>
  <si>
    <t>Bolt Thread Area calc</t>
  </si>
  <si>
    <t>Threads per inch (TPI) of bolt</t>
  </si>
  <si>
    <t>Cross-sectional area of threaded portion tensile stress area</t>
  </si>
  <si>
    <t>Mlbf/in</t>
  </si>
  <si>
    <t>α</t>
  </si>
  <si>
    <t>deg</t>
  </si>
  <si>
    <t>If using steel washer and steel member for that washer, then can treat as 1 entity for frustra</t>
  </si>
  <si>
    <t>K</t>
  </si>
  <si>
    <t>Apex Angle (Half)</t>
  </si>
  <si>
    <t>Frustrum 1 Length</t>
  </si>
  <si>
    <t>dw</t>
  </si>
  <si>
    <t>Diameter of Bolt's Washer Face</t>
  </si>
  <si>
    <t>t1</t>
  </si>
  <si>
    <t>D1</t>
  </si>
  <si>
    <t>K1</t>
  </si>
  <si>
    <t>d1</t>
  </si>
  <si>
    <t>Frustrum 1 Small Outer Dia</t>
  </si>
  <si>
    <t>Frustrum 1 Hole Diameter</t>
  </si>
  <si>
    <t>t2</t>
  </si>
  <si>
    <t>d2</t>
  </si>
  <si>
    <t>D2</t>
  </si>
  <si>
    <t>K2</t>
  </si>
  <si>
    <t>Frustrum 2 Length</t>
  </si>
  <si>
    <t>Frustrum 2 Hole Diameter</t>
  </si>
  <si>
    <t>Frustrum 2 Small Outer Dia</t>
  </si>
  <si>
    <t>Stiffness of Frustrum 1</t>
  </si>
  <si>
    <t>Stiffness of Frustrum 2</t>
  </si>
  <si>
    <t>In this case, we are calling Frustrum 2 the bottom frustrum and assumming steel washer and steel lower member. We then let Frustrum 3 be in between frustrum 1 and frustrum 2</t>
  </si>
  <si>
    <t>Frustrum Calcs (Frustrum 1 = Upper, F2 = Lower, F3 = Middle)</t>
  </si>
  <si>
    <t>Diameter of Nut's Washer Face</t>
  </si>
  <si>
    <t>dnw</t>
  </si>
  <si>
    <t>t3</t>
  </si>
  <si>
    <t>d3</t>
  </si>
  <si>
    <t>D3</t>
  </si>
  <si>
    <t>E3</t>
  </si>
  <si>
    <t>K3</t>
  </si>
  <si>
    <t>Frustrum 3 Length</t>
  </si>
  <si>
    <t>Frustrum 3 Hole Diameter</t>
  </si>
  <si>
    <t>Frustrum 3 Small Outer Dia</t>
  </si>
  <si>
    <t>Member 3 Young's Modulus</t>
  </si>
  <si>
    <t>Stiffness of Frustrum 3</t>
  </si>
  <si>
    <t>This assumes we only have 3 frustrums to be concerned with</t>
  </si>
  <si>
    <t>Stiffness of Clamped Members</t>
  </si>
  <si>
    <t>Joint Stiffness Constant</t>
  </si>
  <si>
    <t>C</t>
  </si>
  <si>
    <t>J. Williams 2021-09-08</t>
  </si>
  <si>
    <t>Key</t>
  </si>
  <si>
    <t>Input</t>
  </si>
  <si>
    <t>Overwrite Input</t>
  </si>
  <si>
    <t>Output</t>
  </si>
  <si>
    <t>lbf</t>
  </si>
  <si>
    <t>Number of Turns to Achieve Preload</t>
  </si>
  <si>
    <t>Bolt Pitch (TPI)</t>
  </si>
  <si>
    <t>Connection Type</t>
  </si>
  <si>
    <t>Permanent</t>
  </si>
  <si>
    <t>Non-Permanent</t>
  </si>
  <si>
    <t>Target Preload</t>
  </si>
  <si>
    <t>Bolt Proof Load</t>
  </si>
  <si>
    <t>kN</t>
  </si>
  <si>
    <t>Fp</t>
  </si>
  <si>
    <t>Sp</t>
  </si>
  <si>
    <t>Tensile Stress Area of Bolt</t>
  </si>
  <si>
    <t>Proof Strength</t>
  </si>
  <si>
    <t>MPa</t>
  </si>
  <si>
    <t>Bolt Target Preload</t>
  </si>
  <si>
    <t>MN/m</t>
  </si>
  <si>
    <t>Bolt Deformation</t>
  </si>
  <si>
    <t>Bolt Enlongation for Given Preload</t>
  </si>
  <si>
    <t>Torque required to achieve preload</t>
  </si>
  <si>
    <t>Estimated Torque requirement</t>
  </si>
  <si>
    <t>N*m</t>
  </si>
  <si>
    <t>Torque Factor</t>
  </si>
  <si>
    <t>N/m</t>
  </si>
  <si>
    <t>Bolt Deformation required</t>
  </si>
  <si>
    <t>Member defomration required</t>
  </si>
  <si>
    <t>Degrees of turn of nut required to achieve clamp load, after snug</t>
  </si>
  <si>
    <t>Number of Turns Required to achieve clamp load, after snug</t>
  </si>
  <si>
    <t>Member Stiffness Calc (Frustrum 1 = Upper, F2 = Lower, F3 = Middle)</t>
  </si>
  <si>
    <t>np</t>
  </si>
  <si>
    <t>Number of bolts</t>
  </si>
  <si>
    <t>Load carried by members</t>
  </si>
  <si>
    <t>Yielding Factor of Safety for exceeding proof stress</t>
  </si>
  <si>
    <t>Loading Factor</t>
  </si>
  <si>
    <t>nL</t>
  </si>
  <si>
    <t>Factor of Safety against Joint Seperation</t>
  </si>
  <si>
    <t>n0</t>
  </si>
  <si>
    <t>Load Factor, Factors of Safety</t>
  </si>
  <si>
    <t>in^2</t>
  </si>
  <si>
    <t>in</t>
  </si>
  <si>
    <t>lbf*ft</t>
  </si>
  <si>
    <t>This sheet is used for calculating bolt stiffness, as well as bolted member stiffness and getting a joint stiffness constant. Taken from Shigley's. 
The left and right sides (English vs Metric) operate independetly. See figures on right side if do not have book.</t>
  </si>
  <si>
    <t>Tensile Load on Bolt</t>
  </si>
  <si>
    <t>Elongation</t>
  </si>
  <si>
    <t>Joint Compression</t>
  </si>
  <si>
    <t>Member deformation required</t>
  </si>
  <si>
    <t>Force</t>
  </si>
  <si>
    <t>Elongation at installed</t>
  </si>
  <si>
    <t>Preload at installation</t>
  </si>
  <si>
    <t>Moved Joitn Compression at installed</t>
  </si>
  <si>
    <t>Bolt 1</t>
  </si>
  <si>
    <t>Joitn Compression</t>
  </si>
  <si>
    <t>bolt elongation at fully relaxed member</t>
  </si>
  <si>
    <t>elongation</t>
  </si>
  <si>
    <t>member compression at bolt fully relaxed</t>
  </si>
  <si>
    <t>kN/mm</t>
  </si>
  <si>
    <t>combined stiffness</t>
  </si>
  <si>
    <t>External Load carried/applied by/to members</t>
  </si>
  <si>
    <t>External Force</t>
  </si>
  <si>
    <t>Failure</t>
  </si>
  <si>
    <t>ext force</t>
  </si>
  <si>
    <t>Force bolt total</t>
  </si>
  <si>
    <t>maybe delete</t>
  </si>
  <si>
    <t>Clamping Force on Members</t>
  </si>
  <si>
    <t>External Load / Number of Bolts</t>
  </si>
  <si>
    <t>σ_e,up</t>
  </si>
  <si>
    <t>σ_e,m</t>
  </si>
  <si>
    <t>σ_e,low</t>
  </si>
  <si>
    <t>Bolt Fatigue Info (If cyclic tension loading)</t>
  </si>
  <si>
    <t>Upper Stress Level (if cyclical tension)</t>
  </si>
  <si>
    <t>Mean Stress Level (if cylcical tension)</t>
  </si>
  <si>
    <t>Lower Stress Level (if cyclical tension)</t>
  </si>
  <si>
    <t>a</t>
  </si>
  <si>
    <t>SAE</t>
  </si>
  <si>
    <t>Metric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</si>
</sst>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11" x14ac:knownFonts="1">
    <font>
      <sz val="11"/>
      <color theme="1"/>
      <name val="Calibri"/>
      <family val="2"/>
      <scheme val="minor"/>
    </font>
    <font>
      <b/>
      <sz val="11"/>
      <color theme="1"/>
      <name val="Calibri"/>
      <family val="2"/>
      <scheme val="minor"/>
    </font>
    <font>
      <sz val="11"/>
      <color theme="1"/>
      <name val="Calibri"/>
      <family val="2"/>
    </font>
    <font>
      <sz val="9"/>
      <color indexed="81"/>
      <name val="Tahoma"/>
      <family val="2"/>
    </font>
    <font>
      <b/>
      <sz val="9"/>
      <color indexed="81"/>
      <name val="Tahoma"/>
      <family val="2"/>
    </font>
    <font>
      <sz val="11"/>
      <color theme="0" tint="-0.499984740745262"/>
      <name val="Calibri"/>
      <family val="2"/>
      <scheme val="minor"/>
    </font>
    <font>
      <sz val="11"/>
      <name val="Calibri"/>
      <family val="2"/>
      <scheme val="minor"/>
    </font>
    <font>
      <sz val="8"/>
      <color theme="1"/>
      <name val="Calibri"/>
      <family val="2"/>
      <scheme val="minor"/>
    </font>
    <font>
      <b/>
      <sz val="11"/>
      <name val="Calibri"/>
      <family val="2"/>
      <scheme val="minor"/>
    </font>
    <font>
      <sz val="10"/>
      <color theme="1"/>
      <name val="Calibri"/>
      <family val="2"/>
      <scheme val="minor"/>
    </font>
    <font>
      <i/>
      <sz val="10"/>
      <color theme="1"/>
      <name val="Calibri"/>
      <family val="2"/>
      <scheme val="minor"/>
    </font>
  </fonts>
  <fills count="6">
    <fill>
      <patternFill patternType="none"/>
    </fill>
    <fill>
      <patternFill patternType="gray125"/>
    </fill>
    <fill>
      <patternFill patternType="solid">
        <fgColor rgb="FFFFFF00"/>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7" tint="0.79998168889431442"/>
        <bgColor indexed="64"/>
      </patternFill>
    </fill>
  </fills>
  <borders count="35">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right/>
      <top/>
      <bottom style="medium">
        <color indexed="64"/>
      </bottom>
      <diagonal/>
    </border>
    <border>
      <left style="thin">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top/>
      <bottom style="thin">
        <color indexed="64"/>
      </bottom>
      <diagonal/>
    </border>
    <border>
      <left/>
      <right style="medium">
        <color indexed="64"/>
      </right>
      <top/>
      <bottom style="thin">
        <color indexed="64"/>
      </bottom>
      <diagonal/>
    </border>
  </borders>
  <cellStyleXfs count="1">
    <xf numFmtId="0" fontId="0" fillId="0" borderId="0"/>
  </cellStyleXfs>
  <cellXfs count="106">
    <xf numFmtId="0" fontId="0" fillId="0" borderId="0" xfId="0"/>
    <xf numFmtId="0" fontId="10" fillId="0" borderId="0" xfId="0" applyFont="1" applyAlignment="1" applyProtection="1">
      <alignment horizontal="left"/>
      <protection hidden="1"/>
    </xf>
    <xf numFmtId="0" fontId="0" fillId="0" borderId="0" xfId="0" applyProtection="1">
      <protection hidden="1"/>
    </xf>
    <xf numFmtId="0" fontId="9" fillId="0" borderId="0" xfId="0" applyFont="1" applyAlignment="1" applyProtection="1">
      <alignment horizontal="left" vertical="top" wrapText="1"/>
      <protection hidden="1"/>
    </xf>
    <xf numFmtId="0" fontId="9" fillId="0" borderId="0" xfId="0" applyFont="1" applyAlignment="1" applyProtection="1">
      <alignment horizontal="left" vertical="top" wrapText="1"/>
      <protection hidden="1"/>
    </xf>
    <xf numFmtId="0" fontId="8" fillId="0" borderId="26" xfId="0" applyFont="1" applyBorder="1" applyProtection="1">
      <protection hidden="1"/>
    </xf>
    <xf numFmtId="0" fontId="1" fillId="3" borderId="15" xfId="0" applyFont="1" applyFill="1" applyBorder="1" applyProtection="1">
      <protection hidden="1"/>
    </xf>
    <xf numFmtId="0" fontId="1" fillId="4" borderId="15" xfId="0" applyFont="1" applyFill="1" applyBorder="1" applyProtection="1">
      <protection hidden="1"/>
    </xf>
    <xf numFmtId="0" fontId="1" fillId="2" borderId="27" xfId="0" applyFont="1" applyFill="1" applyBorder="1" applyProtection="1">
      <protection hidden="1"/>
    </xf>
    <xf numFmtId="0" fontId="0" fillId="0" borderId="24" xfId="0" applyBorder="1" applyAlignment="1" applyProtection="1">
      <alignment horizontal="center"/>
      <protection hidden="1"/>
    </xf>
    <xf numFmtId="0" fontId="1" fillId="0" borderId="13" xfId="0" applyFont="1" applyBorder="1" applyAlignment="1" applyProtection="1">
      <alignment horizontal="center" vertical="center" wrapText="1"/>
      <protection hidden="1"/>
    </xf>
    <xf numFmtId="0" fontId="1" fillId="0" borderId="14" xfId="0" applyFont="1" applyBorder="1" applyAlignment="1" applyProtection="1">
      <alignment horizontal="center" vertical="center" wrapText="1"/>
      <protection hidden="1"/>
    </xf>
    <xf numFmtId="0" fontId="1" fillId="0" borderId="16" xfId="0" applyFont="1" applyBorder="1" applyAlignment="1" applyProtection="1">
      <alignment horizontal="center" vertical="center" wrapText="1"/>
      <protection hidden="1"/>
    </xf>
    <xf numFmtId="0" fontId="0" fillId="0" borderId="31" xfId="0" applyBorder="1" applyAlignment="1" applyProtection="1">
      <alignment horizontal="right"/>
      <protection hidden="1"/>
    </xf>
    <xf numFmtId="0" fontId="0" fillId="0" borderId="4" xfId="0" applyBorder="1" applyAlignment="1" applyProtection="1">
      <alignment vertical="center"/>
      <protection hidden="1"/>
    </xf>
    <xf numFmtId="0" fontId="0" fillId="0" borderId="32" xfId="0" applyBorder="1" applyAlignment="1" applyProtection="1">
      <alignment horizontal="center" vertical="center"/>
      <protection hidden="1"/>
    </xf>
    <xf numFmtId="0" fontId="0" fillId="0" borderId="8" xfId="0" applyBorder="1" applyAlignment="1" applyProtection="1">
      <alignment horizontal="right"/>
      <protection hidden="1"/>
    </xf>
    <xf numFmtId="0" fontId="0" fillId="0" borderId="1" xfId="0" applyBorder="1" applyAlignment="1" applyProtection="1">
      <alignment vertical="center"/>
      <protection hidden="1"/>
    </xf>
    <xf numFmtId="0" fontId="0" fillId="0" borderId="9" xfId="0" applyBorder="1" applyAlignment="1" applyProtection="1">
      <alignment horizontal="center" vertical="center"/>
      <protection hidden="1"/>
    </xf>
    <xf numFmtId="0" fontId="0" fillId="0" borderId="0" xfId="0" applyAlignment="1" applyProtection="1">
      <alignment horizontal="center"/>
      <protection hidden="1"/>
    </xf>
    <xf numFmtId="0" fontId="0" fillId="0" borderId="8" xfId="0" applyFill="1" applyBorder="1" applyAlignment="1" applyProtection="1">
      <alignment horizontal="right"/>
      <protection hidden="1"/>
    </xf>
    <xf numFmtId="0" fontId="0" fillId="0" borderId="1" xfId="0" applyFill="1" applyBorder="1" applyAlignment="1" applyProtection="1">
      <alignment vertical="center"/>
      <protection hidden="1"/>
    </xf>
    <xf numFmtId="0" fontId="5" fillId="0" borderId="1" xfId="0" applyFont="1" applyBorder="1" applyAlignment="1" applyProtection="1">
      <alignment vertical="center"/>
      <protection hidden="1"/>
    </xf>
    <xf numFmtId="0" fontId="5" fillId="0" borderId="9" xfId="0" applyFont="1" applyBorder="1" applyAlignment="1" applyProtection="1">
      <alignment horizontal="center" vertical="center"/>
      <protection hidden="1"/>
    </xf>
    <xf numFmtId="0" fontId="5" fillId="0" borderId="9" xfId="0" applyFont="1" applyFill="1" applyBorder="1" applyAlignment="1" applyProtection="1">
      <alignment horizontal="center" vertical="center"/>
      <protection hidden="1"/>
    </xf>
    <xf numFmtId="0" fontId="5" fillId="0" borderId="1" xfId="0" applyFont="1" applyFill="1" applyBorder="1" applyAlignment="1" applyProtection="1">
      <alignment vertical="center"/>
      <protection hidden="1"/>
    </xf>
    <xf numFmtId="0" fontId="0" fillId="0" borderId="9" xfId="0" applyFill="1" applyBorder="1" applyAlignment="1" applyProtection="1">
      <alignment horizontal="center" vertical="center"/>
      <protection hidden="1"/>
    </xf>
    <xf numFmtId="0" fontId="6" fillId="0" borderId="1" xfId="0" applyFont="1" applyFill="1" applyBorder="1" applyAlignment="1" applyProtection="1">
      <alignment vertical="center"/>
      <protection hidden="1"/>
    </xf>
    <xf numFmtId="0" fontId="0" fillId="2" borderId="1" xfId="0" applyFill="1" applyBorder="1" applyAlignment="1" applyProtection="1">
      <alignment vertical="center"/>
      <protection hidden="1"/>
    </xf>
    <xf numFmtId="0" fontId="0" fillId="0" borderId="10" xfId="0" applyBorder="1" applyAlignment="1" applyProtection="1">
      <alignment horizontal="right"/>
      <protection hidden="1"/>
    </xf>
    <xf numFmtId="0" fontId="6" fillId="0" borderId="11" xfId="0" applyFont="1" applyFill="1" applyBorder="1" applyAlignment="1" applyProtection="1">
      <alignment vertical="center"/>
      <protection hidden="1"/>
    </xf>
    <xf numFmtId="0" fontId="0" fillId="0" borderId="11" xfId="0" applyBorder="1" applyAlignment="1" applyProtection="1">
      <alignment vertical="center"/>
      <protection hidden="1"/>
    </xf>
    <xf numFmtId="0" fontId="0" fillId="0" borderId="12" xfId="0" applyFill="1" applyBorder="1" applyAlignment="1" applyProtection="1">
      <alignment horizontal="center" vertical="center"/>
      <protection hidden="1"/>
    </xf>
    <xf numFmtId="0" fontId="0" fillId="0" borderId="0" xfId="0" applyBorder="1" applyAlignment="1" applyProtection="1">
      <alignment horizontal="right" vertical="center"/>
      <protection hidden="1"/>
    </xf>
    <xf numFmtId="0" fontId="6" fillId="0" borderId="0" xfId="0" applyFont="1" applyFill="1" applyBorder="1" applyAlignment="1" applyProtection="1">
      <alignment vertical="center"/>
      <protection hidden="1"/>
    </xf>
    <xf numFmtId="0" fontId="0" fillId="0" borderId="0" xfId="0" applyBorder="1" applyAlignment="1" applyProtection="1">
      <alignment vertical="center"/>
      <protection hidden="1"/>
    </xf>
    <xf numFmtId="0" fontId="0" fillId="0" borderId="0" xfId="0" applyFill="1" applyBorder="1" applyAlignment="1" applyProtection="1">
      <alignment horizontal="center" vertical="center"/>
      <protection hidden="1"/>
    </xf>
    <xf numFmtId="0" fontId="1" fillId="0" borderId="13" xfId="0" applyFont="1" applyBorder="1" applyAlignment="1" applyProtection="1">
      <alignment horizontal="center" vertical="center"/>
      <protection hidden="1"/>
    </xf>
    <xf numFmtId="0" fontId="1" fillId="0" borderId="14" xfId="0" applyFont="1" applyBorder="1" applyAlignment="1" applyProtection="1">
      <alignment horizontal="center" vertical="center"/>
      <protection hidden="1"/>
    </xf>
    <xf numFmtId="0" fontId="1" fillId="0" borderId="16" xfId="0" applyFont="1" applyBorder="1" applyAlignment="1" applyProtection="1">
      <alignment horizontal="center" vertical="center"/>
      <protection hidden="1"/>
    </xf>
    <xf numFmtId="0" fontId="7" fillId="0" borderId="33" xfId="0" applyFont="1" applyFill="1" applyBorder="1" applyAlignment="1" applyProtection="1">
      <alignment horizontal="left" vertical="top" wrapText="1"/>
      <protection hidden="1"/>
    </xf>
    <xf numFmtId="0" fontId="7" fillId="0" borderId="17" xfId="0" applyFont="1" applyFill="1" applyBorder="1" applyAlignment="1" applyProtection="1">
      <alignment horizontal="left" vertical="top" wrapText="1"/>
      <protection hidden="1"/>
    </xf>
    <xf numFmtId="0" fontId="7" fillId="0" borderId="34" xfId="0" applyFont="1" applyFill="1" applyBorder="1" applyAlignment="1" applyProtection="1">
      <alignment horizontal="left" vertical="top" wrapText="1"/>
      <protection hidden="1"/>
    </xf>
    <xf numFmtId="0" fontId="7" fillId="0" borderId="18" xfId="0" applyFont="1" applyBorder="1" applyAlignment="1" applyProtection="1">
      <alignment horizontal="left" vertical="top" wrapText="1"/>
      <protection hidden="1"/>
    </xf>
    <xf numFmtId="0" fontId="7" fillId="0" borderId="2" xfId="0" applyFont="1" applyBorder="1" applyAlignment="1" applyProtection="1">
      <alignment horizontal="left" vertical="top" wrapText="1"/>
      <protection hidden="1"/>
    </xf>
    <xf numFmtId="0" fontId="7" fillId="0" borderId="19" xfId="0" applyFont="1" applyBorder="1" applyAlignment="1" applyProtection="1">
      <alignment horizontal="left" vertical="top" wrapText="1"/>
      <protection hidden="1"/>
    </xf>
    <xf numFmtId="0" fontId="7" fillId="0" borderId="18" xfId="0" applyFont="1" applyFill="1" applyBorder="1" applyAlignment="1" applyProtection="1">
      <alignment horizontal="left" vertical="top"/>
      <protection hidden="1"/>
    </xf>
    <xf numFmtId="0" fontId="7" fillId="0" borderId="2" xfId="0" applyFont="1" applyFill="1" applyBorder="1" applyAlignment="1" applyProtection="1">
      <alignment horizontal="left" vertical="top"/>
      <protection hidden="1"/>
    </xf>
    <xf numFmtId="0" fontId="7" fillId="0" borderId="19" xfId="0" applyFont="1" applyFill="1" applyBorder="1" applyAlignment="1" applyProtection="1">
      <alignment horizontal="left" vertical="top"/>
      <protection hidden="1"/>
    </xf>
    <xf numFmtId="0" fontId="2" fillId="0" borderId="8" xfId="0" applyFont="1" applyBorder="1" applyAlignment="1" applyProtection="1">
      <alignment horizontal="right"/>
      <protection hidden="1"/>
    </xf>
    <xf numFmtId="0" fontId="0" fillId="0" borderId="1" xfId="0" applyBorder="1" applyProtection="1">
      <protection hidden="1"/>
    </xf>
    <xf numFmtId="0" fontId="0" fillId="0" borderId="1" xfId="0" applyFill="1" applyBorder="1" applyProtection="1">
      <protection hidden="1"/>
    </xf>
    <xf numFmtId="0" fontId="0" fillId="0" borderId="9" xfId="0" applyFill="1" applyBorder="1" applyProtection="1">
      <protection hidden="1"/>
    </xf>
    <xf numFmtId="0" fontId="2" fillId="0" borderId="20" xfId="0" applyFont="1" applyBorder="1" applyAlignment="1" applyProtection="1">
      <alignment horizontal="right"/>
      <protection hidden="1"/>
    </xf>
    <xf numFmtId="0" fontId="0" fillId="0" borderId="3" xfId="0" applyFill="1" applyBorder="1" applyProtection="1">
      <protection hidden="1"/>
    </xf>
    <xf numFmtId="0" fontId="0" fillId="0" borderId="21" xfId="0" applyFill="1" applyBorder="1" applyProtection="1">
      <protection hidden="1"/>
    </xf>
    <xf numFmtId="0" fontId="2" fillId="0" borderId="5" xfId="0" applyFont="1" applyBorder="1" applyAlignment="1" applyProtection="1">
      <alignment horizontal="right"/>
      <protection hidden="1"/>
    </xf>
    <xf numFmtId="0" fontId="0" fillId="0" borderId="6" xfId="0" applyBorder="1" applyProtection="1">
      <protection hidden="1"/>
    </xf>
    <xf numFmtId="0" fontId="0" fillId="0" borderId="6" xfId="0" applyFill="1" applyBorder="1" applyProtection="1">
      <protection hidden="1"/>
    </xf>
    <xf numFmtId="0" fontId="0" fillId="0" borderId="7" xfId="0" applyFill="1" applyBorder="1" applyAlignment="1" applyProtection="1">
      <alignment horizontal="center" vertical="center"/>
      <protection hidden="1"/>
    </xf>
    <xf numFmtId="0" fontId="0" fillId="0" borderId="9" xfId="0" applyBorder="1" applyProtection="1">
      <protection hidden="1"/>
    </xf>
    <xf numFmtId="0" fontId="0" fillId="0" borderId="10" xfId="0" applyFill="1" applyBorder="1" applyAlignment="1" applyProtection="1">
      <alignment horizontal="right"/>
      <protection hidden="1"/>
    </xf>
    <xf numFmtId="0" fontId="0" fillId="0" borderId="11" xfId="0" applyBorder="1" applyProtection="1">
      <protection hidden="1"/>
    </xf>
    <xf numFmtId="0" fontId="0" fillId="2" borderId="13" xfId="0" applyFill="1" applyBorder="1" applyAlignment="1" applyProtection="1">
      <alignment horizontal="right"/>
      <protection hidden="1"/>
    </xf>
    <xf numFmtId="0" fontId="0" fillId="2" borderId="14" xfId="0" applyFill="1" applyBorder="1" applyProtection="1">
      <protection hidden="1"/>
    </xf>
    <xf numFmtId="0" fontId="0" fillId="2" borderId="15" xfId="0" applyFill="1" applyBorder="1" applyProtection="1">
      <protection hidden="1"/>
    </xf>
    <xf numFmtId="0" fontId="0" fillId="2" borderId="16" xfId="0" applyFill="1" applyBorder="1" applyProtection="1">
      <protection hidden="1"/>
    </xf>
    <xf numFmtId="0" fontId="0" fillId="2" borderId="22" xfId="0" applyFill="1" applyBorder="1" applyAlignment="1" applyProtection="1">
      <alignment horizontal="right"/>
      <protection hidden="1"/>
    </xf>
    <xf numFmtId="0" fontId="0" fillId="2" borderId="23" xfId="0" applyFill="1" applyBorder="1" applyProtection="1">
      <protection hidden="1"/>
    </xf>
    <xf numFmtId="164" fontId="0" fillId="2" borderId="24" xfId="0" applyNumberFormat="1" applyFill="1" applyBorder="1" applyProtection="1">
      <protection hidden="1"/>
    </xf>
    <xf numFmtId="0" fontId="0" fillId="2" borderId="25" xfId="0" applyFill="1" applyBorder="1" applyAlignment="1" applyProtection="1">
      <alignment horizontal="center" vertical="center"/>
      <protection hidden="1"/>
    </xf>
    <xf numFmtId="0" fontId="1" fillId="0" borderId="13" xfId="0" applyFont="1" applyBorder="1" applyAlignment="1" applyProtection="1">
      <alignment horizontal="center"/>
      <protection hidden="1"/>
    </xf>
    <xf numFmtId="0" fontId="1" fillId="0" borderId="14" xfId="0" applyFont="1" applyBorder="1" applyAlignment="1" applyProtection="1">
      <alignment horizontal="center"/>
      <protection hidden="1"/>
    </xf>
    <xf numFmtId="0" fontId="1" fillId="0" borderId="16" xfId="0" applyFont="1" applyBorder="1" applyAlignment="1" applyProtection="1">
      <alignment horizontal="center"/>
      <protection hidden="1"/>
    </xf>
    <xf numFmtId="0" fontId="0" fillId="0" borderId="4" xfId="0" applyBorder="1" applyProtection="1">
      <protection hidden="1"/>
    </xf>
    <xf numFmtId="0" fontId="0" fillId="0" borderId="32" xfId="0" applyBorder="1" applyProtection="1">
      <protection hidden="1"/>
    </xf>
    <xf numFmtId="0" fontId="0" fillId="0" borderId="31" xfId="0" applyBorder="1" applyProtection="1">
      <protection hidden="1"/>
    </xf>
    <xf numFmtId="0" fontId="0" fillId="2" borderId="11" xfId="0" applyFill="1" applyBorder="1" applyProtection="1">
      <protection hidden="1"/>
    </xf>
    <xf numFmtId="0" fontId="0" fillId="0" borderId="12" xfId="0" applyBorder="1" applyProtection="1">
      <protection hidden="1"/>
    </xf>
    <xf numFmtId="0" fontId="1" fillId="0" borderId="26" xfId="0" applyFont="1" applyBorder="1" applyAlignment="1" applyProtection="1">
      <alignment horizontal="center"/>
      <protection hidden="1"/>
    </xf>
    <xf numFmtId="0" fontId="1" fillId="0" borderId="15" xfId="0" applyFont="1" applyBorder="1" applyAlignment="1" applyProtection="1">
      <alignment horizontal="center"/>
      <protection hidden="1"/>
    </xf>
    <xf numFmtId="0" fontId="1" fillId="0" borderId="27" xfId="0" applyFont="1" applyBorder="1" applyAlignment="1" applyProtection="1">
      <alignment horizontal="center"/>
      <protection hidden="1"/>
    </xf>
    <xf numFmtId="0" fontId="0" fillId="0" borderId="10" xfId="0" applyFont="1" applyFill="1" applyBorder="1" applyAlignment="1" applyProtection="1">
      <alignment horizontal="right"/>
      <protection hidden="1"/>
    </xf>
    <xf numFmtId="0" fontId="0" fillId="0" borderId="11" xfId="0" applyFill="1" applyBorder="1" applyProtection="1">
      <protection hidden="1"/>
    </xf>
    <xf numFmtId="0" fontId="0" fillId="0" borderId="12" xfId="0" applyFill="1" applyBorder="1" applyProtection="1">
      <protection hidden="1"/>
    </xf>
    <xf numFmtId="0" fontId="0" fillId="2" borderId="1" xfId="0" applyFill="1" applyBorder="1" applyProtection="1">
      <protection hidden="1"/>
    </xf>
    <xf numFmtId="0" fontId="0" fillId="0" borderId="12" xfId="0" applyBorder="1" applyAlignment="1" applyProtection="1">
      <alignment horizontal="center" vertical="center"/>
      <protection hidden="1"/>
    </xf>
    <xf numFmtId="0" fontId="1" fillId="0" borderId="28" xfId="0" applyFont="1" applyBorder="1" applyAlignment="1" applyProtection="1">
      <alignment horizontal="center"/>
      <protection hidden="1"/>
    </xf>
    <xf numFmtId="0" fontId="1" fillId="0" borderId="29" xfId="0" applyFont="1" applyBorder="1" applyAlignment="1" applyProtection="1">
      <alignment horizontal="center"/>
      <protection hidden="1"/>
    </xf>
    <xf numFmtId="0" fontId="1" fillId="0" borderId="30" xfId="0" applyFont="1" applyBorder="1" applyAlignment="1" applyProtection="1">
      <alignment horizontal="center"/>
      <protection hidden="1"/>
    </xf>
    <xf numFmtId="0" fontId="0" fillId="5" borderId="6" xfId="0" applyFill="1" applyBorder="1" applyProtection="1">
      <protection hidden="1"/>
    </xf>
    <xf numFmtId="0" fontId="0" fillId="0" borderId="7" xfId="0" applyBorder="1" applyProtection="1">
      <protection hidden="1"/>
    </xf>
    <xf numFmtId="0" fontId="0" fillId="0" borderId="0" xfId="0" applyFill="1" applyBorder="1" applyProtection="1">
      <protection hidden="1"/>
    </xf>
    <xf numFmtId="0" fontId="0" fillId="5" borderId="1" xfId="0" applyFill="1" applyBorder="1" applyProtection="1">
      <protection hidden="1"/>
    </xf>
    <xf numFmtId="0" fontId="2" fillId="0" borderId="10" xfId="0" applyFont="1" applyBorder="1" applyAlignment="1" applyProtection="1">
      <alignment horizontal="right"/>
      <protection hidden="1"/>
    </xf>
    <xf numFmtId="0" fontId="0" fillId="5" borderId="11" xfId="0" applyFill="1" applyBorder="1" applyProtection="1">
      <protection hidden="1"/>
    </xf>
    <xf numFmtId="0" fontId="0" fillId="3" borderId="4" xfId="0" applyFill="1" applyBorder="1" applyAlignment="1" applyProtection="1">
      <alignment horizontal="left" vertical="center"/>
      <protection locked="0"/>
    </xf>
    <xf numFmtId="0" fontId="0" fillId="3" borderId="1" xfId="0" applyFill="1" applyBorder="1" applyAlignment="1" applyProtection="1">
      <alignment vertical="center"/>
      <protection locked="0"/>
    </xf>
    <xf numFmtId="0" fontId="5" fillId="4" borderId="1" xfId="0" applyFont="1" applyFill="1" applyBorder="1" applyAlignment="1" applyProtection="1">
      <alignment vertical="center"/>
      <protection locked="0"/>
    </xf>
    <xf numFmtId="0" fontId="0" fillId="4" borderId="1" xfId="0" applyFill="1" applyBorder="1" applyProtection="1">
      <protection locked="0"/>
    </xf>
    <xf numFmtId="0" fontId="0" fillId="4" borderId="3" xfId="0" applyFill="1" applyBorder="1" applyProtection="1">
      <protection locked="0"/>
    </xf>
    <xf numFmtId="0" fontId="0" fillId="3" borderId="4" xfId="0" applyFill="1" applyBorder="1" applyProtection="1">
      <protection locked="0"/>
    </xf>
    <xf numFmtId="0" fontId="0" fillId="3" borderId="1" xfId="0" applyFill="1" applyBorder="1" applyProtection="1">
      <protection locked="0"/>
    </xf>
    <xf numFmtId="0" fontId="0" fillId="4" borderId="4" xfId="0" applyFill="1" applyBorder="1" applyProtection="1">
      <protection locked="0"/>
    </xf>
    <xf numFmtId="0" fontId="0" fillId="3" borderId="11" xfId="0" applyFill="1" applyBorder="1" applyProtection="1">
      <protection locked="0"/>
    </xf>
    <xf numFmtId="164" fontId="0" fillId="4" borderId="4" xfId="0" applyNumberFormat="1" applyFill="1" applyBorder="1" applyProtection="1">
      <protection locked="0"/>
    </xf>
  </cellXfs>
  <cellStyles count="1">
    <cellStyle name="Normal" xfId="0" builtinId="0"/>
  </cellStyles>
  <dxfs count="6">
    <dxf>
      <font>
        <color rgb="FFFF0000"/>
      </font>
      <fill>
        <gradientFill type="path" left="0.5" right="0.5" top="0.5" bottom="0.5">
          <stop position="0">
            <color rgb="FFFF0000"/>
          </stop>
          <stop position="1">
            <color rgb="FFFFFF00"/>
          </stop>
        </gradientFill>
      </fill>
    </dxf>
    <dxf>
      <font>
        <color rgb="FF9C0006"/>
      </font>
      <fill>
        <patternFill>
          <bgColor rgb="FFFFC7CE"/>
        </patternFill>
      </fill>
    </dxf>
    <dxf>
      <font>
        <color rgb="FFFF0000"/>
      </font>
      <fill>
        <gradientFill type="path" left="0.5" right="0.5" top="0.5" bottom="0.5">
          <stop position="0">
            <color rgb="FFFF0000"/>
          </stop>
          <stop position="1">
            <color rgb="FFFFFF00"/>
          </stop>
        </gradientFill>
      </fill>
    </dxf>
    <dxf>
      <font>
        <color rgb="FF9C0006"/>
      </font>
      <fill>
        <patternFill>
          <bgColor rgb="FFFFC7CE"/>
        </patternFill>
      </fill>
    </dxf>
    <dxf>
      <font>
        <color rgb="FF9C0006"/>
      </font>
      <fill>
        <gradientFill type="path" left="0.5" right="0.5" top="0.5" bottom="0.5">
          <stop position="0">
            <color rgb="FFFF0000"/>
          </stop>
          <stop position="1">
            <color theme="9" tint="0.59999389629810485"/>
          </stop>
        </gradientFill>
      </fill>
    </dxf>
    <dxf>
      <font>
        <color rgb="FF9C0006"/>
      </font>
      <fill>
        <gradientFill type="path" left="0.5" right="0.5" top="0.5" bottom="0.5">
          <stop position="0">
            <color rgb="FFFF0000"/>
          </stop>
          <stop position="1">
            <color theme="9" tint="0.59999389629810485"/>
          </stop>
        </gradient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Metric Bolted Joint Diagram</a:t>
            </a:r>
          </a:p>
          <a:p>
            <a:pPr>
              <a:defRPr/>
            </a:pPr>
            <a:r>
              <a:rPr lang="en-US">
                <a:solidFill>
                  <a:srgbClr val="FF0000"/>
                </a:solidFill>
              </a:rPr>
              <a:t>Have</a:t>
            </a:r>
            <a:r>
              <a:rPr lang="en-US" baseline="0">
                <a:solidFill>
                  <a:srgbClr val="FF0000"/>
                </a:solidFill>
              </a:rPr>
              <a:t> not verified negative external force! (Check H88)</a:t>
            </a:r>
            <a:endParaRPr lang="en-US">
              <a:solidFill>
                <a:srgbClr val="FF0000"/>
              </a:solidFill>
            </a:endParaRPr>
          </a:p>
          <a:p>
            <a:pPr>
              <a:defRPr/>
            </a:pPr>
            <a:r>
              <a:rPr lang="en-US"/>
              <a:t>Higher Slope =</a:t>
            </a:r>
            <a:r>
              <a:rPr lang="en-US" baseline="0"/>
              <a:t> More Stiffness</a:t>
            </a:r>
          </a:p>
          <a:p>
            <a:pPr>
              <a:defRPr/>
            </a:pPr>
            <a:r>
              <a:rPr lang="en-US" baseline="0"/>
              <a:t>Ensure Residual Clamping Force is above required clamping force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3"/>
          <c:order val="3"/>
          <c:tx>
            <c:v>Member Compression (Moved)</c:v>
          </c:tx>
          <c:spPr>
            <a:ln w="19050" cap="rnd">
              <a:solidFill>
                <a:schemeClr val="accent4"/>
              </a:solidFill>
              <a:round/>
            </a:ln>
            <a:effectLst/>
          </c:spPr>
          <c:marker>
            <c:symbol val="none"/>
          </c:marker>
          <c:xVal>
            <c:numRef>
              <c:f>'Bolted Member Stiffness'!$BG$18:$BG$19</c:f>
              <c:numCache>
                <c:formatCode>General</c:formatCode>
                <c:ptCount val="2"/>
                <c:pt idx="0">
                  <c:v>6.4329556653563227E-2</c:v>
                </c:pt>
                <c:pt idx="1">
                  <c:v>5.0978629620602928E-2</c:v>
                </c:pt>
              </c:numCache>
            </c:numRef>
          </c:xVal>
          <c:yVal>
            <c:numRef>
              <c:f>'Bolted Member Stiffness'!$BH$18:$BH$19</c:f>
              <c:numCache>
                <c:formatCode>General</c:formatCode>
                <c:ptCount val="2"/>
                <c:pt idx="0">
                  <c:v>0</c:v>
                </c:pt>
                <c:pt idx="1">
                  <c:v>28.275000000000002</c:v>
                </c:pt>
              </c:numCache>
            </c:numRef>
          </c:yVal>
          <c:smooth val="0"/>
          <c:extLst>
            <c:ext xmlns:c16="http://schemas.microsoft.com/office/drawing/2014/chart" uri="{C3380CC4-5D6E-409C-BE32-E72D297353CC}">
              <c16:uniqueId val="{00000000-B0D3-48DA-AFC7-94B47040F50B}"/>
            </c:ext>
          </c:extLst>
        </c:ser>
        <c:ser>
          <c:idx val="7"/>
          <c:order val="7"/>
          <c:tx>
            <c:v>Member Compression @ Bolt Fully Relaxed</c:v>
          </c:tx>
          <c:spPr>
            <a:ln w="12700" cap="rnd">
              <a:solidFill>
                <a:schemeClr val="accent4"/>
              </a:solidFill>
              <a:prstDash val="sysDot"/>
              <a:round/>
            </a:ln>
            <a:effectLst/>
          </c:spPr>
          <c:marker>
            <c:symbol val="none"/>
          </c:marker>
          <c:xVal>
            <c:numRef>
              <c:f>'Bolted Member Stiffness'!$BO$18:$BO$19</c:f>
              <c:numCache>
                <c:formatCode>General</c:formatCode>
                <c:ptCount val="2"/>
                <c:pt idx="0">
                  <c:v>5.0978629620602928E-2</c:v>
                </c:pt>
                <c:pt idx="1">
                  <c:v>0</c:v>
                </c:pt>
              </c:numCache>
            </c:numRef>
          </c:xVal>
          <c:yVal>
            <c:numRef>
              <c:f>'Bolted Member Stiffness'!$BP$18:$BP$19</c:f>
              <c:numCache>
                <c:formatCode>General</c:formatCode>
                <c:ptCount val="2"/>
                <c:pt idx="0">
                  <c:v>28.275000000000002</c:v>
                </c:pt>
                <c:pt idx="1">
                  <c:v>136.23909485004441</c:v>
                </c:pt>
              </c:numCache>
            </c:numRef>
          </c:yVal>
          <c:smooth val="0"/>
          <c:extLst>
            <c:ext xmlns:c16="http://schemas.microsoft.com/office/drawing/2014/chart" uri="{C3380CC4-5D6E-409C-BE32-E72D297353CC}">
              <c16:uniqueId val="{00000001-B0D3-48DA-AFC7-94B47040F50B}"/>
            </c:ext>
          </c:extLst>
        </c:ser>
        <c:dLbls>
          <c:showLegendKey val="0"/>
          <c:showVal val="0"/>
          <c:showCatName val="0"/>
          <c:showSerName val="0"/>
          <c:showPercent val="0"/>
          <c:showBubbleSize val="0"/>
        </c:dLbls>
        <c:axId val="490911536"/>
        <c:axId val="490910552"/>
        <c:extLst>
          <c:ext xmlns:c15="http://schemas.microsoft.com/office/drawing/2012/chart" uri="{02D57815-91ED-43cb-92C2-25804820EDAC}">
            <c15:filteredScatterSeries>
              <c15:ser>
                <c:idx val="2"/>
                <c:order val="2"/>
                <c:tx>
                  <c:v>Member Compression</c:v>
                </c:tx>
                <c:spPr>
                  <a:ln w="6350" cap="rnd">
                    <a:solidFill>
                      <a:schemeClr val="accent4"/>
                    </a:solidFill>
                    <a:prstDash val="dash"/>
                    <a:round/>
                  </a:ln>
                  <a:effectLst/>
                </c:spPr>
                <c:marker>
                  <c:symbol val="none"/>
                </c:marker>
                <c:xVal>
                  <c:numRef>
                    <c:extLst>
                      <c:ext uri="{02D57815-91ED-43cb-92C2-25804820EDAC}">
                        <c15:formulaRef>
                          <c15:sqref>'Bolted Member Stiffness'!$BE$18:$BE$19</c15:sqref>
                        </c15:formulaRef>
                      </c:ext>
                    </c:extLst>
                    <c:numCache>
                      <c:formatCode>General</c:formatCode>
                      <c:ptCount val="2"/>
                      <c:pt idx="0">
                        <c:v>0</c:v>
                      </c:pt>
                      <c:pt idx="1">
                        <c:v>-1.3350927032960301E-2</c:v>
                      </c:pt>
                    </c:numCache>
                  </c:numRef>
                </c:xVal>
                <c:yVal>
                  <c:numRef>
                    <c:extLst>
                      <c:ext uri="{02D57815-91ED-43cb-92C2-25804820EDAC}">
                        <c15:formulaRef>
                          <c15:sqref>'Bolted Member Stiffness'!$BF$18:$BF$19</c15:sqref>
                        </c15:formulaRef>
                      </c:ext>
                    </c:extLst>
                    <c:numCache>
                      <c:formatCode>General</c:formatCode>
                      <c:ptCount val="2"/>
                      <c:pt idx="0">
                        <c:v>0</c:v>
                      </c:pt>
                      <c:pt idx="1">
                        <c:v>28.275000000000002</c:v>
                      </c:pt>
                    </c:numCache>
                  </c:numRef>
                </c:yVal>
                <c:smooth val="0"/>
                <c:extLst>
                  <c:ext xmlns:c16="http://schemas.microsoft.com/office/drawing/2014/chart" uri="{C3380CC4-5D6E-409C-BE32-E72D297353CC}">
                    <c16:uniqueId val="{0000000C-B0D3-48DA-AFC7-94B47040F50B}"/>
                  </c:ext>
                </c:extLst>
              </c15:ser>
            </c15:filteredScatterSeries>
          </c:ext>
        </c:extLst>
      </c:scatterChart>
      <c:scatterChart>
        <c:scatterStyle val="lineMarker"/>
        <c:varyColors val="0"/>
        <c:ser>
          <c:idx val="0"/>
          <c:order val="0"/>
          <c:tx>
            <c:v>Bolt Elongation</c:v>
          </c:tx>
          <c:spPr>
            <a:ln w="19050" cap="rnd">
              <a:solidFill>
                <a:schemeClr val="accent1"/>
              </a:solidFill>
              <a:round/>
            </a:ln>
            <a:effectLst/>
          </c:spPr>
          <c:marker>
            <c:symbol val="none"/>
          </c:marker>
          <c:xVal>
            <c:numRef>
              <c:f>'Bolted Member Stiffness'!$BC$18:$BC$19</c:f>
              <c:numCache>
                <c:formatCode>General</c:formatCode>
                <c:ptCount val="2"/>
                <c:pt idx="0">
                  <c:v>0</c:v>
                </c:pt>
                <c:pt idx="1">
                  <c:v>5.0978629620602928E-2</c:v>
                </c:pt>
              </c:numCache>
            </c:numRef>
          </c:xVal>
          <c:yVal>
            <c:numRef>
              <c:f>'Bolted Member Stiffness'!$BD$18:$BD$19</c:f>
              <c:numCache>
                <c:formatCode>General</c:formatCode>
                <c:ptCount val="2"/>
                <c:pt idx="0">
                  <c:v>0</c:v>
                </c:pt>
                <c:pt idx="1">
                  <c:v>28.275000000000002</c:v>
                </c:pt>
              </c:numCache>
            </c:numRef>
          </c:yVal>
          <c:smooth val="0"/>
          <c:extLst>
            <c:ext xmlns:c16="http://schemas.microsoft.com/office/drawing/2014/chart" uri="{C3380CC4-5D6E-409C-BE32-E72D297353CC}">
              <c16:uniqueId val="{00000002-B0D3-48DA-AFC7-94B47040F50B}"/>
            </c:ext>
          </c:extLst>
        </c:ser>
        <c:ser>
          <c:idx val="1"/>
          <c:order val="1"/>
          <c:tx>
            <c:v>Bolt Preload</c:v>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'Bolted Member Stiffness'!$BC$19</c:f>
              <c:numCache>
                <c:formatCode>General</c:formatCode>
                <c:ptCount val="1"/>
                <c:pt idx="0">
                  <c:v>5.0978629620602928E-2</c:v>
                </c:pt>
              </c:numCache>
              <c:extLst xmlns:c15="http://schemas.microsoft.com/office/drawing/2012/chart"/>
            </c:numRef>
          </c:xVal>
          <c:yVal>
            <c:numRef>
              <c:f>'Bolted Member Stiffness'!$BD$19</c:f>
              <c:numCache>
                <c:formatCode>General</c:formatCode>
                <c:ptCount val="1"/>
                <c:pt idx="0">
                  <c:v>28.275000000000002</c:v>
                </c:pt>
              </c:numCache>
              <c:extLst xmlns:c15="http://schemas.microsoft.com/office/drawing/2012/chart"/>
            </c:numRef>
          </c:yVal>
          <c:smooth val="0"/>
          <c:extLst>
            <c:ext xmlns:c16="http://schemas.microsoft.com/office/drawing/2014/chart" uri="{C3380CC4-5D6E-409C-BE32-E72D297353CC}">
              <c16:uniqueId val="{0000000B-B0D3-48DA-AFC7-94B47040F50B}"/>
            </c:ext>
          </c:extLst>
        </c:ser>
        <c:ser>
          <c:idx val="4"/>
          <c:order val="4"/>
          <c:tx>
            <c:v>Bolt Preload</c:v>
          </c:tx>
          <c:spPr>
            <a:ln w="12700" cap="rnd">
              <a:solidFill>
                <a:schemeClr val="accent5"/>
              </a:solidFill>
              <a:prstDash val="sysDash"/>
              <a:round/>
            </a:ln>
            <a:effectLst/>
          </c:spPr>
          <c:marker>
            <c:symbol val="none"/>
          </c:marker>
          <c:xVal>
            <c:numRef>
              <c:f>'Bolted Member Stiffness'!$BI$18:$BI$19</c:f>
              <c:numCache>
                <c:formatCode>General</c:formatCode>
                <c:ptCount val="2"/>
                <c:pt idx="0">
                  <c:v>0</c:v>
                </c:pt>
                <c:pt idx="1">
                  <c:v>6.4329556653563227E-2</c:v>
                </c:pt>
              </c:numCache>
            </c:numRef>
          </c:xVal>
          <c:yVal>
            <c:numRef>
              <c:f>'Bolted Member Stiffness'!$BJ$18:$BJ$19</c:f>
              <c:numCache>
                <c:formatCode>General</c:formatCode>
                <c:ptCount val="2"/>
                <c:pt idx="0">
                  <c:v>28.275000000000002</c:v>
                </c:pt>
                <c:pt idx="1">
                  <c:v>28.275000000000002</c:v>
                </c:pt>
              </c:numCache>
            </c:numRef>
          </c:yVal>
          <c:smooth val="0"/>
          <c:extLst>
            <c:ext xmlns:c16="http://schemas.microsoft.com/office/drawing/2014/chart" uri="{C3380CC4-5D6E-409C-BE32-E72D297353CC}">
              <c16:uniqueId val="{00000003-B0D3-48DA-AFC7-94B47040F50B}"/>
            </c:ext>
          </c:extLst>
        </c:ser>
        <c:ser>
          <c:idx val="5"/>
          <c:order val="5"/>
          <c:tx>
            <c:v>Bolt Elongation (Installed)</c:v>
          </c:tx>
          <c:spPr>
            <a:ln w="6350" cap="rnd">
              <a:solidFill>
                <a:schemeClr val="accent1"/>
              </a:solidFill>
              <a:prstDash val="dashDot"/>
              <a:round/>
            </a:ln>
            <a:effectLst/>
          </c:spPr>
          <c:marker>
            <c:symbol val="none"/>
          </c:marker>
          <c:xVal>
            <c:numRef>
              <c:f>'Bolted Member Stiffness'!$BK$18:$BK$19</c:f>
              <c:numCache>
                <c:formatCode>General</c:formatCode>
                <c:ptCount val="2"/>
                <c:pt idx="0">
                  <c:v>5.0978629610602927E-2</c:v>
                </c:pt>
                <c:pt idx="1">
                  <c:v>5.0978629630602929E-2</c:v>
                </c:pt>
              </c:numCache>
            </c:numRef>
          </c:xVal>
          <c:yVal>
            <c:numRef>
              <c:f>'Bolted Member Stiffness'!$BL$18:$BL$19</c:f>
              <c:numCache>
                <c:formatCode>General</c:formatCode>
                <c:ptCount val="2"/>
                <c:pt idx="0">
                  <c:v>0</c:v>
                </c:pt>
                <c:pt idx="1">
                  <c:v>28.275000000000002</c:v>
                </c:pt>
              </c:numCache>
            </c:numRef>
          </c:yVal>
          <c:smooth val="0"/>
          <c:extLst>
            <c:ext xmlns:c16="http://schemas.microsoft.com/office/drawing/2014/chart" uri="{C3380CC4-5D6E-409C-BE32-E72D297353CC}">
              <c16:uniqueId val="{00000004-B0D3-48DA-AFC7-94B47040F50B}"/>
            </c:ext>
          </c:extLst>
        </c:ser>
        <c:ser>
          <c:idx val="6"/>
          <c:order val="6"/>
          <c:tx>
            <c:v>Bolt Elongation @ Members Fully Relaxed</c:v>
          </c:tx>
          <c:spPr>
            <a:ln w="12700" cap="rnd">
              <a:solidFill>
                <a:schemeClr val="accent5"/>
              </a:solidFill>
              <a:prstDash val="sysDot"/>
              <a:round/>
            </a:ln>
            <a:effectLst/>
          </c:spPr>
          <c:marker>
            <c:symbol val="none"/>
          </c:marker>
          <c:xVal>
            <c:numRef>
              <c:f>'Bolted Member Stiffness'!$BM$18:$BM$19</c:f>
              <c:numCache>
                <c:formatCode>General</c:formatCode>
                <c:ptCount val="2"/>
                <c:pt idx="0">
                  <c:v>5.0978629620602928E-2</c:v>
                </c:pt>
                <c:pt idx="1">
                  <c:v>6.4329556653563227E-2</c:v>
                </c:pt>
              </c:numCache>
            </c:numRef>
          </c:xVal>
          <c:yVal>
            <c:numRef>
              <c:f>'Bolted Member Stiffness'!$BN$18:$BN$19</c:f>
              <c:numCache>
                <c:formatCode>General</c:formatCode>
                <c:ptCount val="2"/>
                <c:pt idx="0">
                  <c:v>28.275000000000002</c:v>
                </c:pt>
                <c:pt idx="1">
                  <c:v>35.680013917918018</c:v>
                </c:pt>
              </c:numCache>
            </c:numRef>
          </c:yVal>
          <c:smooth val="0"/>
          <c:extLst>
            <c:ext xmlns:c16="http://schemas.microsoft.com/office/drawing/2014/chart" uri="{C3380CC4-5D6E-409C-BE32-E72D297353CC}">
              <c16:uniqueId val="{00000005-B0D3-48DA-AFC7-94B47040F50B}"/>
            </c:ext>
          </c:extLst>
        </c:ser>
        <c:ser>
          <c:idx val="10"/>
          <c:order val="10"/>
          <c:tx>
            <c:v>External Force</c:v>
          </c:tx>
          <c:spPr>
            <a:ln w="12700" cap="rnd">
              <a:solidFill>
                <a:srgbClr val="FF0000"/>
              </a:solidFill>
              <a:round/>
            </a:ln>
            <a:effectLst/>
          </c:spPr>
          <c:marker>
            <c:symbol val="none"/>
          </c:marker>
          <c:xVal>
            <c:numRef>
              <c:f>'Bolted Member Stiffness'!$BU$18:$BU$19</c:f>
              <c:numCache>
                <c:formatCode>General</c:formatCode>
                <c:ptCount val="2"/>
                <c:pt idx="0">
                  <c:v>5.2849554754252556E-2</c:v>
                </c:pt>
                <c:pt idx="1">
                  <c:v>5.2849554774252558E-2</c:v>
                </c:pt>
              </c:numCache>
            </c:numRef>
          </c:xVal>
          <c:yVal>
            <c:numRef>
              <c:f>'Bolted Member Stiffness'!$BV$18:$BV$19</c:f>
              <c:numCache>
                <c:formatCode>General</c:formatCode>
                <c:ptCount val="2"/>
                <c:pt idx="0">
                  <c:v>24.312697733940531</c:v>
                </c:pt>
                <c:pt idx="1">
                  <c:v>29.312697733940531</c:v>
                </c:pt>
              </c:numCache>
            </c:numRef>
          </c:yVal>
          <c:smooth val="0"/>
          <c:extLst>
            <c:ext xmlns:c16="http://schemas.microsoft.com/office/drawing/2014/chart" uri="{C3380CC4-5D6E-409C-BE32-E72D297353CC}">
              <c16:uniqueId val="{00000006-B0D3-48DA-AFC7-94B47040F50B}"/>
            </c:ext>
          </c:extLst>
        </c:ser>
        <c:ser>
          <c:idx val="11"/>
          <c:order val="11"/>
          <c:tx>
            <c:v>Zero Compression on Joint</c:v>
          </c:tx>
          <c:spPr>
            <a:ln w="6350" cap="rnd">
              <a:solidFill>
                <a:schemeClr val="tx1"/>
              </a:solidFill>
              <a:prstDash val="sysDot"/>
              <a:round/>
            </a:ln>
            <a:effectLst/>
          </c:spPr>
          <c:marker>
            <c:symbol val="none"/>
          </c:marker>
          <c:xVal>
            <c:numRef>
              <c:f>'Bolted Member Stiffness'!$BW$18:$BW$19</c:f>
              <c:numCache>
                <c:formatCode>General</c:formatCode>
                <c:ptCount val="2"/>
                <c:pt idx="0">
                  <c:v>6.4329556643563227E-2</c:v>
                </c:pt>
                <c:pt idx="1">
                  <c:v>6.4329556663563228E-2</c:v>
                </c:pt>
              </c:numCache>
            </c:numRef>
          </c:xVal>
          <c:yVal>
            <c:numRef>
              <c:f>'Bolted Member Stiffness'!$BX$18:$BX$19</c:f>
              <c:numCache>
                <c:formatCode>General</c:formatCode>
                <c:ptCount val="2"/>
                <c:pt idx="0">
                  <c:v>0</c:v>
                </c:pt>
                <c:pt idx="1">
                  <c:v>96.550000000000011</c:v>
                </c:pt>
              </c:numCache>
            </c:numRef>
          </c:yVal>
          <c:smooth val="0"/>
          <c:extLst>
            <c:ext xmlns:c16="http://schemas.microsoft.com/office/drawing/2014/chart" uri="{C3380CC4-5D6E-409C-BE32-E72D297353CC}">
              <c16:uniqueId val="{00000007-B0D3-48DA-AFC7-94B47040F50B}"/>
            </c:ext>
          </c:extLst>
        </c:ser>
        <c:ser>
          <c:idx val="12"/>
          <c:order val="12"/>
          <c:tx>
            <c:v>Bolt Force Total</c:v>
          </c:tx>
          <c:spPr>
            <a:ln w="19050" cap="rnd">
              <a:solidFill>
                <a:schemeClr val="accent1">
                  <a:lumMod val="80000"/>
                  <a:lumOff val="20000"/>
                </a:schemeClr>
              </a:solidFill>
              <a:round/>
            </a:ln>
            <a:effectLst/>
          </c:spPr>
          <c:marker>
            <c:symbol val="none"/>
          </c:marker>
          <c:xVal>
            <c:numRef>
              <c:f>'Bolted Member Stiffness'!$BY$18:$BY$19</c:f>
              <c:numCache>
                <c:formatCode>General</c:formatCode>
                <c:ptCount val="2"/>
                <c:pt idx="0">
                  <c:v>0</c:v>
                </c:pt>
                <c:pt idx="1">
                  <c:v>6.4329556653563227E-2</c:v>
                </c:pt>
              </c:numCache>
            </c:numRef>
          </c:xVal>
          <c:yVal>
            <c:numRef>
              <c:f>'Bolted Member Stiffness'!$BZ$18:$BZ$19</c:f>
              <c:numCache>
                <c:formatCode>General</c:formatCode>
                <c:ptCount val="2"/>
                <c:pt idx="0">
                  <c:v>29.312697733940531</c:v>
                </c:pt>
                <c:pt idx="1">
                  <c:v>29.312697733940531</c:v>
                </c:pt>
              </c:numCache>
            </c:numRef>
          </c:yVal>
          <c:smooth val="0"/>
          <c:extLst>
            <c:ext xmlns:c16="http://schemas.microsoft.com/office/drawing/2014/chart" uri="{C3380CC4-5D6E-409C-BE32-E72D297353CC}">
              <c16:uniqueId val="{00000008-B0D3-48DA-AFC7-94B47040F50B}"/>
            </c:ext>
          </c:extLst>
        </c:ser>
        <c:ser>
          <c:idx val="13"/>
          <c:order val="13"/>
          <c:tx>
            <c:v>Residual Clamping Force on Member</c:v>
          </c:tx>
          <c:spPr>
            <a:ln w="19050" cap="rnd">
              <a:solidFill>
                <a:schemeClr val="accent2">
                  <a:lumMod val="80000"/>
                  <a:lumOff val="20000"/>
                </a:schemeClr>
              </a:solidFill>
              <a:round/>
            </a:ln>
            <a:effectLst/>
          </c:spPr>
          <c:marker>
            <c:symbol val="none"/>
          </c:marker>
          <c:xVal>
            <c:numRef>
              <c:f>'Bolted Member Stiffness'!$CA$18:$CA$19</c:f>
              <c:numCache>
                <c:formatCode>General</c:formatCode>
                <c:ptCount val="2"/>
                <c:pt idx="0">
                  <c:v>0</c:v>
                </c:pt>
                <c:pt idx="1">
                  <c:v>6.4329556653563227E-2</c:v>
                </c:pt>
              </c:numCache>
            </c:numRef>
          </c:xVal>
          <c:yVal>
            <c:numRef>
              <c:f>'Bolted Member Stiffness'!$CB$18:$CB$19</c:f>
              <c:numCache>
                <c:formatCode>General</c:formatCode>
                <c:ptCount val="2"/>
                <c:pt idx="0">
                  <c:v>24.312697733940531</c:v>
                </c:pt>
                <c:pt idx="1">
                  <c:v>24.312697733940531</c:v>
                </c:pt>
              </c:numCache>
            </c:numRef>
          </c:yVal>
          <c:smooth val="0"/>
          <c:extLst>
            <c:ext xmlns:c16="http://schemas.microsoft.com/office/drawing/2014/chart" uri="{C3380CC4-5D6E-409C-BE32-E72D297353CC}">
              <c16:uniqueId val="{00000009-B0D3-48DA-AFC7-94B47040F50B}"/>
            </c:ext>
          </c:extLst>
        </c:ser>
        <c:ser>
          <c:idx val="14"/>
          <c:order val="14"/>
          <c:tx>
            <c:v>Bolt Proof Load</c:v>
          </c:tx>
          <c:spPr>
            <a:ln w="19050" cap="rnd">
              <a:solidFill>
                <a:schemeClr val="accent3">
                  <a:lumMod val="80000"/>
                  <a:lumOff val="20000"/>
                </a:schemeClr>
              </a:solidFill>
              <a:round/>
            </a:ln>
            <a:effectLst/>
          </c:spPr>
          <c:marker>
            <c:symbol val="none"/>
          </c:marker>
          <c:xVal>
            <c:numRef>
              <c:f>'Bolted Member Stiffness'!$CC$18:$CC$19</c:f>
              <c:numCache>
                <c:formatCode>General</c:formatCode>
                <c:ptCount val="2"/>
                <c:pt idx="0">
                  <c:v>0</c:v>
                </c:pt>
                <c:pt idx="1">
                  <c:v>6.4329556653563227E-2</c:v>
                </c:pt>
              </c:numCache>
            </c:numRef>
          </c:xVal>
          <c:yVal>
            <c:numRef>
              <c:f>'Bolted Member Stiffness'!$CD$18:$CD$19</c:f>
              <c:numCache>
                <c:formatCode>General</c:formatCode>
                <c:ptCount val="2"/>
                <c:pt idx="0">
                  <c:v>37.700000000000003</c:v>
                </c:pt>
                <c:pt idx="1">
                  <c:v>37.700000000000003</c:v>
                </c:pt>
              </c:numCache>
            </c:numRef>
          </c:yVal>
          <c:smooth val="0"/>
          <c:extLst>
            <c:ext xmlns:c16="http://schemas.microsoft.com/office/drawing/2014/chart" uri="{C3380CC4-5D6E-409C-BE32-E72D297353CC}">
              <c16:uniqueId val="{0000000A-B0D3-48DA-AFC7-94B47040F50B}"/>
            </c:ext>
          </c:extLst>
        </c:ser>
        <c:dLbls>
          <c:showLegendKey val="0"/>
          <c:showVal val="0"/>
          <c:showCatName val="0"/>
          <c:showSerName val="0"/>
          <c:showPercent val="0"/>
          <c:showBubbleSize val="0"/>
        </c:dLbls>
        <c:axId val="858582480"/>
        <c:axId val="858581824"/>
        <c:extLst>
          <c:ext xmlns:c15="http://schemas.microsoft.com/office/drawing/2012/chart" uri="{02D57815-91ED-43cb-92C2-25804820EDAC}">
            <c15:filteredScatterSeries>
              <c15:ser>
                <c:idx val="8"/>
                <c:order val="8"/>
                <c:tx>
                  <c:v>Bolt Elongation from external load</c:v>
                </c:tx>
                <c:spPr>
                  <a:ln w="19050" cap="rnd">
                    <a:solidFill>
                      <a:schemeClr val="accent3">
                        <a:lumMod val="60000"/>
                      </a:schemeClr>
                    </a:solidFill>
                    <a:round/>
                  </a:ln>
                  <a:effectLst/>
                </c:spPr>
                <c:marker>
                  <c:symbol val="none"/>
                </c:marker>
                <c:xVal>
                  <c:numRef>
                    <c:extLst>
                      <c:ext uri="{02D57815-91ED-43cb-92C2-25804820EDAC}">
                        <c15:formulaRef>
                          <c15:sqref>'Bolted Member Stiffness'!$BQ$18:$BQ$19</c15:sqref>
                        </c15:formulaRef>
                      </c:ext>
                    </c:extLst>
                    <c:numCache>
                      <c:formatCode>General</c:formatCode>
                      <c:ptCount val="2"/>
                      <c:pt idx="0">
                        <c:v>5.0978629620602928E-2</c:v>
                      </c:pt>
                      <c:pt idx="1">
                        <c:v>5.2849554764252557E-2</c:v>
                      </c:pt>
                    </c:numCache>
                  </c:numRef>
                </c:xVal>
                <c:yVal>
                  <c:numRef>
                    <c:extLst>
                      <c:ext uri="{02D57815-91ED-43cb-92C2-25804820EDAC}">
                        <c15:formulaRef>
                          <c15:sqref>'Bolted Member Stiffness'!$BR$18:$BR$19</c15:sqref>
                        </c15:formulaRef>
                      </c:ext>
                    </c:extLst>
                    <c:numCache>
                      <c:formatCode>General</c:formatCode>
                      <c:ptCount val="2"/>
                      <c:pt idx="0">
                        <c:v>28.275000000000002</c:v>
                      </c:pt>
                      <c:pt idx="1">
                        <c:v>29.312697733940531</c:v>
                      </c:pt>
                    </c:numCache>
                  </c:numRef>
                </c:yVal>
                <c:smooth val="0"/>
                <c:extLst>
                  <c:ext xmlns:c16="http://schemas.microsoft.com/office/drawing/2014/chart" uri="{C3380CC4-5D6E-409C-BE32-E72D297353CC}">
                    <c16:uniqueId val="{0000000D-B0D3-48DA-AFC7-94B47040F50B}"/>
                  </c:ext>
                </c:extLst>
              </c15:ser>
            </c15:filteredScatterSeries>
            <c15:filteredScatterSeries>
              <c15:ser>
                <c:idx val="9"/>
                <c:order val="9"/>
                <c:tx>
                  <c:v>Member Elongation due to external load</c:v>
                </c:tx>
                <c:spPr>
                  <a:ln w="19050" cap="rnd">
                    <a:solidFill>
                      <a:schemeClr val="accent4">
                        <a:lumMod val="60000"/>
                      </a:schemeClr>
                    </a:solidFill>
                    <a:round/>
                  </a:ln>
                  <a:effectLst/>
                </c:spPr>
                <c:marker>
                  <c:symbol val="none"/>
                </c:marker>
                <c:xVal>
                  <c:numRef>
                    <c:extLst xmlns:c15="http://schemas.microsoft.com/office/drawing/2012/chart">
                      <c:ext xmlns:c15="http://schemas.microsoft.com/office/drawing/2012/chart" uri="{02D57815-91ED-43cb-92C2-25804820EDAC}">
                        <c15:formulaRef>
                          <c15:sqref>'Bolted Member Stiffness'!$BS$18:$BS$19</c15:sqref>
                        </c15:formulaRef>
                      </c:ext>
                    </c:extLst>
                    <c:numCache>
                      <c:formatCode>General</c:formatCode>
                      <c:ptCount val="2"/>
                      <c:pt idx="0">
                        <c:v>5.0978629620602928E-2</c:v>
                      </c:pt>
                      <c:pt idx="1">
                        <c:v>5.2849554764252557E-2</c:v>
                      </c:pt>
                    </c:numCache>
                  </c:numRef>
                </c:xVal>
                <c:yVal>
                  <c:numRef>
                    <c:extLst xmlns:c15="http://schemas.microsoft.com/office/drawing/2012/chart">
                      <c:ext xmlns:c15="http://schemas.microsoft.com/office/drawing/2012/chart" uri="{02D57815-91ED-43cb-92C2-25804820EDAC}">
                        <c15:formulaRef>
                          <c15:sqref>'Bolted Member Stiffness'!$BT$18:$BT$19</c15:sqref>
                        </c15:formulaRef>
                      </c:ext>
                    </c:extLst>
                    <c:numCache>
                      <c:formatCode>General</c:formatCode>
                      <c:ptCount val="2"/>
                      <c:pt idx="0">
                        <c:v>28.275000000000002</c:v>
                      </c:pt>
                      <c:pt idx="1">
                        <c:v>24.312697733940531</c:v>
                      </c:pt>
                    </c:numCache>
                  </c:numRef>
                </c:yVal>
                <c:smooth val="0"/>
                <c:extLst xmlns:c15="http://schemas.microsoft.com/office/drawing/2012/chart">
                  <c:ext xmlns:c16="http://schemas.microsoft.com/office/drawing/2014/chart" uri="{C3380CC4-5D6E-409C-BE32-E72D297353CC}">
                    <c16:uniqueId val="{0000000E-B0D3-48DA-AFC7-94B47040F50B}"/>
                  </c:ext>
                </c:extLst>
              </c15:ser>
            </c15:filteredScatterSeries>
          </c:ext>
        </c:extLst>
      </c:scatterChart>
      <c:valAx>
        <c:axId val="490911536"/>
        <c:scaling>
          <c:orientation val="minMax"/>
          <c:max val="7.0000000000000007E-2"/>
          <c:min val="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mm</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0910552"/>
        <c:crosses val="autoZero"/>
        <c:crossBetween val="midCat"/>
      </c:valAx>
      <c:valAx>
        <c:axId val="490910552"/>
        <c:scaling>
          <c:orientation val="minMax"/>
          <c:max val="40"/>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kN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0911536"/>
        <c:crosses val="autoZero"/>
        <c:crossBetween val="midCat"/>
      </c:valAx>
      <c:valAx>
        <c:axId val="858581824"/>
        <c:scaling>
          <c:orientation val="minMax"/>
        </c:scaling>
        <c:delete val="1"/>
        <c:axPos val="r"/>
        <c:numFmt formatCode="General" sourceLinked="1"/>
        <c:majorTickMark val="out"/>
        <c:minorTickMark val="none"/>
        <c:tickLblPos val="nextTo"/>
        <c:crossAx val="858582480"/>
        <c:crosses val="max"/>
        <c:crossBetween val="midCat"/>
      </c:valAx>
      <c:valAx>
        <c:axId val="858582480"/>
        <c:scaling>
          <c:orientation val="minMax"/>
        </c:scaling>
        <c:delete val="1"/>
        <c:axPos val="t"/>
        <c:numFmt formatCode="General" sourceLinked="1"/>
        <c:majorTickMark val="out"/>
        <c:minorTickMark val="none"/>
        <c:tickLblPos val="nextTo"/>
        <c:crossAx val="858581824"/>
        <c:crosses val="max"/>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Metric Bolted Joint Diagram</a:t>
            </a:r>
          </a:p>
          <a:p>
            <a:pPr>
              <a:defRPr/>
            </a:pPr>
            <a:r>
              <a:rPr lang="en-US">
                <a:solidFill>
                  <a:srgbClr val="FF0000"/>
                </a:solidFill>
              </a:rPr>
              <a:t>Have</a:t>
            </a:r>
            <a:r>
              <a:rPr lang="en-US" baseline="0">
                <a:solidFill>
                  <a:srgbClr val="FF0000"/>
                </a:solidFill>
              </a:rPr>
              <a:t> not verified negative external force! (Check H88)</a:t>
            </a:r>
            <a:endParaRPr lang="en-US">
              <a:solidFill>
                <a:srgbClr val="FF0000"/>
              </a:solidFill>
            </a:endParaRPr>
          </a:p>
          <a:p>
            <a:pPr>
              <a:defRPr/>
            </a:pPr>
            <a:r>
              <a:rPr lang="en-US"/>
              <a:t>Higher Slope =</a:t>
            </a:r>
            <a:r>
              <a:rPr lang="en-US" baseline="0"/>
              <a:t> More Stiffness</a:t>
            </a:r>
          </a:p>
          <a:p>
            <a:pPr>
              <a:defRPr/>
            </a:pPr>
            <a:r>
              <a:rPr lang="en-US" baseline="0"/>
              <a:t>Ensure Residual Clamping Force is above required clamping force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3"/>
          <c:order val="3"/>
          <c:tx>
            <c:v>Member Compression (Moved)</c:v>
          </c:tx>
          <c:spPr>
            <a:ln w="19050" cap="rnd">
              <a:solidFill>
                <a:schemeClr val="accent4"/>
              </a:solidFill>
              <a:round/>
            </a:ln>
            <a:effectLst/>
          </c:spPr>
          <c:marker>
            <c:symbol val="none"/>
          </c:marker>
          <c:xVal>
            <c:numRef>
              <c:f>'Bolted Member Stiffness'!$BG$18:$BG$19</c:f>
              <c:numCache>
                <c:formatCode>General</c:formatCode>
                <c:ptCount val="2"/>
                <c:pt idx="0">
                  <c:v>6.4329556653563227E-2</c:v>
                </c:pt>
                <c:pt idx="1">
                  <c:v>5.0978629620602928E-2</c:v>
                </c:pt>
              </c:numCache>
            </c:numRef>
          </c:xVal>
          <c:yVal>
            <c:numRef>
              <c:f>'Bolted Member Stiffness'!$BH$18:$BH$19</c:f>
              <c:numCache>
                <c:formatCode>General</c:formatCode>
                <c:ptCount val="2"/>
                <c:pt idx="0">
                  <c:v>0</c:v>
                </c:pt>
                <c:pt idx="1">
                  <c:v>28.275000000000002</c:v>
                </c:pt>
              </c:numCache>
            </c:numRef>
          </c:yVal>
          <c:smooth val="0"/>
          <c:extLst>
            <c:ext xmlns:c16="http://schemas.microsoft.com/office/drawing/2014/chart" uri="{C3380CC4-5D6E-409C-BE32-E72D297353CC}">
              <c16:uniqueId val="{00000000-F1AB-4FF9-8BB4-8515257B9453}"/>
            </c:ext>
          </c:extLst>
        </c:ser>
        <c:ser>
          <c:idx val="7"/>
          <c:order val="7"/>
          <c:tx>
            <c:v>Member Compression @ Bolt Fully Relaxed</c:v>
          </c:tx>
          <c:spPr>
            <a:ln w="12700" cap="rnd">
              <a:solidFill>
                <a:schemeClr val="accent4"/>
              </a:solidFill>
              <a:prstDash val="sysDot"/>
              <a:round/>
            </a:ln>
            <a:effectLst/>
          </c:spPr>
          <c:marker>
            <c:symbol val="none"/>
          </c:marker>
          <c:xVal>
            <c:numRef>
              <c:f>'Bolted Member Stiffness'!$BO$18:$BO$19</c:f>
              <c:numCache>
                <c:formatCode>General</c:formatCode>
                <c:ptCount val="2"/>
                <c:pt idx="0">
                  <c:v>5.0978629620602928E-2</c:v>
                </c:pt>
                <c:pt idx="1">
                  <c:v>0</c:v>
                </c:pt>
              </c:numCache>
            </c:numRef>
          </c:xVal>
          <c:yVal>
            <c:numRef>
              <c:f>'Bolted Member Stiffness'!$BP$18:$BP$19</c:f>
              <c:numCache>
                <c:formatCode>General</c:formatCode>
                <c:ptCount val="2"/>
                <c:pt idx="0">
                  <c:v>28.275000000000002</c:v>
                </c:pt>
                <c:pt idx="1">
                  <c:v>136.23909485004441</c:v>
                </c:pt>
              </c:numCache>
            </c:numRef>
          </c:yVal>
          <c:smooth val="0"/>
          <c:extLst>
            <c:ext xmlns:c16="http://schemas.microsoft.com/office/drawing/2014/chart" uri="{C3380CC4-5D6E-409C-BE32-E72D297353CC}">
              <c16:uniqueId val="{00000001-F1AB-4FF9-8BB4-8515257B9453}"/>
            </c:ext>
          </c:extLst>
        </c:ser>
        <c:dLbls>
          <c:showLegendKey val="0"/>
          <c:showVal val="0"/>
          <c:showCatName val="0"/>
          <c:showSerName val="0"/>
          <c:showPercent val="0"/>
          <c:showBubbleSize val="0"/>
        </c:dLbls>
        <c:axId val="490911536"/>
        <c:axId val="490910552"/>
        <c:extLst>
          <c:ext xmlns:c15="http://schemas.microsoft.com/office/drawing/2012/chart" uri="{02D57815-91ED-43cb-92C2-25804820EDAC}">
            <c15:filteredScatterSeries>
              <c15:ser>
                <c:idx val="2"/>
                <c:order val="2"/>
                <c:tx>
                  <c:v>Member Compression</c:v>
                </c:tx>
                <c:spPr>
                  <a:ln w="6350" cap="rnd">
                    <a:solidFill>
                      <a:schemeClr val="accent4"/>
                    </a:solidFill>
                    <a:prstDash val="dash"/>
                    <a:round/>
                  </a:ln>
                  <a:effectLst/>
                </c:spPr>
                <c:marker>
                  <c:symbol val="none"/>
                </c:marker>
                <c:xVal>
                  <c:numRef>
                    <c:extLst>
                      <c:ext uri="{02D57815-91ED-43cb-92C2-25804820EDAC}">
                        <c15:formulaRef>
                          <c15:sqref>'Bolted Member Stiffness'!$BE$18:$BE$19</c15:sqref>
                        </c15:formulaRef>
                      </c:ext>
                    </c:extLst>
                    <c:numCache>
                      <c:formatCode>General</c:formatCode>
                      <c:ptCount val="2"/>
                      <c:pt idx="0">
                        <c:v>0</c:v>
                      </c:pt>
                      <c:pt idx="1">
                        <c:v>-1.3350927032960301E-2</c:v>
                      </c:pt>
                    </c:numCache>
                  </c:numRef>
                </c:xVal>
                <c:yVal>
                  <c:numRef>
                    <c:extLst>
                      <c:ext uri="{02D57815-91ED-43cb-92C2-25804820EDAC}">
                        <c15:formulaRef>
                          <c15:sqref>'Bolted Member Stiffness'!$BF$18:$BF$19</c15:sqref>
                        </c15:formulaRef>
                      </c:ext>
                    </c:extLst>
                    <c:numCache>
                      <c:formatCode>General</c:formatCode>
                      <c:ptCount val="2"/>
                      <c:pt idx="0">
                        <c:v>0</c:v>
                      </c:pt>
                      <c:pt idx="1">
                        <c:v>28.275000000000002</c:v>
                      </c:pt>
                    </c:numCache>
                  </c:numRef>
                </c:yVal>
                <c:smooth val="0"/>
                <c:extLst>
                  <c:ext xmlns:c16="http://schemas.microsoft.com/office/drawing/2014/chart" uri="{C3380CC4-5D6E-409C-BE32-E72D297353CC}">
                    <c16:uniqueId val="{0000000C-F1AB-4FF9-8BB4-8515257B9453}"/>
                  </c:ext>
                </c:extLst>
              </c15:ser>
            </c15:filteredScatterSeries>
          </c:ext>
        </c:extLst>
      </c:scatterChart>
      <c:scatterChart>
        <c:scatterStyle val="lineMarker"/>
        <c:varyColors val="0"/>
        <c:ser>
          <c:idx val="0"/>
          <c:order val="0"/>
          <c:tx>
            <c:v>Bolt Elongation</c:v>
          </c:tx>
          <c:spPr>
            <a:ln w="19050" cap="rnd">
              <a:solidFill>
                <a:schemeClr val="accent1"/>
              </a:solidFill>
              <a:round/>
            </a:ln>
            <a:effectLst/>
          </c:spPr>
          <c:marker>
            <c:symbol val="none"/>
          </c:marker>
          <c:xVal>
            <c:numRef>
              <c:f>'Bolted Member Stiffness'!$BC$18:$BC$19</c:f>
              <c:numCache>
                <c:formatCode>General</c:formatCode>
                <c:ptCount val="2"/>
                <c:pt idx="0">
                  <c:v>0</c:v>
                </c:pt>
                <c:pt idx="1">
                  <c:v>5.0978629620602928E-2</c:v>
                </c:pt>
              </c:numCache>
            </c:numRef>
          </c:xVal>
          <c:yVal>
            <c:numRef>
              <c:f>'Bolted Member Stiffness'!$BD$18:$BD$19</c:f>
              <c:numCache>
                <c:formatCode>General</c:formatCode>
                <c:ptCount val="2"/>
                <c:pt idx="0">
                  <c:v>0</c:v>
                </c:pt>
                <c:pt idx="1">
                  <c:v>28.275000000000002</c:v>
                </c:pt>
              </c:numCache>
            </c:numRef>
          </c:yVal>
          <c:smooth val="0"/>
          <c:extLst>
            <c:ext xmlns:c16="http://schemas.microsoft.com/office/drawing/2014/chart" uri="{C3380CC4-5D6E-409C-BE32-E72D297353CC}">
              <c16:uniqueId val="{00000002-F1AB-4FF9-8BB4-8515257B9453}"/>
            </c:ext>
          </c:extLst>
        </c:ser>
        <c:ser>
          <c:idx val="1"/>
          <c:order val="1"/>
          <c:tx>
            <c:v>Bolt Preload</c:v>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'Bolted Member Stiffness'!$BC$19</c:f>
              <c:numCache>
                <c:formatCode>General</c:formatCode>
                <c:ptCount val="1"/>
                <c:pt idx="0">
                  <c:v>5.0978629620602928E-2</c:v>
                </c:pt>
              </c:numCache>
              <c:extLst xmlns:c15="http://schemas.microsoft.com/office/drawing/2012/chart"/>
            </c:numRef>
          </c:xVal>
          <c:yVal>
            <c:numRef>
              <c:f>'Bolted Member Stiffness'!$BD$19</c:f>
              <c:numCache>
                <c:formatCode>General</c:formatCode>
                <c:ptCount val="1"/>
                <c:pt idx="0">
                  <c:v>28.275000000000002</c:v>
                </c:pt>
              </c:numCache>
              <c:extLst xmlns:c15="http://schemas.microsoft.com/office/drawing/2012/chart"/>
            </c:numRef>
          </c:yVal>
          <c:smooth val="0"/>
          <c:extLst>
            <c:ext xmlns:c16="http://schemas.microsoft.com/office/drawing/2014/chart" uri="{C3380CC4-5D6E-409C-BE32-E72D297353CC}">
              <c16:uniqueId val="{00000003-F1AB-4FF9-8BB4-8515257B9453}"/>
            </c:ext>
          </c:extLst>
        </c:ser>
        <c:ser>
          <c:idx val="4"/>
          <c:order val="4"/>
          <c:tx>
            <c:v>Bolt Preload</c:v>
          </c:tx>
          <c:spPr>
            <a:ln w="12700" cap="rnd">
              <a:solidFill>
                <a:schemeClr val="accent5"/>
              </a:solidFill>
              <a:prstDash val="sysDash"/>
              <a:round/>
            </a:ln>
            <a:effectLst/>
          </c:spPr>
          <c:marker>
            <c:symbol val="none"/>
          </c:marker>
          <c:xVal>
            <c:numRef>
              <c:f>'Bolted Member Stiffness'!$BI$18:$BI$19</c:f>
              <c:numCache>
                <c:formatCode>General</c:formatCode>
                <c:ptCount val="2"/>
                <c:pt idx="0">
                  <c:v>0</c:v>
                </c:pt>
                <c:pt idx="1">
                  <c:v>6.4329556653563227E-2</c:v>
                </c:pt>
              </c:numCache>
            </c:numRef>
          </c:xVal>
          <c:yVal>
            <c:numRef>
              <c:f>'Bolted Member Stiffness'!$BJ$18:$BJ$19</c:f>
              <c:numCache>
                <c:formatCode>General</c:formatCode>
                <c:ptCount val="2"/>
                <c:pt idx="0">
                  <c:v>28.275000000000002</c:v>
                </c:pt>
                <c:pt idx="1">
                  <c:v>28.275000000000002</c:v>
                </c:pt>
              </c:numCache>
            </c:numRef>
          </c:yVal>
          <c:smooth val="0"/>
          <c:extLst>
            <c:ext xmlns:c16="http://schemas.microsoft.com/office/drawing/2014/chart" uri="{C3380CC4-5D6E-409C-BE32-E72D297353CC}">
              <c16:uniqueId val="{00000004-F1AB-4FF9-8BB4-8515257B9453}"/>
            </c:ext>
          </c:extLst>
        </c:ser>
        <c:ser>
          <c:idx val="5"/>
          <c:order val="5"/>
          <c:tx>
            <c:v>Bolt Elongation (Installed)</c:v>
          </c:tx>
          <c:spPr>
            <a:ln w="6350" cap="rnd">
              <a:solidFill>
                <a:schemeClr val="accent1"/>
              </a:solidFill>
              <a:prstDash val="dashDot"/>
              <a:round/>
            </a:ln>
            <a:effectLst/>
          </c:spPr>
          <c:marker>
            <c:symbol val="none"/>
          </c:marker>
          <c:xVal>
            <c:numRef>
              <c:f>'Bolted Member Stiffness'!$BK$18:$BK$19</c:f>
              <c:numCache>
                <c:formatCode>General</c:formatCode>
                <c:ptCount val="2"/>
                <c:pt idx="0">
                  <c:v>5.0978629610602927E-2</c:v>
                </c:pt>
                <c:pt idx="1">
                  <c:v>5.0978629630602929E-2</c:v>
                </c:pt>
              </c:numCache>
            </c:numRef>
          </c:xVal>
          <c:yVal>
            <c:numRef>
              <c:f>'Bolted Member Stiffness'!$BL$18:$BL$19</c:f>
              <c:numCache>
                <c:formatCode>General</c:formatCode>
                <c:ptCount val="2"/>
                <c:pt idx="0">
                  <c:v>0</c:v>
                </c:pt>
                <c:pt idx="1">
                  <c:v>28.275000000000002</c:v>
                </c:pt>
              </c:numCache>
            </c:numRef>
          </c:yVal>
          <c:smooth val="0"/>
          <c:extLst>
            <c:ext xmlns:c16="http://schemas.microsoft.com/office/drawing/2014/chart" uri="{C3380CC4-5D6E-409C-BE32-E72D297353CC}">
              <c16:uniqueId val="{00000005-F1AB-4FF9-8BB4-8515257B9453}"/>
            </c:ext>
          </c:extLst>
        </c:ser>
        <c:ser>
          <c:idx val="6"/>
          <c:order val="6"/>
          <c:tx>
            <c:v>Bolt Elongation @ Members Fully Relaxed</c:v>
          </c:tx>
          <c:spPr>
            <a:ln w="12700" cap="rnd">
              <a:solidFill>
                <a:schemeClr val="accent5"/>
              </a:solidFill>
              <a:prstDash val="sysDot"/>
              <a:round/>
            </a:ln>
            <a:effectLst/>
          </c:spPr>
          <c:marker>
            <c:symbol val="none"/>
          </c:marker>
          <c:xVal>
            <c:numRef>
              <c:f>'Bolted Member Stiffness'!$BM$18:$BM$19</c:f>
              <c:numCache>
                <c:formatCode>General</c:formatCode>
                <c:ptCount val="2"/>
                <c:pt idx="0">
                  <c:v>5.0978629620602928E-2</c:v>
                </c:pt>
                <c:pt idx="1">
                  <c:v>6.4329556653563227E-2</c:v>
                </c:pt>
              </c:numCache>
            </c:numRef>
          </c:xVal>
          <c:yVal>
            <c:numRef>
              <c:f>'Bolted Member Stiffness'!$BN$18:$BN$19</c:f>
              <c:numCache>
                <c:formatCode>General</c:formatCode>
                <c:ptCount val="2"/>
                <c:pt idx="0">
                  <c:v>28.275000000000002</c:v>
                </c:pt>
                <c:pt idx="1">
                  <c:v>35.680013917918018</c:v>
                </c:pt>
              </c:numCache>
            </c:numRef>
          </c:yVal>
          <c:smooth val="0"/>
          <c:extLst>
            <c:ext xmlns:c16="http://schemas.microsoft.com/office/drawing/2014/chart" uri="{C3380CC4-5D6E-409C-BE32-E72D297353CC}">
              <c16:uniqueId val="{00000006-F1AB-4FF9-8BB4-8515257B9453}"/>
            </c:ext>
          </c:extLst>
        </c:ser>
        <c:ser>
          <c:idx val="10"/>
          <c:order val="10"/>
          <c:tx>
            <c:v>External Force</c:v>
          </c:tx>
          <c:spPr>
            <a:ln w="12700" cap="rnd">
              <a:solidFill>
                <a:srgbClr val="FF0000"/>
              </a:solidFill>
              <a:round/>
            </a:ln>
            <a:effectLst/>
          </c:spPr>
          <c:marker>
            <c:symbol val="none"/>
          </c:marker>
          <c:xVal>
            <c:numRef>
              <c:f>'Bolted Member Stiffness'!$BU$18:$BU$19</c:f>
              <c:numCache>
                <c:formatCode>General</c:formatCode>
                <c:ptCount val="2"/>
                <c:pt idx="0">
                  <c:v>5.2849554754252556E-2</c:v>
                </c:pt>
                <c:pt idx="1">
                  <c:v>5.2849554774252558E-2</c:v>
                </c:pt>
              </c:numCache>
            </c:numRef>
          </c:xVal>
          <c:yVal>
            <c:numRef>
              <c:f>'Bolted Member Stiffness'!$BV$18:$BV$19</c:f>
              <c:numCache>
                <c:formatCode>General</c:formatCode>
                <c:ptCount val="2"/>
                <c:pt idx="0">
                  <c:v>24.312697733940531</c:v>
                </c:pt>
                <c:pt idx="1">
                  <c:v>29.312697733940531</c:v>
                </c:pt>
              </c:numCache>
            </c:numRef>
          </c:yVal>
          <c:smooth val="0"/>
          <c:extLst>
            <c:ext xmlns:c16="http://schemas.microsoft.com/office/drawing/2014/chart" uri="{C3380CC4-5D6E-409C-BE32-E72D297353CC}">
              <c16:uniqueId val="{00000007-F1AB-4FF9-8BB4-8515257B9453}"/>
            </c:ext>
          </c:extLst>
        </c:ser>
        <c:ser>
          <c:idx val="11"/>
          <c:order val="11"/>
          <c:tx>
            <c:v>Zero Compression on Joint</c:v>
          </c:tx>
          <c:spPr>
            <a:ln w="6350" cap="rnd">
              <a:solidFill>
                <a:schemeClr val="tx1"/>
              </a:solidFill>
              <a:prstDash val="sysDot"/>
              <a:round/>
            </a:ln>
            <a:effectLst/>
          </c:spPr>
          <c:marker>
            <c:symbol val="none"/>
          </c:marker>
          <c:xVal>
            <c:numRef>
              <c:f>'Bolted Member Stiffness'!$BW$18:$BW$19</c:f>
              <c:numCache>
                <c:formatCode>General</c:formatCode>
                <c:ptCount val="2"/>
                <c:pt idx="0">
                  <c:v>6.4329556643563227E-2</c:v>
                </c:pt>
                <c:pt idx="1">
                  <c:v>6.4329556663563228E-2</c:v>
                </c:pt>
              </c:numCache>
            </c:numRef>
          </c:xVal>
          <c:yVal>
            <c:numRef>
              <c:f>'Bolted Member Stiffness'!$BX$18:$BX$19</c:f>
              <c:numCache>
                <c:formatCode>General</c:formatCode>
                <c:ptCount val="2"/>
                <c:pt idx="0">
                  <c:v>0</c:v>
                </c:pt>
                <c:pt idx="1">
                  <c:v>96.550000000000011</c:v>
                </c:pt>
              </c:numCache>
            </c:numRef>
          </c:yVal>
          <c:smooth val="0"/>
          <c:extLst>
            <c:ext xmlns:c16="http://schemas.microsoft.com/office/drawing/2014/chart" uri="{C3380CC4-5D6E-409C-BE32-E72D297353CC}">
              <c16:uniqueId val="{00000008-F1AB-4FF9-8BB4-8515257B9453}"/>
            </c:ext>
          </c:extLst>
        </c:ser>
        <c:ser>
          <c:idx val="12"/>
          <c:order val="12"/>
          <c:tx>
            <c:v>Bolt Force Total</c:v>
          </c:tx>
          <c:spPr>
            <a:ln w="19050" cap="rnd">
              <a:solidFill>
                <a:schemeClr val="accent1">
                  <a:lumMod val="80000"/>
                  <a:lumOff val="20000"/>
                </a:schemeClr>
              </a:solidFill>
              <a:round/>
            </a:ln>
            <a:effectLst/>
          </c:spPr>
          <c:marker>
            <c:symbol val="none"/>
          </c:marker>
          <c:xVal>
            <c:numRef>
              <c:f>'Bolted Member Stiffness'!$BY$18:$BY$19</c:f>
              <c:numCache>
                <c:formatCode>General</c:formatCode>
                <c:ptCount val="2"/>
                <c:pt idx="0">
                  <c:v>0</c:v>
                </c:pt>
                <c:pt idx="1">
                  <c:v>6.4329556653563227E-2</c:v>
                </c:pt>
              </c:numCache>
            </c:numRef>
          </c:xVal>
          <c:yVal>
            <c:numRef>
              <c:f>'Bolted Member Stiffness'!$BZ$18:$BZ$19</c:f>
              <c:numCache>
                <c:formatCode>General</c:formatCode>
                <c:ptCount val="2"/>
                <c:pt idx="0">
                  <c:v>29.312697733940531</c:v>
                </c:pt>
                <c:pt idx="1">
                  <c:v>29.312697733940531</c:v>
                </c:pt>
              </c:numCache>
            </c:numRef>
          </c:yVal>
          <c:smooth val="0"/>
          <c:extLst>
            <c:ext xmlns:c16="http://schemas.microsoft.com/office/drawing/2014/chart" uri="{C3380CC4-5D6E-409C-BE32-E72D297353CC}">
              <c16:uniqueId val="{00000009-F1AB-4FF9-8BB4-8515257B9453}"/>
            </c:ext>
          </c:extLst>
        </c:ser>
        <c:ser>
          <c:idx val="13"/>
          <c:order val="13"/>
          <c:tx>
            <c:v>Residual Clamping Force on Member</c:v>
          </c:tx>
          <c:spPr>
            <a:ln w="19050" cap="rnd">
              <a:solidFill>
                <a:schemeClr val="accent2">
                  <a:lumMod val="80000"/>
                  <a:lumOff val="20000"/>
                </a:schemeClr>
              </a:solidFill>
              <a:round/>
            </a:ln>
            <a:effectLst/>
          </c:spPr>
          <c:marker>
            <c:symbol val="none"/>
          </c:marker>
          <c:xVal>
            <c:numRef>
              <c:f>'Bolted Member Stiffness'!$CA$18:$CA$19</c:f>
              <c:numCache>
                <c:formatCode>General</c:formatCode>
                <c:ptCount val="2"/>
                <c:pt idx="0">
                  <c:v>0</c:v>
                </c:pt>
                <c:pt idx="1">
                  <c:v>6.4329556653563227E-2</c:v>
                </c:pt>
              </c:numCache>
            </c:numRef>
          </c:xVal>
          <c:yVal>
            <c:numRef>
              <c:f>'Bolted Member Stiffness'!$CB$18:$CB$19</c:f>
              <c:numCache>
                <c:formatCode>General</c:formatCode>
                <c:ptCount val="2"/>
                <c:pt idx="0">
                  <c:v>24.312697733940531</c:v>
                </c:pt>
                <c:pt idx="1">
                  <c:v>24.312697733940531</c:v>
                </c:pt>
              </c:numCache>
            </c:numRef>
          </c:yVal>
          <c:smooth val="0"/>
          <c:extLst>
            <c:ext xmlns:c16="http://schemas.microsoft.com/office/drawing/2014/chart" uri="{C3380CC4-5D6E-409C-BE32-E72D297353CC}">
              <c16:uniqueId val="{0000000A-F1AB-4FF9-8BB4-8515257B9453}"/>
            </c:ext>
          </c:extLst>
        </c:ser>
        <c:ser>
          <c:idx val="14"/>
          <c:order val="14"/>
          <c:tx>
            <c:v>Bolt Proof Load</c:v>
          </c:tx>
          <c:spPr>
            <a:ln w="19050" cap="rnd">
              <a:solidFill>
                <a:schemeClr val="accent3">
                  <a:lumMod val="80000"/>
                  <a:lumOff val="20000"/>
                </a:schemeClr>
              </a:solidFill>
              <a:round/>
            </a:ln>
            <a:effectLst/>
          </c:spPr>
          <c:marker>
            <c:symbol val="none"/>
          </c:marker>
          <c:xVal>
            <c:numRef>
              <c:f>'Bolted Member Stiffness'!$CC$18:$CC$19</c:f>
              <c:numCache>
                <c:formatCode>General</c:formatCode>
                <c:ptCount val="2"/>
                <c:pt idx="0">
                  <c:v>0</c:v>
                </c:pt>
                <c:pt idx="1">
                  <c:v>6.4329556653563227E-2</c:v>
                </c:pt>
              </c:numCache>
            </c:numRef>
          </c:xVal>
          <c:yVal>
            <c:numRef>
              <c:f>'Bolted Member Stiffness'!$CD$18:$CD$19</c:f>
              <c:numCache>
                <c:formatCode>General</c:formatCode>
                <c:ptCount val="2"/>
                <c:pt idx="0">
                  <c:v>37.700000000000003</c:v>
                </c:pt>
                <c:pt idx="1">
                  <c:v>37.700000000000003</c:v>
                </c:pt>
              </c:numCache>
            </c:numRef>
          </c:yVal>
          <c:smooth val="0"/>
          <c:extLst>
            <c:ext xmlns:c16="http://schemas.microsoft.com/office/drawing/2014/chart" uri="{C3380CC4-5D6E-409C-BE32-E72D297353CC}">
              <c16:uniqueId val="{0000000B-F1AB-4FF9-8BB4-8515257B9453}"/>
            </c:ext>
          </c:extLst>
        </c:ser>
        <c:dLbls>
          <c:showLegendKey val="0"/>
          <c:showVal val="0"/>
          <c:showCatName val="0"/>
          <c:showSerName val="0"/>
          <c:showPercent val="0"/>
          <c:showBubbleSize val="0"/>
        </c:dLbls>
        <c:axId val="858582480"/>
        <c:axId val="858581824"/>
        <c:extLst>
          <c:ext xmlns:c15="http://schemas.microsoft.com/office/drawing/2012/chart" uri="{02D57815-91ED-43cb-92C2-25804820EDAC}">
            <c15:filteredScatterSeries>
              <c15:ser>
                <c:idx val="8"/>
                <c:order val="8"/>
                <c:tx>
                  <c:v>Bolt Elongation from external load</c:v>
                </c:tx>
                <c:spPr>
                  <a:ln w="19050" cap="rnd">
                    <a:solidFill>
                      <a:schemeClr val="accent3">
                        <a:lumMod val="60000"/>
                      </a:schemeClr>
                    </a:solidFill>
                    <a:round/>
                  </a:ln>
                  <a:effectLst/>
                </c:spPr>
                <c:marker>
                  <c:symbol val="none"/>
                </c:marker>
                <c:xVal>
                  <c:numRef>
                    <c:extLst>
                      <c:ext uri="{02D57815-91ED-43cb-92C2-25804820EDAC}">
                        <c15:formulaRef>
                          <c15:sqref>'Bolted Member Stiffness'!$BQ$18:$BQ$19</c15:sqref>
                        </c15:formulaRef>
                      </c:ext>
                    </c:extLst>
                    <c:numCache>
                      <c:formatCode>General</c:formatCode>
                      <c:ptCount val="2"/>
                      <c:pt idx="0">
                        <c:v>5.0978629620602928E-2</c:v>
                      </c:pt>
                      <c:pt idx="1">
                        <c:v>5.2849554764252557E-2</c:v>
                      </c:pt>
                    </c:numCache>
                  </c:numRef>
                </c:xVal>
                <c:yVal>
                  <c:numRef>
                    <c:extLst>
                      <c:ext uri="{02D57815-91ED-43cb-92C2-25804820EDAC}">
                        <c15:formulaRef>
                          <c15:sqref>'Bolted Member Stiffness'!$BR$18:$BR$19</c15:sqref>
                        </c15:formulaRef>
                      </c:ext>
                    </c:extLst>
                    <c:numCache>
                      <c:formatCode>General</c:formatCode>
                      <c:ptCount val="2"/>
                      <c:pt idx="0">
                        <c:v>28.275000000000002</c:v>
                      </c:pt>
                      <c:pt idx="1">
                        <c:v>29.312697733940531</c:v>
                      </c:pt>
                    </c:numCache>
                  </c:numRef>
                </c:yVal>
                <c:smooth val="0"/>
                <c:extLst>
                  <c:ext xmlns:c16="http://schemas.microsoft.com/office/drawing/2014/chart" uri="{C3380CC4-5D6E-409C-BE32-E72D297353CC}">
                    <c16:uniqueId val="{0000000D-F1AB-4FF9-8BB4-8515257B9453}"/>
                  </c:ext>
                </c:extLst>
              </c15:ser>
            </c15:filteredScatterSeries>
            <c15:filteredScatterSeries>
              <c15:ser>
                <c:idx val="9"/>
                <c:order val="9"/>
                <c:tx>
                  <c:v>Member Elongation due to external load</c:v>
                </c:tx>
                <c:spPr>
                  <a:ln w="19050" cap="rnd">
                    <a:solidFill>
                      <a:schemeClr val="accent4">
                        <a:lumMod val="60000"/>
                      </a:schemeClr>
                    </a:solidFill>
                    <a:round/>
                  </a:ln>
                  <a:effectLst/>
                </c:spPr>
                <c:marker>
                  <c:symbol val="none"/>
                </c:marker>
                <c:xVal>
                  <c:numRef>
                    <c:extLst xmlns:c15="http://schemas.microsoft.com/office/drawing/2012/chart">
                      <c:ext xmlns:c15="http://schemas.microsoft.com/office/drawing/2012/chart" uri="{02D57815-91ED-43cb-92C2-25804820EDAC}">
                        <c15:formulaRef>
                          <c15:sqref>'Bolted Member Stiffness'!$BS$18:$BS$19</c15:sqref>
                        </c15:formulaRef>
                      </c:ext>
                    </c:extLst>
                    <c:numCache>
                      <c:formatCode>General</c:formatCode>
                      <c:ptCount val="2"/>
                      <c:pt idx="0">
                        <c:v>5.0978629620602928E-2</c:v>
                      </c:pt>
                      <c:pt idx="1">
                        <c:v>5.2849554764252557E-2</c:v>
                      </c:pt>
                    </c:numCache>
                  </c:numRef>
                </c:xVal>
                <c:yVal>
                  <c:numRef>
                    <c:extLst xmlns:c15="http://schemas.microsoft.com/office/drawing/2012/chart">
                      <c:ext xmlns:c15="http://schemas.microsoft.com/office/drawing/2012/chart" uri="{02D57815-91ED-43cb-92C2-25804820EDAC}">
                        <c15:formulaRef>
                          <c15:sqref>'Bolted Member Stiffness'!$BT$18:$BT$19</c15:sqref>
                        </c15:formulaRef>
                      </c:ext>
                    </c:extLst>
                    <c:numCache>
                      <c:formatCode>General</c:formatCode>
                      <c:ptCount val="2"/>
                      <c:pt idx="0">
                        <c:v>28.275000000000002</c:v>
                      </c:pt>
                      <c:pt idx="1">
                        <c:v>24.312697733940531</c:v>
                      </c:pt>
                    </c:numCache>
                  </c:numRef>
                </c:yVal>
                <c:smooth val="0"/>
                <c:extLst xmlns:c15="http://schemas.microsoft.com/office/drawing/2012/chart">
                  <c:ext xmlns:c16="http://schemas.microsoft.com/office/drawing/2014/chart" uri="{C3380CC4-5D6E-409C-BE32-E72D297353CC}">
                    <c16:uniqueId val="{0000000E-F1AB-4FF9-8BB4-8515257B9453}"/>
                  </c:ext>
                </c:extLst>
              </c15:ser>
            </c15:filteredScatterSeries>
          </c:ext>
        </c:extLst>
      </c:scatterChart>
      <c:valAx>
        <c:axId val="490911536"/>
        <c:scaling>
          <c:orientation val="minMax"/>
          <c:max val="7.0000000000000007E-2"/>
          <c:min val="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mm</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0910552"/>
        <c:crosses val="autoZero"/>
        <c:crossBetween val="midCat"/>
      </c:valAx>
      <c:valAx>
        <c:axId val="490910552"/>
        <c:scaling>
          <c:orientation val="minMax"/>
          <c:max val="40"/>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kN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0911536"/>
        <c:crosses val="autoZero"/>
        <c:crossBetween val="midCat"/>
      </c:valAx>
      <c:valAx>
        <c:axId val="858581824"/>
        <c:scaling>
          <c:orientation val="minMax"/>
        </c:scaling>
        <c:delete val="1"/>
        <c:axPos val="r"/>
        <c:numFmt formatCode="General" sourceLinked="1"/>
        <c:majorTickMark val="out"/>
        <c:minorTickMark val="none"/>
        <c:tickLblPos val="nextTo"/>
        <c:crossAx val="858582480"/>
        <c:crosses val="max"/>
        <c:crossBetween val="midCat"/>
      </c:valAx>
      <c:valAx>
        <c:axId val="858582480"/>
        <c:scaling>
          <c:orientation val="minMax"/>
        </c:scaling>
        <c:delete val="1"/>
        <c:axPos val="t"/>
        <c:numFmt formatCode="General" sourceLinked="1"/>
        <c:majorTickMark val="out"/>
        <c:minorTickMark val="none"/>
        <c:tickLblPos val="nextTo"/>
        <c:crossAx val="858581824"/>
        <c:crosses val="max"/>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2.xml"/><Relationship Id="rId3" Type="http://schemas.openxmlformats.org/officeDocument/2006/relationships/image" Target="../media/image3.png"/><Relationship Id="rId7" Type="http://schemas.openxmlformats.org/officeDocument/2006/relationships/chart" Target="../charts/chart1.xml"/><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11</xdr:col>
      <xdr:colOff>95250</xdr:colOff>
      <xdr:row>7</xdr:row>
      <xdr:rowOff>76200</xdr:rowOff>
    </xdr:from>
    <xdr:to>
      <xdr:col>19</xdr:col>
      <xdr:colOff>478329</xdr:colOff>
      <xdr:row>18</xdr:row>
      <xdr:rowOff>110500</xdr:rowOff>
    </xdr:to>
    <xdr:pic>
      <xdr:nvPicPr>
        <xdr:cNvPr id="5" name="Picture 4">
          <a:extLst>
            <a:ext uri="{FF2B5EF4-FFF2-40B4-BE49-F238E27FC236}">
              <a16:creationId xmlns:a16="http://schemas.microsoft.com/office/drawing/2014/main" id="{F417F05D-E04F-4068-A57C-FD3888D98160}"/>
            </a:ext>
          </a:extLst>
        </xdr:cNvPr>
        <xdr:cNvPicPr>
          <a:picLocks noChangeAspect="1"/>
        </xdr:cNvPicPr>
      </xdr:nvPicPr>
      <xdr:blipFill>
        <a:blip xmlns:r="http://schemas.openxmlformats.org/officeDocument/2006/relationships" r:embed="rId1"/>
        <a:stretch>
          <a:fillRect/>
        </a:stretch>
      </xdr:blipFill>
      <xdr:spPr>
        <a:xfrm>
          <a:off x="5657850" y="76200"/>
          <a:ext cx="5450379" cy="2329825"/>
        </a:xfrm>
        <a:prstGeom prst="rect">
          <a:avLst/>
        </a:prstGeom>
        <a:ln>
          <a:solidFill>
            <a:sysClr val="windowText" lastClr="000000"/>
          </a:solidFill>
        </a:ln>
      </xdr:spPr>
    </xdr:pic>
    <xdr:clientData/>
  </xdr:twoCellAnchor>
  <xdr:twoCellAnchor editAs="oneCell">
    <xdr:from>
      <xdr:col>11</xdr:col>
      <xdr:colOff>95250</xdr:colOff>
      <xdr:row>27</xdr:row>
      <xdr:rowOff>84855</xdr:rowOff>
    </xdr:from>
    <xdr:to>
      <xdr:col>16</xdr:col>
      <xdr:colOff>322988</xdr:colOff>
      <xdr:row>31</xdr:row>
      <xdr:rowOff>142671</xdr:rowOff>
    </xdr:to>
    <xdr:pic>
      <xdr:nvPicPr>
        <xdr:cNvPr id="6" name="Picture 5">
          <a:extLst>
            <a:ext uri="{FF2B5EF4-FFF2-40B4-BE49-F238E27FC236}">
              <a16:creationId xmlns:a16="http://schemas.microsoft.com/office/drawing/2014/main" id="{9206CF4E-4040-44C5-B1CC-C484BE7D1975}"/>
            </a:ext>
          </a:extLst>
        </xdr:cNvPr>
        <xdr:cNvPicPr>
          <a:picLocks noChangeAspect="1"/>
        </xdr:cNvPicPr>
      </xdr:nvPicPr>
      <xdr:blipFill>
        <a:blip xmlns:r="http://schemas.openxmlformats.org/officeDocument/2006/relationships" r:embed="rId2"/>
        <a:stretch>
          <a:fillRect/>
        </a:stretch>
      </xdr:blipFill>
      <xdr:spPr>
        <a:xfrm>
          <a:off x="5657850" y="3894855"/>
          <a:ext cx="3466238" cy="819816"/>
        </a:xfrm>
        <a:prstGeom prst="rect">
          <a:avLst/>
        </a:prstGeom>
        <a:ln>
          <a:solidFill>
            <a:sysClr val="windowText" lastClr="000000"/>
          </a:solidFill>
        </a:ln>
      </xdr:spPr>
    </xdr:pic>
    <xdr:clientData/>
  </xdr:twoCellAnchor>
  <xdr:twoCellAnchor editAs="oneCell">
    <xdr:from>
      <xdr:col>11</xdr:col>
      <xdr:colOff>91136</xdr:colOff>
      <xdr:row>19</xdr:row>
      <xdr:rowOff>161924</xdr:rowOff>
    </xdr:from>
    <xdr:to>
      <xdr:col>16</xdr:col>
      <xdr:colOff>351562</xdr:colOff>
      <xdr:row>27</xdr:row>
      <xdr:rowOff>56799</xdr:rowOff>
    </xdr:to>
    <xdr:pic>
      <xdr:nvPicPr>
        <xdr:cNvPr id="7" name="Picture 6">
          <a:extLst>
            <a:ext uri="{FF2B5EF4-FFF2-40B4-BE49-F238E27FC236}">
              <a16:creationId xmlns:a16="http://schemas.microsoft.com/office/drawing/2014/main" id="{5A55480C-CC68-498F-9DB5-D9E4F4865629}"/>
            </a:ext>
          </a:extLst>
        </xdr:cNvPr>
        <xdr:cNvPicPr>
          <a:picLocks noChangeAspect="1"/>
        </xdr:cNvPicPr>
      </xdr:nvPicPr>
      <xdr:blipFill>
        <a:blip xmlns:r="http://schemas.openxmlformats.org/officeDocument/2006/relationships" r:embed="rId3"/>
        <a:stretch>
          <a:fillRect/>
        </a:stretch>
      </xdr:blipFill>
      <xdr:spPr>
        <a:xfrm>
          <a:off x="5653736" y="2447924"/>
          <a:ext cx="3498926" cy="1418875"/>
        </a:xfrm>
        <a:prstGeom prst="rect">
          <a:avLst/>
        </a:prstGeom>
        <a:ln>
          <a:solidFill>
            <a:sysClr val="windowText" lastClr="000000"/>
          </a:solidFill>
        </a:ln>
      </xdr:spPr>
    </xdr:pic>
    <xdr:clientData/>
  </xdr:twoCellAnchor>
  <xdr:twoCellAnchor editAs="oneCell">
    <xdr:from>
      <xdr:col>11</xdr:col>
      <xdr:colOff>95250</xdr:colOff>
      <xdr:row>44</xdr:row>
      <xdr:rowOff>26716</xdr:rowOff>
    </xdr:from>
    <xdr:to>
      <xdr:col>19</xdr:col>
      <xdr:colOff>257175</xdr:colOff>
      <xdr:row>47</xdr:row>
      <xdr:rowOff>171306</xdr:rowOff>
    </xdr:to>
    <xdr:pic>
      <xdr:nvPicPr>
        <xdr:cNvPr id="8" name="Picture 7">
          <a:extLst>
            <a:ext uri="{FF2B5EF4-FFF2-40B4-BE49-F238E27FC236}">
              <a16:creationId xmlns:a16="http://schemas.microsoft.com/office/drawing/2014/main" id="{0073D1DC-8177-4C9C-8AE9-F7931B176581}"/>
            </a:ext>
          </a:extLst>
        </xdr:cNvPr>
        <xdr:cNvPicPr>
          <a:picLocks noChangeAspect="1"/>
        </xdr:cNvPicPr>
      </xdr:nvPicPr>
      <xdr:blipFill>
        <a:blip xmlns:r="http://schemas.openxmlformats.org/officeDocument/2006/relationships" r:embed="rId4"/>
        <a:stretch>
          <a:fillRect/>
        </a:stretch>
      </xdr:blipFill>
      <xdr:spPr>
        <a:xfrm>
          <a:off x="5657850" y="7360966"/>
          <a:ext cx="5229225" cy="725615"/>
        </a:xfrm>
        <a:prstGeom prst="rect">
          <a:avLst/>
        </a:prstGeom>
        <a:ln>
          <a:solidFill>
            <a:sysClr val="windowText" lastClr="000000"/>
          </a:solidFill>
        </a:ln>
      </xdr:spPr>
    </xdr:pic>
    <xdr:clientData/>
  </xdr:twoCellAnchor>
  <xdr:twoCellAnchor editAs="oneCell">
    <xdr:from>
      <xdr:col>11</xdr:col>
      <xdr:colOff>95250</xdr:colOff>
      <xdr:row>31</xdr:row>
      <xdr:rowOff>182824</xdr:rowOff>
    </xdr:from>
    <xdr:to>
      <xdr:col>18</xdr:col>
      <xdr:colOff>465670</xdr:colOff>
      <xdr:row>44</xdr:row>
      <xdr:rowOff>132793</xdr:rowOff>
    </xdr:to>
    <xdr:pic>
      <xdr:nvPicPr>
        <xdr:cNvPr id="9" name="Picture 8">
          <a:extLst>
            <a:ext uri="{FF2B5EF4-FFF2-40B4-BE49-F238E27FC236}">
              <a16:creationId xmlns:a16="http://schemas.microsoft.com/office/drawing/2014/main" id="{0BBD9EC1-2D15-4CEA-B819-85D35A929FB9}"/>
            </a:ext>
          </a:extLst>
        </xdr:cNvPr>
        <xdr:cNvPicPr>
          <a:picLocks noChangeAspect="1"/>
        </xdr:cNvPicPr>
      </xdr:nvPicPr>
      <xdr:blipFill>
        <a:blip xmlns:r="http://schemas.openxmlformats.org/officeDocument/2006/relationships" r:embed="rId5"/>
        <a:stretch>
          <a:fillRect/>
        </a:stretch>
      </xdr:blipFill>
      <xdr:spPr>
        <a:xfrm>
          <a:off x="5657850" y="4754824"/>
          <a:ext cx="4828120" cy="2550294"/>
        </a:xfrm>
        <a:prstGeom prst="rect">
          <a:avLst/>
        </a:prstGeom>
        <a:ln>
          <a:solidFill>
            <a:sysClr val="windowText" lastClr="000000"/>
          </a:solidFill>
        </a:ln>
      </xdr:spPr>
    </xdr:pic>
    <xdr:clientData/>
  </xdr:twoCellAnchor>
  <xdr:twoCellAnchor editAs="oneCell">
    <xdr:from>
      <xdr:col>11</xdr:col>
      <xdr:colOff>95250</xdr:colOff>
      <xdr:row>48</xdr:row>
      <xdr:rowOff>24112</xdr:rowOff>
    </xdr:from>
    <xdr:to>
      <xdr:col>18</xdr:col>
      <xdr:colOff>142176</xdr:colOff>
      <xdr:row>56</xdr:row>
      <xdr:rowOff>152138</xdr:rowOff>
    </xdr:to>
    <xdr:pic>
      <xdr:nvPicPr>
        <xdr:cNvPr id="10" name="Picture 9">
          <a:extLst>
            <a:ext uri="{FF2B5EF4-FFF2-40B4-BE49-F238E27FC236}">
              <a16:creationId xmlns:a16="http://schemas.microsoft.com/office/drawing/2014/main" id="{1A7715FA-9AA7-4725-823E-39463D6A48D5}"/>
            </a:ext>
          </a:extLst>
        </xdr:cNvPr>
        <xdr:cNvPicPr>
          <a:picLocks noChangeAspect="1"/>
        </xdr:cNvPicPr>
      </xdr:nvPicPr>
      <xdr:blipFill>
        <a:blip xmlns:r="http://schemas.openxmlformats.org/officeDocument/2006/relationships" r:embed="rId6"/>
        <a:stretch>
          <a:fillRect/>
        </a:stretch>
      </xdr:blipFill>
      <xdr:spPr>
        <a:xfrm>
          <a:off x="5657850" y="8129887"/>
          <a:ext cx="4504626" cy="1680601"/>
        </a:xfrm>
        <a:prstGeom prst="rect">
          <a:avLst/>
        </a:prstGeom>
        <a:ln>
          <a:solidFill>
            <a:sysClr val="windowText" lastClr="000000"/>
          </a:solidFill>
        </a:ln>
      </xdr:spPr>
    </xdr:pic>
    <xdr:clientData/>
  </xdr:twoCellAnchor>
  <xdr:twoCellAnchor>
    <xdr:from>
      <xdr:col>0</xdr:col>
      <xdr:colOff>228599</xdr:colOff>
      <xdr:row>7</xdr:row>
      <xdr:rowOff>142875</xdr:rowOff>
    </xdr:from>
    <xdr:to>
      <xdr:col>4</xdr:col>
      <xdr:colOff>523875</xdr:colOff>
      <xdr:row>37</xdr:row>
      <xdr:rowOff>171450</xdr:rowOff>
    </xdr:to>
    <xdr:graphicFrame macro="">
      <xdr:nvGraphicFramePr>
        <xdr:cNvPr id="15" name="Chart 14">
          <a:extLst>
            <a:ext uri="{FF2B5EF4-FFF2-40B4-BE49-F238E27FC236}">
              <a16:creationId xmlns:a16="http://schemas.microsoft.com/office/drawing/2014/main" id="{9C5760B2-4BC5-4788-B5FF-172EF50752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12</xdr:col>
      <xdr:colOff>285750</xdr:colOff>
      <xdr:row>92</xdr:row>
      <xdr:rowOff>66675</xdr:rowOff>
    </xdr:from>
    <xdr:to>
      <xdr:col>20</xdr:col>
      <xdr:colOff>204788</xdr:colOff>
      <xdr:row>121</xdr:row>
      <xdr:rowOff>4762</xdr:rowOff>
    </xdr:to>
    <xdr:graphicFrame macro="">
      <xdr:nvGraphicFramePr>
        <xdr:cNvPr id="16" name="Chart 15">
          <a:extLst>
            <a:ext uri="{FF2B5EF4-FFF2-40B4-BE49-F238E27FC236}">
              <a16:creationId xmlns:a16="http://schemas.microsoft.com/office/drawing/2014/main" id="{B85E39B3-F294-4568-BA74-1156DA3404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A1F8F8-341F-4613-B2E4-C57DFC003FF1}">
  <dimension ref="A1:CD108"/>
  <sheetViews>
    <sheetView tabSelected="1" zoomScaleNormal="100" workbookViewId="0">
      <selection activeCell="E5" sqref="E5"/>
    </sheetView>
  </sheetViews>
  <sheetFormatPr defaultRowHeight="15" x14ac:dyDescent="0.25"/>
  <cols>
    <col min="1" max="1" width="13.42578125" style="2" customWidth="1"/>
    <col min="2" max="2" width="42.85546875" style="2" bestFit="1" customWidth="1"/>
    <col min="3" max="3" width="18" style="2" customWidth="1"/>
    <col min="4" max="5" width="9.140625" style="2"/>
    <col min="6" max="6" width="9" style="2" bestFit="1" customWidth="1"/>
    <col min="7" max="7" width="57.42578125" style="2" bestFit="1" customWidth="1"/>
    <col min="8" max="8" width="15.42578125" style="2" bestFit="1" customWidth="1"/>
    <col min="9" max="12" width="9.140625" style="2"/>
    <col min="13" max="13" width="12" style="2" bestFit="1" customWidth="1"/>
    <col min="14" max="33" width="9.140625" style="2"/>
    <col min="34" max="34" width="9.140625" style="2" customWidth="1"/>
    <col min="35" max="52" width="9.140625" style="2"/>
    <col min="53" max="54" width="0" style="2" hidden="1" customWidth="1"/>
    <col min="55" max="16384" width="9.140625" style="2"/>
  </cols>
  <sheetData>
    <row r="1" spans="1:82" x14ac:dyDescent="0.25">
      <c r="A1" s="1" t="s">
        <v>109</v>
      </c>
      <c r="B1" s="1"/>
      <c r="C1" s="1"/>
      <c r="D1" s="1"/>
    </row>
    <row r="2" spans="1:82" ht="15" customHeight="1" x14ac:dyDescent="0.25">
      <c r="A2" s="3" t="s">
        <v>154</v>
      </c>
      <c r="B2" s="3"/>
      <c r="C2" s="3"/>
      <c r="D2" s="3"/>
      <c r="E2" s="3"/>
      <c r="F2" s="3"/>
      <c r="G2" s="3"/>
      <c r="H2" s="3"/>
      <c r="I2" s="3"/>
    </row>
    <row r="3" spans="1:82" x14ac:dyDescent="0.25">
      <c r="A3" s="3"/>
      <c r="B3" s="3"/>
      <c r="C3" s="3"/>
      <c r="D3" s="3"/>
      <c r="E3" s="3"/>
      <c r="F3" s="3"/>
      <c r="G3" s="3"/>
      <c r="H3" s="3"/>
      <c r="I3" s="3"/>
    </row>
    <row r="4" spans="1:82" ht="3.75" customHeight="1" thickBot="1" x14ac:dyDescent="0.3">
      <c r="A4" s="4"/>
      <c r="B4" s="4"/>
      <c r="C4" s="4"/>
      <c r="D4" s="4"/>
    </row>
    <row r="5" spans="1:82" ht="15.75" thickBot="1" x14ac:dyDescent="0.3">
      <c r="A5" s="5" t="s">
        <v>110</v>
      </c>
      <c r="B5" s="6" t="s">
        <v>111</v>
      </c>
      <c r="C5" s="7" t="s">
        <v>112</v>
      </c>
      <c r="D5" s="8" t="s">
        <v>113</v>
      </c>
    </row>
    <row r="6" spans="1:82" ht="3.75" customHeight="1" x14ac:dyDescent="0.25"/>
    <row r="7" spans="1:82" ht="15.75" thickBot="1" x14ac:dyDescent="0.3">
      <c r="A7" s="9" t="s">
        <v>186</v>
      </c>
      <c r="B7" s="9"/>
      <c r="C7" s="9"/>
      <c r="D7" s="9"/>
      <c r="F7" s="9" t="s">
        <v>187</v>
      </c>
      <c r="G7" s="9"/>
      <c r="H7" s="9"/>
      <c r="I7" s="9"/>
    </row>
    <row r="8" spans="1:82" ht="30.75" thickBot="1" x14ac:dyDescent="0.3">
      <c r="A8" s="10" t="s">
        <v>56</v>
      </c>
      <c r="B8" s="11" t="s">
        <v>57</v>
      </c>
      <c r="C8" s="11" t="s">
        <v>58</v>
      </c>
      <c r="D8" s="12" t="s">
        <v>59</v>
      </c>
      <c r="F8" s="10" t="s">
        <v>56</v>
      </c>
      <c r="G8" s="11" t="s">
        <v>57</v>
      </c>
      <c r="H8" s="11" t="s">
        <v>58</v>
      </c>
      <c r="I8" s="12" t="s">
        <v>59</v>
      </c>
      <c r="BA8" s="2" t="s">
        <v>47</v>
      </c>
      <c r="BB8" s="2" t="s">
        <v>117</v>
      </c>
    </row>
    <row r="9" spans="1:82" x14ac:dyDescent="0.25">
      <c r="A9" s="13"/>
      <c r="B9" s="14" t="s">
        <v>46</v>
      </c>
      <c r="C9" s="96" t="s">
        <v>49</v>
      </c>
      <c r="D9" s="15" t="s">
        <v>3</v>
      </c>
      <c r="F9" s="13"/>
      <c r="G9" s="14" t="s">
        <v>46</v>
      </c>
      <c r="H9" s="96" t="s">
        <v>49</v>
      </c>
      <c r="I9" s="15" t="s">
        <v>3</v>
      </c>
      <c r="BA9" s="2" t="s">
        <v>49</v>
      </c>
      <c r="BB9" s="2" t="s">
        <v>118</v>
      </c>
    </row>
    <row r="10" spans="1:82" x14ac:dyDescent="0.25">
      <c r="A10" s="16" t="s">
        <v>37</v>
      </c>
      <c r="B10" s="17" t="s">
        <v>38</v>
      </c>
      <c r="C10" s="97">
        <f>17/64</f>
        <v>0.265625</v>
      </c>
      <c r="D10" s="18" t="s">
        <v>20</v>
      </c>
      <c r="F10" s="16" t="s">
        <v>37</v>
      </c>
      <c r="G10" s="17" t="s">
        <v>38</v>
      </c>
      <c r="H10" s="97">
        <v>9.3000000000000007</v>
      </c>
      <c r="I10" s="18" t="s">
        <v>12</v>
      </c>
      <c r="BA10" s="2" t="s">
        <v>48</v>
      </c>
      <c r="BB10" s="2" t="s">
        <v>119</v>
      </c>
    </row>
    <row r="11" spans="1:82" x14ac:dyDescent="0.25">
      <c r="A11" s="16" t="s">
        <v>36</v>
      </c>
      <c r="B11" s="17" t="s">
        <v>39</v>
      </c>
      <c r="C11" s="97">
        <v>6.5000000000000002E-2</v>
      </c>
      <c r="D11" s="18" t="s">
        <v>20</v>
      </c>
      <c r="F11" s="16" t="s">
        <v>36</v>
      </c>
      <c r="G11" s="17" t="s">
        <v>39</v>
      </c>
      <c r="H11" s="97">
        <v>0</v>
      </c>
      <c r="I11" s="18" t="s">
        <v>12</v>
      </c>
    </row>
    <row r="12" spans="1:82" x14ac:dyDescent="0.25">
      <c r="A12" s="16" t="s">
        <v>43</v>
      </c>
      <c r="B12" s="17" t="s">
        <v>41</v>
      </c>
      <c r="C12" s="97">
        <v>1.5</v>
      </c>
      <c r="D12" s="18" t="s">
        <v>20</v>
      </c>
      <c r="F12" s="16" t="s">
        <v>43</v>
      </c>
      <c r="G12" s="17" t="s">
        <v>41</v>
      </c>
      <c r="H12" s="97">
        <v>12</v>
      </c>
      <c r="I12" s="18" t="s">
        <v>12</v>
      </c>
    </row>
    <row r="13" spans="1:82" x14ac:dyDescent="0.25">
      <c r="A13" s="16" t="s">
        <v>44</v>
      </c>
      <c r="B13" s="17" t="s">
        <v>42</v>
      </c>
      <c r="C13" s="97">
        <v>0.5</v>
      </c>
      <c r="D13" s="18" t="s">
        <v>20</v>
      </c>
      <c r="F13" s="16" t="s">
        <v>44</v>
      </c>
      <c r="G13" s="17" t="s">
        <v>42</v>
      </c>
      <c r="H13" s="97">
        <v>12</v>
      </c>
      <c r="I13" s="18" t="s">
        <v>12</v>
      </c>
    </row>
    <row r="14" spans="1:82" x14ac:dyDescent="0.25">
      <c r="A14" s="16" t="s">
        <v>24</v>
      </c>
      <c r="B14" s="17" t="s">
        <v>40</v>
      </c>
      <c r="C14" s="17">
        <f>C11+C12+C13</f>
        <v>2.0649999999999999</v>
      </c>
      <c r="D14" s="18" t="s">
        <v>20</v>
      </c>
      <c r="F14" s="16" t="s">
        <v>24</v>
      </c>
      <c r="G14" s="17" t="s">
        <v>40</v>
      </c>
      <c r="H14" s="17">
        <f>H11+H12+H13</f>
        <v>24</v>
      </c>
      <c r="I14" s="18" t="s">
        <v>12</v>
      </c>
      <c r="BQ14" s="2" t="s">
        <v>185</v>
      </c>
      <c r="BY14" s="2" t="s">
        <v>175</v>
      </c>
    </row>
    <row r="15" spans="1:82" x14ac:dyDescent="0.25">
      <c r="A15" s="16"/>
      <c r="B15" s="17" t="s">
        <v>50</v>
      </c>
      <c r="C15" s="17">
        <f>C14+C10</f>
        <v>2.3306249999999999</v>
      </c>
      <c r="D15" s="18" t="s">
        <v>20</v>
      </c>
      <c r="F15" s="16"/>
      <c r="G15" s="17" t="s">
        <v>50</v>
      </c>
      <c r="H15" s="17">
        <f>H14+H10</f>
        <v>33.299999999999997</v>
      </c>
      <c r="I15" s="18" t="s">
        <v>12</v>
      </c>
      <c r="BC15" s="19" t="s">
        <v>163</v>
      </c>
      <c r="BD15" s="19"/>
      <c r="BE15" s="19" t="s">
        <v>164</v>
      </c>
      <c r="BF15" s="19"/>
      <c r="BG15" s="19" t="s">
        <v>162</v>
      </c>
      <c r="BH15" s="19"/>
      <c r="BI15" s="19" t="s">
        <v>161</v>
      </c>
      <c r="BJ15" s="19"/>
      <c r="BK15" s="19" t="s">
        <v>160</v>
      </c>
      <c r="BL15" s="19"/>
      <c r="BM15" s="19" t="s">
        <v>165</v>
      </c>
      <c r="BN15" s="19"/>
      <c r="BO15" s="2" t="s">
        <v>167</v>
      </c>
      <c r="BQ15" s="2" t="s">
        <v>173</v>
      </c>
      <c r="BS15" s="2" t="s">
        <v>173</v>
      </c>
      <c r="BU15" s="2" t="s">
        <v>171</v>
      </c>
      <c r="BW15" s="2" t="s">
        <v>172</v>
      </c>
      <c r="BY15" s="2" t="s">
        <v>174</v>
      </c>
      <c r="CA15" s="2" t="s">
        <v>176</v>
      </c>
      <c r="CC15" s="2" t="s">
        <v>121</v>
      </c>
    </row>
    <row r="16" spans="1:82" x14ac:dyDescent="0.25">
      <c r="A16" s="16" t="s">
        <v>9</v>
      </c>
      <c r="B16" s="17" t="s">
        <v>45</v>
      </c>
      <c r="C16" s="97">
        <v>2.5</v>
      </c>
      <c r="D16" s="18" t="s">
        <v>20</v>
      </c>
      <c r="F16" s="16" t="s">
        <v>9</v>
      </c>
      <c r="G16" s="17" t="s">
        <v>45</v>
      </c>
      <c r="H16" s="97">
        <v>35</v>
      </c>
      <c r="I16" s="18" t="s">
        <v>12</v>
      </c>
      <c r="BC16" s="2" t="s">
        <v>156</v>
      </c>
      <c r="BD16" s="2" t="s">
        <v>155</v>
      </c>
      <c r="BE16" s="2" t="s">
        <v>156</v>
      </c>
      <c r="BF16" s="2" t="s">
        <v>157</v>
      </c>
      <c r="BG16" s="2" t="s">
        <v>156</v>
      </c>
      <c r="BH16" s="2" t="s">
        <v>157</v>
      </c>
      <c r="BI16" s="2" t="s">
        <v>156</v>
      </c>
      <c r="BJ16" s="2" t="s">
        <v>0</v>
      </c>
      <c r="BK16" s="2" t="s">
        <v>156</v>
      </c>
      <c r="BL16" s="2" t="s">
        <v>159</v>
      </c>
      <c r="BM16" s="2" t="s">
        <v>166</v>
      </c>
      <c r="BN16" s="2" t="s">
        <v>159</v>
      </c>
      <c r="BO16" s="2" t="s">
        <v>166</v>
      </c>
      <c r="BP16" s="2" t="s">
        <v>159</v>
      </c>
      <c r="BQ16" s="2" t="s">
        <v>166</v>
      </c>
      <c r="BR16" s="2" t="s">
        <v>159</v>
      </c>
      <c r="BS16" s="2" t="s">
        <v>166</v>
      </c>
      <c r="BT16" s="2" t="s">
        <v>159</v>
      </c>
      <c r="BU16" s="2" t="s">
        <v>166</v>
      </c>
      <c r="BV16" s="2" t="s">
        <v>159</v>
      </c>
      <c r="BW16" s="2" t="s">
        <v>156</v>
      </c>
      <c r="BX16" s="2" t="s">
        <v>159</v>
      </c>
      <c r="BY16" s="2" t="s">
        <v>156</v>
      </c>
      <c r="BZ16" s="2" t="s">
        <v>159</v>
      </c>
      <c r="CA16" s="2" t="s">
        <v>156</v>
      </c>
      <c r="CB16" s="2" t="s">
        <v>159</v>
      </c>
      <c r="CC16" s="2" t="s">
        <v>156</v>
      </c>
      <c r="CD16" s="2" t="s">
        <v>159</v>
      </c>
    </row>
    <row r="17" spans="1:82" x14ac:dyDescent="0.25">
      <c r="A17" s="16" t="s">
        <v>61</v>
      </c>
      <c r="B17" s="17" t="s">
        <v>51</v>
      </c>
      <c r="C17" s="97">
        <f>5/16</f>
        <v>0.3125</v>
      </c>
      <c r="D17" s="18" t="s">
        <v>20</v>
      </c>
      <c r="F17" s="16" t="s">
        <v>61</v>
      </c>
      <c r="G17" s="17" t="s">
        <v>51</v>
      </c>
      <c r="H17" s="97">
        <v>10</v>
      </c>
      <c r="I17" s="18" t="s">
        <v>12</v>
      </c>
      <c r="BC17" s="2" t="s">
        <v>12</v>
      </c>
      <c r="BD17" s="2" t="s">
        <v>122</v>
      </c>
      <c r="BE17" s="2" t="s">
        <v>12</v>
      </c>
      <c r="BF17" s="2" t="s">
        <v>122</v>
      </c>
      <c r="BG17" s="2" t="s">
        <v>12</v>
      </c>
      <c r="BH17" s="2" t="s">
        <v>122</v>
      </c>
      <c r="BI17" s="2" t="s">
        <v>12</v>
      </c>
      <c r="BJ17" s="2" t="s">
        <v>122</v>
      </c>
      <c r="BK17" s="2" t="s">
        <v>12</v>
      </c>
      <c r="BM17" s="2" t="s">
        <v>12</v>
      </c>
      <c r="BN17" s="2" t="s">
        <v>122</v>
      </c>
      <c r="BO17" s="2" t="s">
        <v>12</v>
      </c>
      <c r="BP17" s="2" t="s">
        <v>122</v>
      </c>
      <c r="BQ17" s="2" t="s">
        <v>12</v>
      </c>
      <c r="BR17" s="2" t="s">
        <v>122</v>
      </c>
      <c r="BS17" s="2" t="s">
        <v>12</v>
      </c>
      <c r="BT17" s="2" t="s">
        <v>122</v>
      </c>
      <c r="BU17" s="2" t="s">
        <v>12</v>
      </c>
      <c r="BV17" s="2" t="s">
        <v>122</v>
      </c>
      <c r="BW17" s="2" t="s">
        <v>12</v>
      </c>
      <c r="BX17" s="2" t="s">
        <v>122</v>
      </c>
      <c r="BY17" s="2" t="s">
        <v>12</v>
      </c>
      <c r="BZ17" s="2" t="s">
        <v>122</v>
      </c>
      <c r="CA17" s="2" t="s">
        <v>12</v>
      </c>
      <c r="CB17" s="2" t="s">
        <v>122</v>
      </c>
      <c r="CC17" s="2" t="s">
        <v>12</v>
      </c>
      <c r="CD17" s="2" t="s">
        <v>122</v>
      </c>
    </row>
    <row r="18" spans="1:82" x14ac:dyDescent="0.25">
      <c r="A18" s="16"/>
      <c r="B18" s="17" t="s">
        <v>52</v>
      </c>
      <c r="C18" s="17">
        <f>IF(C16&lt;=6,2*C17+1/4,2*C17+1/2)</f>
        <v>0.875</v>
      </c>
      <c r="D18" s="18" t="s">
        <v>20</v>
      </c>
      <c r="F18" s="16"/>
      <c r="G18" s="17" t="s">
        <v>52</v>
      </c>
      <c r="H18" s="17">
        <f>IF(H16&lt;=125,2*H17+6,IF(H16&lt;=200,2*H17+12,2*H17+25))</f>
        <v>26</v>
      </c>
      <c r="I18" s="18" t="s">
        <v>12</v>
      </c>
      <c r="BC18" s="2">
        <v>0</v>
      </c>
      <c r="BD18" s="2">
        <v>0</v>
      </c>
      <c r="BE18" s="2">
        <v>0</v>
      </c>
      <c r="BF18" s="2">
        <v>0</v>
      </c>
      <c r="BG18" s="2">
        <f>BC19-BE19</f>
        <v>6.4329556653563227E-2</v>
      </c>
      <c r="BH18" s="2">
        <v>0</v>
      </c>
      <c r="BI18" s="2">
        <v>0</v>
      </c>
      <c r="BJ18" s="2">
        <f>BD19</f>
        <v>28.275000000000002</v>
      </c>
      <c r="BK18" s="2">
        <f>BC19-0.00000000001</f>
        <v>5.0978629610602927E-2</v>
      </c>
      <c r="BL18" s="2">
        <v>0</v>
      </c>
      <c r="BM18" s="2">
        <f>BC19</f>
        <v>5.0978629620602928E-2</v>
      </c>
      <c r="BN18" s="2">
        <f>BD19</f>
        <v>28.275000000000002</v>
      </c>
      <c r="BO18" s="2">
        <f>BM18</f>
        <v>5.0978629620602928E-2</v>
      </c>
      <c r="BP18" s="2">
        <f>BN18</f>
        <v>28.275000000000002</v>
      </c>
      <c r="BQ18" s="2">
        <f>BC19</f>
        <v>5.0978629620602928E-2</v>
      </c>
      <c r="BR18" s="2">
        <f>BD19</f>
        <v>28.275000000000002</v>
      </c>
      <c r="BS18" s="2">
        <f>BQ18</f>
        <v>5.0978629620602928E-2</v>
      </c>
      <c r="BT18" s="2">
        <f>BR18</f>
        <v>28.275000000000002</v>
      </c>
      <c r="BU18" s="2">
        <f>BS19-0.00000000001</f>
        <v>5.2849554754252556E-2</v>
      </c>
      <c r="BV18" s="2">
        <f>MIN(BT19,BR19)</f>
        <v>24.312697733940531</v>
      </c>
      <c r="BW18" s="2">
        <f>BM19-0.00000000001</f>
        <v>6.4329556643563227E-2</v>
      </c>
      <c r="BX18" s="2">
        <v>0</v>
      </c>
      <c r="BY18" s="2">
        <v>0</v>
      </c>
      <c r="BZ18" s="2">
        <f>BV19</f>
        <v>29.312697733940531</v>
      </c>
      <c r="CA18" s="2">
        <v>0</v>
      </c>
      <c r="CB18" s="2">
        <f>MIN(BV18:BV19)</f>
        <v>24.312697733940531</v>
      </c>
      <c r="CC18" s="2">
        <v>0</v>
      </c>
      <c r="CD18" s="2">
        <f>H63</f>
        <v>37.700000000000003</v>
      </c>
    </row>
    <row r="19" spans="1:82" x14ac:dyDescent="0.25">
      <c r="A19" s="16" t="s">
        <v>25</v>
      </c>
      <c r="B19" s="17" t="s">
        <v>53</v>
      </c>
      <c r="C19" s="97">
        <f>C18</f>
        <v>0.875</v>
      </c>
      <c r="D19" s="18" t="s">
        <v>20</v>
      </c>
      <c r="F19" s="16" t="s">
        <v>25</v>
      </c>
      <c r="G19" s="17" t="s">
        <v>53</v>
      </c>
      <c r="H19" s="97">
        <f>H18</f>
        <v>26</v>
      </c>
      <c r="I19" s="18" t="s">
        <v>12</v>
      </c>
      <c r="BC19" s="2">
        <f>H75</f>
        <v>5.0978629620602928E-2</v>
      </c>
      <c r="BD19" s="2">
        <f>H73</f>
        <v>28.275000000000002</v>
      </c>
      <c r="BE19" s="2">
        <f>-H82</f>
        <v>-1.3350927032960301E-2</v>
      </c>
      <c r="BF19" s="2">
        <f>H78</f>
        <v>28.275000000000002</v>
      </c>
      <c r="BG19" s="2">
        <f>BC19</f>
        <v>5.0978629620602928E-2</v>
      </c>
      <c r="BH19" s="2">
        <f>BF19</f>
        <v>28.275000000000002</v>
      </c>
      <c r="BI19" s="2">
        <f>BG18</f>
        <v>6.4329556653563227E-2</v>
      </c>
      <c r="BJ19" s="2">
        <f>BD19</f>
        <v>28.275000000000002</v>
      </c>
      <c r="BK19" s="2">
        <f>BC19+0.00000000001</f>
        <v>5.0978629630602929E-2</v>
      </c>
      <c r="BL19" s="2">
        <f>BD19</f>
        <v>28.275000000000002</v>
      </c>
      <c r="BM19" s="2">
        <f>BG18</f>
        <v>6.4329556653563227E-2</v>
      </c>
      <c r="BN19" s="2">
        <f>SLOPE(BD18:BD19,BC18:BC19)*(BM19-BM18)+BN18</f>
        <v>35.680013917918018</v>
      </c>
      <c r="BO19" s="2">
        <v>0</v>
      </c>
      <c r="BP19" s="2">
        <f>(BO18-BO19)*-SLOPE(BF18:BF19,BE18:BE19)+BP18</f>
        <v>136.23909485004441</v>
      </c>
      <c r="BQ19" s="2">
        <f>(BR18+(H98/H97)*H94)/H80</f>
        <v>5.2849554764252557E-2</v>
      </c>
      <c r="BR19" s="2">
        <f>BR18+(H89/H90)*H94</f>
        <v>29.312697733940531</v>
      </c>
      <c r="BS19" s="2">
        <f>BQ19</f>
        <v>5.2849554764252557E-2</v>
      </c>
      <c r="BT19" s="2">
        <f>BT18-(H89/H90)*(1-H94)</f>
        <v>24.312697733940531</v>
      </c>
      <c r="BU19" s="2">
        <f>BS19+0.00000000001</f>
        <v>5.2849554774252558E-2</v>
      </c>
      <c r="BV19" s="2">
        <f>MAX(BR19,BT19)</f>
        <v>29.312697733940531</v>
      </c>
      <c r="BW19" s="2">
        <f>BM19+0.00000000001</f>
        <v>6.4329556663563228E-2</v>
      </c>
      <c r="BX19" s="2">
        <f>(H78+H89)*2</f>
        <v>96.550000000000011</v>
      </c>
      <c r="BY19" s="2">
        <f>BM19</f>
        <v>6.4329556653563227E-2</v>
      </c>
      <c r="BZ19" s="2">
        <f>BZ18</f>
        <v>29.312697733940531</v>
      </c>
      <c r="CA19" s="2">
        <f>BI19</f>
        <v>6.4329556653563227E-2</v>
      </c>
      <c r="CB19" s="2">
        <f>CB18</f>
        <v>24.312697733940531</v>
      </c>
      <c r="CC19" s="2">
        <f>BM19</f>
        <v>6.4329556653563227E-2</v>
      </c>
      <c r="CD19" s="2">
        <f>CD18</f>
        <v>37.700000000000003</v>
      </c>
    </row>
    <row r="20" spans="1:82" x14ac:dyDescent="0.25">
      <c r="A20" s="16" t="s">
        <v>10</v>
      </c>
      <c r="B20" s="17" t="s">
        <v>55</v>
      </c>
      <c r="C20" s="17">
        <f>C16-C19</f>
        <v>1.625</v>
      </c>
      <c r="D20" s="18" t="s">
        <v>20</v>
      </c>
      <c r="F20" s="16" t="s">
        <v>10</v>
      </c>
      <c r="G20" s="17" t="s">
        <v>55</v>
      </c>
      <c r="H20" s="17">
        <f>H16-H19</f>
        <v>9</v>
      </c>
      <c r="I20" s="18" t="s">
        <v>12</v>
      </c>
      <c r="BI20" s="2">
        <f>BC19</f>
        <v>5.0978629620602928E-2</v>
      </c>
    </row>
    <row r="21" spans="1:82" x14ac:dyDescent="0.25">
      <c r="A21" s="16" t="s">
        <v>11</v>
      </c>
      <c r="B21" s="17" t="s">
        <v>54</v>
      </c>
      <c r="C21" s="17">
        <f>C14-C20</f>
        <v>0.43999999999999995</v>
      </c>
      <c r="D21" s="18" t="s">
        <v>20</v>
      </c>
      <c r="F21" s="16" t="s">
        <v>11</v>
      </c>
      <c r="G21" s="17" t="s">
        <v>54</v>
      </c>
      <c r="H21" s="17">
        <f>H14-H20</f>
        <v>15</v>
      </c>
      <c r="I21" s="18" t="s">
        <v>12</v>
      </c>
    </row>
    <row r="22" spans="1:82" x14ac:dyDescent="0.25">
      <c r="A22" s="20" t="s">
        <v>17</v>
      </c>
      <c r="B22" s="21" t="s">
        <v>60</v>
      </c>
      <c r="C22" s="17">
        <f>PI()*C17^2/4</f>
        <v>7.6699039394282062E-2</v>
      </c>
      <c r="D22" s="18" t="s">
        <v>23</v>
      </c>
      <c r="F22" s="20" t="s">
        <v>17</v>
      </c>
      <c r="G22" s="21" t="s">
        <v>60</v>
      </c>
      <c r="H22" s="17">
        <f>PI()*H17^2/4</f>
        <v>78.539816339744831</v>
      </c>
      <c r="I22" s="18" t="s">
        <v>19</v>
      </c>
    </row>
    <row r="23" spans="1:82" x14ac:dyDescent="0.25">
      <c r="A23" s="16"/>
      <c r="B23" s="22" t="s">
        <v>30</v>
      </c>
      <c r="C23" s="98">
        <v>0.40410000000000001</v>
      </c>
      <c r="D23" s="23" t="s">
        <v>20</v>
      </c>
      <c r="F23" s="16"/>
      <c r="G23" s="22" t="s">
        <v>30</v>
      </c>
      <c r="H23" s="98">
        <v>0.40410000000000001</v>
      </c>
      <c r="I23" s="23" t="s">
        <v>12</v>
      </c>
    </row>
    <row r="24" spans="1:82" x14ac:dyDescent="0.25">
      <c r="A24" s="16"/>
      <c r="B24" s="22" t="s">
        <v>31</v>
      </c>
      <c r="C24" s="98">
        <f>AVERAGE(0.4435,0.4485)</f>
        <v>0.44600000000000001</v>
      </c>
      <c r="D24" s="23" t="s">
        <v>20</v>
      </c>
      <c r="F24" s="16"/>
      <c r="G24" s="22" t="s">
        <v>31</v>
      </c>
      <c r="H24" s="98">
        <f>AVERAGE(0.4435,0.4485)</f>
        <v>0.44600000000000001</v>
      </c>
      <c r="I24" s="23" t="s">
        <v>12</v>
      </c>
    </row>
    <row r="25" spans="1:82" x14ac:dyDescent="0.25">
      <c r="A25" s="16"/>
      <c r="B25" s="22" t="s">
        <v>63</v>
      </c>
      <c r="C25" s="22">
        <f>IF(AND(ISNUMBER(C23),ISNUMBER(C24)),(C23+C24)/2,"")</f>
        <v>0.42505000000000004</v>
      </c>
      <c r="D25" s="23" t="s">
        <v>20</v>
      </c>
      <c r="F25" s="16"/>
      <c r="G25" s="22" t="s">
        <v>63</v>
      </c>
      <c r="H25" s="22">
        <f>IF(AND(ISNUMBER(H23),ISNUMBER(H24)),(H23+H24)/2,"")</f>
        <v>0.42505000000000004</v>
      </c>
      <c r="I25" s="23" t="s">
        <v>12</v>
      </c>
    </row>
    <row r="26" spans="1:82" x14ac:dyDescent="0.25">
      <c r="A26" s="16"/>
      <c r="B26" s="22" t="s">
        <v>62</v>
      </c>
      <c r="C26" s="98">
        <f>C25</f>
        <v>0.42505000000000004</v>
      </c>
      <c r="D26" s="24" t="s">
        <v>20</v>
      </c>
      <c r="F26" s="16"/>
      <c r="G26" s="22" t="s">
        <v>62</v>
      </c>
      <c r="H26" s="98">
        <f>H25</f>
        <v>0.42505000000000004</v>
      </c>
      <c r="I26" s="24" t="s">
        <v>12</v>
      </c>
    </row>
    <row r="27" spans="1:82" x14ac:dyDescent="0.25">
      <c r="A27" s="16"/>
      <c r="B27" s="25" t="s">
        <v>64</v>
      </c>
      <c r="C27" s="22">
        <f>PI()*C26^2/4</f>
        <v>0.14189592464910392</v>
      </c>
      <c r="D27" s="24" t="s">
        <v>20</v>
      </c>
      <c r="F27" s="16"/>
      <c r="G27" s="25" t="s">
        <v>64</v>
      </c>
      <c r="H27" s="22">
        <f>PI()*H26^2/4</f>
        <v>0.14189592464910392</v>
      </c>
      <c r="I27" s="24" t="s">
        <v>12</v>
      </c>
    </row>
    <row r="28" spans="1:82" x14ac:dyDescent="0.25">
      <c r="A28" s="16" t="s">
        <v>18</v>
      </c>
      <c r="B28" s="21" t="s">
        <v>66</v>
      </c>
      <c r="C28" s="97">
        <v>5.2400000000000002E-2</v>
      </c>
      <c r="D28" s="26" t="s">
        <v>23</v>
      </c>
      <c r="F28" s="16" t="s">
        <v>18</v>
      </c>
      <c r="G28" s="21" t="s">
        <v>66</v>
      </c>
      <c r="H28" s="97">
        <v>58</v>
      </c>
      <c r="I28" s="26" t="s">
        <v>19</v>
      </c>
    </row>
    <row r="29" spans="1:82" x14ac:dyDescent="0.25">
      <c r="A29" s="16"/>
      <c r="B29" s="21" t="s">
        <v>65</v>
      </c>
      <c r="C29" s="97">
        <v>18</v>
      </c>
      <c r="D29" s="26" t="s">
        <v>3</v>
      </c>
      <c r="F29" s="16"/>
      <c r="G29" s="21" t="s">
        <v>22</v>
      </c>
      <c r="H29" s="97">
        <v>1.5</v>
      </c>
      <c r="I29" s="26" t="s">
        <v>12</v>
      </c>
    </row>
    <row r="30" spans="1:82" x14ac:dyDescent="0.25">
      <c r="A30" s="16" t="s">
        <v>14</v>
      </c>
      <c r="B30" s="21" t="s">
        <v>13</v>
      </c>
      <c r="C30" s="97">
        <v>30000</v>
      </c>
      <c r="D30" s="26" t="s">
        <v>28</v>
      </c>
      <c r="F30" s="16" t="s">
        <v>14</v>
      </c>
      <c r="G30" s="21" t="s">
        <v>13</v>
      </c>
      <c r="H30" s="97">
        <v>207</v>
      </c>
      <c r="I30" s="26" t="s">
        <v>15</v>
      </c>
    </row>
    <row r="31" spans="1:82" x14ac:dyDescent="0.25">
      <c r="A31" s="16" t="s">
        <v>6</v>
      </c>
      <c r="B31" s="27" t="s">
        <v>16</v>
      </c>
      <c r="C31" s="28">
        <f>C22*C28*(C30/1000)/(C22*C21+C28*C20)</f>
        <v>1.0140735634136093</v>
      </c>
      <c r="D31" s="26" t="s">
        <v>67</v>
      </c>
      <c r="F31" s="16" t="s">
        <v>6</v>
      </c>
      <c r="G31" s="27" t="s">
        <v>16</v>
      </c>
      <c r="H31" s="28">
        <f>H22*H28*H30/(H22*H21+H28*H20)</f>
        <v>554.64417561692767</v>
      </c>
      <c r="I31" s="26" t="s">
        <v>129</v>
      </c>
    </row>
    <row r="32" spans="1:82" ht="15.75" thickBot="1" x14ac:dyDescent="0.3">
      <c r="A32" s="29"/>
      <c r="B32" s="30" t="s">
        <v>16</v>
      </c>
      <c r="C32" s="31">
        <f>C31*10^6</f>
        <v>1014073.5634136093</v>
      </c>
      <c r="D32" s="32" t="s">
        <v>29</v>
      </c>
      <c r="F32" s="29"/>
      <c r="G32" s="30" t="s">
        <v>16</v>
      </c>
      <c r="H32" s="31">
        <f>H31*10^3</f>
        <v>554644.17561692768</v>
      </c>
      <c r="I32" s="32" t="s">
        <v>136</v>
      </c>
    </row>
    <row r="33" spans="1:9" ht="15.75" thickBot="1" x14ac:dyDescent="0.3">
      <c r="A33" s="33"/>
      <c r="B33" s="34"/>
      <c r="C33" s="35"/>
      <c r="D33" s="36"/>
    </row>
    <row r="34" spans="1:9" ht="15.75" thickBot="1" x14ac:dyDescent="0.3">
      <c r="A34" s="37" t="s">
        <v>92</v>
      </c>
      <c r="B34" s="38"/>
      <c r="C34" s="38"/>
      <c r="D34" s="39"/>
      <c r="F34" s="37" t="s">
        <v>141</v>
      </c>
      <c r="G34" s="38"/>
      <c r="H34" s="38"/>
      <c r="I34" s="39"/>
    </row>
    <row r="35" spans="1:9" x14ac:dyDescent="0.25">
      <c r="A35" s="40" t="s">
        <v>70</v>
      </c>
      <c r="B35" s="41"/>
      <c r="C35" s="41"/>
      <c r="D35" s="42"/>
      <c r="F35" s="40" t="s">
        <v>70</v>
      </c>
      <c r="G35" s="41"/>
      <c r="H35" s="41"/>
      <c r="I35" s="42"/>
    </row>
    <row r="36" spans="1:9" ht="21.75" customHeight="1" x14ac:dyDescent="0.25">
      <c r="A36" s="43" t="s">
        <v>91</v>
      </c>
      <c r="B36" s="44"/>
      <c r="C36" s="44"/>
      <c r="D36" s="45"/>
      <c r="F36" s="43" t="s">
        <v>91</v>
      </c>
      <c r="G36" s="44"/>
      <c r="H36" s="44"/>
      <c r="I36" s="45"/>
    </row>
    <row r="37" spans="1:9" x14ac:dyDescent="0.25">
      <c r="A37" s="46" t="s">
        <v>105</v>
      </c>
      <c r="B37" s="47"/>
      <c r="C37" s="47"/>
      <c r="D37" s="48"/>
      <c r="F37" s="46" t="s">
        <v>105</v>
      </c>
      <c r="G37" s="47"/>
      <c r="H37" s="47"/>
      <c r="I37" s="48"/>
    </row>
    <row r="38" spans="1:9" x14ac:dyDescent="0.25">
      <c r="A38" s="49" t="s">
        <v>68</v>
      </c>
      <c r="B38" s="50" t="s">
        <v>72</v>
      </c>
      <c r="C38" s="99">
        <v>30</v>
      </c>
      <c r="D38" s="26" t="s">
        <v>69</v>
      </c>
      <c r="F38" s="49" t="s">
        <v>68</v>
      </c>
      <c r="G38" s="50" t="s">
        <v>72</v>
      </c>
      <c r="H38" s="99">
        <v>30</v>
      </c>
      <c r="I38" s="26" t="s">
        <v>69</v>
      </c>
    </row>
    <row r="39" spans="1:9" x14ac:dyDescent="0.25">
      <c r="A39" s="49" t="s">
        <v>74</v>
      </c>
      <c r="B39" s="51" t="s">
        <v>75</v>
      </c>
      <c r="C39" s="99">
        <f>1.5*C17</f>
        <v>0.46875</v>
      </c>
      <c r="D39" s="52" t="s">
        <v>20</v>
      </c>
      <c r="F39" s="49" t="s">
        <v>74</v>
      </c>
      <c r="G39" s="51" t="s">
        <v>75</v>
      </c>
      <c r="H39" s="99">
        <f>1.5*H17</f>
        <v>15</v>
      </c>
      <c r="I39" s="52" t="s">
        <v>12</v>
      </c>
    </row>
    <row r="40" spans="1:9" ht="15.75" thickBot="1" x14ac:dyDescent="0.3">
      <c r="A40" s="53" t="s">
        <v>94</v>
      </c>
      <c r="B40" s="54" t="s">
        <v>93</v>
      </c>
      <c r="C40" s="100">
        <f>C39</f>
        <v>0.46875</v>
      </c>
      <c r="D40" s="55" t="s">
        <v>20</v>
      </c>
      <c r="F40" s="53" t="s">
        <v>94</v>
      </c>
      <c r="G40" s="54" t="s">
        <v>93</v>
      </c>
      <c r="H40" s="100">
        <f>H39</f>
        <v>15</v>
      </c>
      <c r="I40" s="55" t="s">
        <v>12</v>
      </c>
    </row>
    <row r="41" spans="1:9" x14ac:dyDescent="0.25">
      <c r="A41" s="56" t="s">
        <v>76</v>
      </c>
      <c r="B41" s="57" t="s">
        <v>73</v>
      </c>
      <c r="C41" s="58">
        <f>IF(C12&lt;(C14/2),C12,C14/2)</f>
        <v>1.0325</v>
      </c>
      <c r="D41" s="59" t="s">
        <v>20</v>
      </c>
      <c r="F41" s="56" t="s">
        <v>76</v>
      </c>
      <c r="G41" s="57" t="s">
        <v>73</v>
      </c>
      <c r="H41" s="58">
        <f>IF(H12&lt;(H14/2),H12,H14/2)</f>
        <v>12</v>
      </c>
      <c r="I41" s="59" t="s">
        <v>12</v>
      </c>
    </row>
    <row r="42" spans="1:9" x14ac:dyDescent="0.25">
      <c r="A42" s="16" t="s">
        <v>79</v>
      </c>
      <c r="B42" s="50" t="s">
        <v>81</v>
      </c>
      <c r="C42" s="99">
        <f>C17</f>
        <v>0.3125</v>
      </c>
      <c r="D42" s="60" t="s">
        <v>20</v>
      </c>
      <c r="F42" s="16" t="s">
        <v>79</v>
      </c>
      <c r="G42" s="50" t="s">
        <v>81</v>
      </c>
      <c r="H42" s="99">
        <f>H17</f>
        <v>10</v>
      </c>
      <c r="I42" s="60" t="s">
        <v>12</v>
      </c>
    </row>
    <row r="43" spans="1:9" x14ac:dyDescent="0.25">
      <c r="A43" s="20" t="s">
        <v>77</v>
      </c>
      <c r="B43" s="51" t="s">
        <v>80</v>
      </c>
      <c r="C43" s="99">
        <f>C39</f>
        <v>0.46875</v>
      </c>
      <c r="D43" s="26" t="s">
        <v>20</v>
      </c>
      <c r="F43" s="20" t="s">
        <v>77</v>
      </c>
      <c r="G43" s="51" t="s">
        <v>80</v>
      </c>
      <c r="H43" s="99">
        <f>H39</f>
        <v>15</v>
      </c>
      <c r="I43" s="26" t="s">
        <v>12</v>
      </c>
    </row>
    <row r="44" spans="1:9" x14ac:dyDescent="0.25">
      <c r="A44" s="16" t="s">
        <v>34</v>
      </c>
      <c r="B44" s="50" t="s">
        <v>32</v>
      </c>
      <c r="C44" s="50">
        <v>14500</v>
      </c>
      <c r="D44" s="60" t="s">
        <v>28</v>
      </c>
      <c r="F44" s="16" t="s">
        <v>34</v>
      </c>
      <c r="G44" s="50" t="s">
        <v>32</v>
      </c>
      <c r="H44" s="50">
        <v>207</v>
      </c>
      <c r="I44" s="60" t="s">
        <v>15</v>
      </c>
    </row>
    <row r="45" spans="1:9" ht="15.75" thickBot="1" x14ac:dyDescent="0.3">
      <c r="A45" s="61" t="s">
        <v>78</v>
      </c>
      <c r="B45" s="62" t="s">
        <v>89</v>
      </c>
      <c r="C45" s="62">
        <f>PI()*(C44/1000)*C42*TAN(RADIANS($C$38))/LN(((2*C41*TAN(RADIANS(C38))+C43-C42)*(C43+C42))/((2*C41*TAN(RADIANS($C$38))+C43+C42)*(C43-C42)))</f>
        <v>6.6894548379458092</v>
      </c>
      <c r="D45" s="32" t="s">
        <v>67</v>
      </c>
      <c r="F45" s="61" t="s">
        <v>78</v>
      </c>
      <c r="G45" s="62" t="s">
        <v>89</v>
      </c>
      <c r="H45" s="62">
        <f>PI()*H44*H42*TAN(RADIANS($C$38))/LN(((2*H41*TAN(RADIANS(H38))+H43-H42)*(H43+H42))/((2*H41*TAN(RADIANS($C$38))+H43+H42)*(H43-H42)))</f>
        <v>4235.6609290419565</v>
      </c>
      <c r="I45" s="26" t="s">
        <v>129</v>
      </c>
    </row>
    <row r="46" spans="1:9" x14ac:dyDescent="0.25">
      <c r="A46" s="56" t="s">
        <v>82</v>
      </c>
      <c r="B46" s="57" t="s">
        <v>86</v>
      </c>
      <c r="C46" s="58">
        <f>IF((C13+C11)&lt;(C14/2),C13+C11,C14/2)</f>
        <v>0.56499999999999995</v>
      </c>
      <c r="D46" s="59" t="s">
        <v>20</v>
      </c>
      <c r="F46" s="56" t="s">
        <v>82</v>
      </c>
      <c r="G46" s="57" t="s">
        <v>86</v>
      </c>
      <c r="H46" s="58">
        <f>IF((H13+H11)&lt;(H14/2),H13+H11,H14/2)</f>
        <v>12</v>
      </c>
      <c r="I46" s="59" t="s">
        <v>12</v>
      </c>
    </row>
    <row r="47" spans="1:9" x14ac:dyDescent="0.25">
      <c r="A47" s="16" t="s">
        <v>83</v>
      </c>
      <c r="B47" s="50" t="s">
        <v>87</v>
      </c>
      <c r="C47" s="99">
        <f>C17</f>
        <v>0.3125</v>
      </c>
      <c r="D47" s="60" t="s">
        <v>20</v>
      </c>
      <c r="F47" s="16" t="s">
        <v>83</v>
      </c>
      <c r="G47" s="50" t="s">
        <v>87</v>
      </c>
      <c r="H47" s="99">
        <f>H17</f>
        <v>10</v>
      </c>
      <c r="I47" s="60" t="s">
        <v>12</v>
      </c>
    </row>
    <row r="48" spans="1:9" x14ac:dyDescent="0.25">
      <c r="A48" s="20" t="s">
        <v>84</v>
      </c>
      <c r="B48" s="51" t="s">
        <v>88</v>
      </c>
      <c r="C48" s="99">
        <f>C40</f>
        <v>0.46875</v>
      </c>
      <c r="D48" s="26" t="s">
        <v>20</v>
      </c>
      <c r="F48" s="20" t="s">
        <v>84</v>
      </c>
      <c r="G48" s="51" t="s">
        <v>88</v>
      </c>
      <c r="H48" s="99">
        <f>H40</f>
        <v>15</v>
      </c>
      <c r="I48" s="26" t="s">
        <v>12</v>
      </c>
    </row>
    <row r="49" spans="1:9" x14ac:dyDescent="0.25">
      <c r="A49" s="16" t="s">
        <v>35</v>
      </c>
      <c r="B49" s="50" t="s">
        <v>33</v>
      </c>
      <c r="C49" s="50">
        <v>30000</v>
      </c>
      <c r="D49" s="60" t="s">
        <v>28</v>
      </c>
      <c r="F49" s="16" t="s">
        <v>35</v>
      </c>
      <c r="G49" s="50" t="s">
        <v>33</v>
      </c>
      <c r="H49" s="50">
        <v>207</v>
      </c>
      <c r="I49" s="60" t="s">
        <v>15</v>
      </c>
    </row>
    <row r="50" spans="1:9" ht="15.75" thickBot="1" x14ac:dyDescent="0.3">
      <c r="A50" s="61" t="s">
        <v>85</v>
      </c>
      <c r="B50" s="62" t="s">
        <v>90</v>
      </c>
      <c r="C50" s="62">
        <f>PI()*(C49/1000)*C47*TAN(RADIANS($C$38))/LN(((2*C46*TAN(RADIANS(C38))+C48-C47)*(C48+C47))/((2*C46*TAN(RADIANS($C$38))+C48+C47)*(C48-C47)))</f>
        <v>16.400371038121101</v>
      </c>
      <c r="D50" s="32" t="s">
        <v>67</v>
      </c>
      <c r="F50" s="61" t="s">
        <v>85</v>
      </c>
      <c r="G50" s="62" t="s">
        <v>90</v>
      </c>
      <c r="H50" s="62">
        <f>PI()*H49*H47*TAN(RADIANS($C$38))/LN(((2*H46*TAN(RADIANS(H38))+H48-H47)*(H48+H47))/((2*H46*TAN(RADIANS($C$38))+H48+H47)*(H48-H47)))</f>
        <v>4235.6609290419565</v>
      </c>
      <c r="I50" s="26" t="s">
        <v>129</v>
      </c>
    </row>
    <row r="51" spans="1:9" x14ac:dyDescent="0.25">
      <c r="A51" s="56" t="s">
        <v>95</v>
      </c>
      <c r="B51" s="57" t="s">
        <v>100</v>
      </c>
      <c r="C51" s="58">
        <f>C14-(C46+C41)</f>
        <v>0.46750000000000003</v>
      </c>
      <c r="D51" s="59" t="s">
        <v>20</v>
      </c>
      <c r="F51" s="56" t="s">
        <v>95</v>
      </c>
      <c r="G51" s="57" t="s">
        <v>100</v>
      </c>
      <c r="H51" s="58">
        <f>H14-(H46+H41)</f>
        <v>0</v>
      </c>
      <c r="I51" s="59" t="s">
        <v>12</v>
      </c>
    </row>
    <row r="52" spans="1:9" x14ac:dyDescent="0.25">
      <c r="A52" s="16" t="s">
        <v>96</v>
      </c>
      <c r="B52" s="50" t="s">
        <v>101</v>
      </c>
      <c r="C52" s="99">
        <f>C17</f>
        <v>0.3125</v>
      </c>
      <c r="D52" s="60" t="s">
        <v>20</v>
      </c>
      <c r="F52" s="16" t="s">
        <v>96</v>
      </c>
      <c r="G52" s="50" t="s">
        <v>101</v>
      </c>
      <c r="H52" s="99" t="e">
        <f>IF(H51&gt;0,H17,NA())</f>
        <v>#N/A</v>
      </c>
      <c r="I52" s="60" t="s">
        <v>12</v>
      </c>
    </row>
    <row r="53" spans="1:9" x14ac:dyDescent="0.25">
      <c r="A53" s="20" t="s">
        <v>97</v>
      </c>
      <c r="B53" s="51" t="s">
        <v>102</v>
      </c>
      <c r="C53" s="99">
        <f>IF(C41&lt;C12,C48+2*C46*TAN(RADIANS(C38)),C43+2*C41*TAN(RADIANS(C38)))</f>
        <v>1.1211558041842768</v>
      </c>
      <c r="D53" s="26" t="s">
        <v>20</v>
      </c>
      <c r="F53" s="20" t="s">
        <v>97</v>
      </c>
      <c r="G53" s="51" t="s">
        <v>102</v>
      </c>
      <c r="H53" s="99" t="e">
        <f>IF(H51&gt;0,IF(H41&lt;H12,H48+2*H46*TAN(RADIANS(H38)),H43+2*H41*TAN(RADIANS(H38))),NA())</f>
        <v>#N/A</v>
      </c>
      <c r="I53" s="26" t="s">
        <v>12</v>
      </c>
    </row>
    <row r="54" spans="1:9" x14ac:dyDescent="0.25">
      <c r="A54" s="16" t="s">
        <v>98</v>
      </c>
      <c r="B54" s="50" t="s">
        <v>103</v>
      </c>
      <c r="C54" s="99">
        <f>IF(C41&lt;C12,C44,C49)</f>
        <v>14500</v>
      </c>
      <c r="D54" s="60" t="s">
        <v>28</v>
      </c>
      <c r="F54" s="16" t="s">
        <v>98</v>
      </c>
      <c r="G54" s="50" t="s">
        <v>103</v>
      </c>
      <c r="H54" s="99" t="e">
        <f>IF(H51&gt;0,IF(H41&lt;H12,H44,H49),NA())</f>
        <v>#N/A</v>
      </c>
      <c r="I54" s="60" t="s">
        <v>15</v>
      </c>
    </row>
    <row r="55" spans="1:9" ht="15.75" thickBot="1" x14ac:dyDescent="0.3">
      <c r="A55" s="61" t="s">
        <v>99</v>
      </c>
      <c r="B55" s="62" t="s">
        <v>104</v>
      </c>
      <c r="C55" s="62">
        <f>PI()*(C54/1000)*C52*TAN(RADIANS($C$38))/LN(((2*C51*TAN(RADIANS(C38))+C53-C52)*(C53+C52))/((2*C51*TAN(RADIANS($C$38))+C53+C52)*(C53-C52)))</f>
        <v>42.853286726832003</v>
      </c>
      <c r="D55" s="32" t="s">
        <v>67</v>
      </c>
      <c r="F55" s="61" t="s">
        <v>99</v>
      </c>
      <c r="G55" s="62" t="s">
        <v>104</v>
      </c>
      <c r="H55" s="62" t="e">
        <f>IF(H51&gt;0,PI()*(H54/1000)*H52*TAN(RADIANS($C$38))/LN(((2*H51*TAN(RADIANS(H38))+H53-H52)*(H53+H52))/((2*H51*TAN(RADIANS($C$38))+H53+H52)*(H53-H52))),NA())</f>
        <v>#N/A</v>
      </c>
      <c r="I55" s="26" t="s">
        <v>129</v>
      </c>
    </row>
    <row r="56" spans="1:9" ht="15.75" thickBot="1" x14ac:dyDescent="0.3">
      <c r="A56" s="63" t="s">
        <v>7</v>
      </c>
      <c r="B56" s="64" t="s">
        <v>106</v>
      </c>
      <c r="C56" s="65">
        <f>1/(1/C45+1/C50+1/C55)</f>
        <v>4.2771841864812039</v>
      </c>
      <c r="D56" s="66" t="s">
        <v>67</v>
      </c>
      <c r="F56" s="63" t="s">
        <v>7</v>
      </c>
      <c r="G56" s="64" t="s">
        <v>106</v>
      </c>
      <c r="H56" s="65">
        <f>1/(1/H45+1/H50+IF(H51&gt;0,1/H55,0))</f>
        <v>2117.8304645209782</v>
      </c>
      <c r="I56" s="66" t="s">
        <v>129</v>
      </c>
    </row>
    <row r="57" spans="1:9" ht="15.75" thickBot="1" x14ac:dyDescent="0.3">
      <c r="A57" s="67" t="s">
        <v>108</v>
      </c>
      <c r="B57" s="68" t="s">
        <v>107</v>
      </c>
      <c r="C57" s="69">
        <f>C31/(C31+C56)</f>
        <v>0.19165075892093303</v>
      </c>
      <c r="D57" s="70" t="s">
        <v>3</v>
      </c>
      <c r="F57" s="67" t="s">
        <v>108</v>
      </c>
      <c r="G57" s="68" t="s">
        <v>107</v>
      </c>
      <c r="H57" s="69">
        <f>H31/(H31+H56)</f>
        <v>0.20753954678810599</v>
      </c>
      <c r="I57" s="70" t="s">
        <v>3</v>
      </c>
    </row>
    <row r="58" spans="1:9" ht="15.75" thickBot="1" x14ac:dyDescent="0.3"/>
    <row r="59" spans="1:9" ht="15.75" thickBot="1" x14ac:dyDescent="0.3">
      <c r="A59" s="71" t="s">
        <v>128</v>
      </c>
      <c r="B59" s="72"/>
      <c r="C59" s="72"/>
      <c r="D59" s="73"/>
      <c r="F59" s="71" t="s">
        <v>128</v>
      </c>
      <c r="G59" s="72"/>
      <c r="H59" s="72"/>
      <c r="I59" s="73"/>
    </row>
    <row r="60" spans="1:9" x14ac:dyDescent="0.25">
      <c r="A60" s="13"/>
      <c r="B60" s="74" t="s">
        <v>117</v>
      </c>
      <c r="C60" s="101" t="s">
        <v>119</v>
      </c>
      <c r="D60" s="75" t="s">
        <v>3</v>
      </c>
      <c r="F60" s="76"/>
      <c r="G60" s="74" t="s">
        <v>117</v>
      </c>
      <c r="H60" s="101" t="s">
        <v>119</v>
      </c>
      <c r="I60" s="75" t="s">
        <v>3</v>
      </c>
    </row>
    <row r="61" spans="1:9" x14ac:dyDescent="0.25">
      <c r="A61" s="16" t="s">
        <v>18</v>
      </c>
      <c r="B61" s="50" t="s">
        <v>125</v>
      </c>
      <c r="C61" s="99">
        <f>C28</f>
        <v>5.2400000000000002E-2</v>
      </c>
      <c r="D61" s="60" t="s">
        <v>151</v>
      </c>
      <c r="F61" s="16" t="s">
        <v>18</v>
      </c>
      <c r="G61" s="50" t="s">
        <v>125</v>
      </c>
      <c r="H61" s="99">
        <f>H28</f>
        <v>58</v>
      </c>
      <c r="I61" s="60" t="s">
        <v>19</v>
      </c>
    </row>
    <row r="62" spans="1:9" x14ac:dyDescent="0.25">
      <c r="A62" s="16" t="s">
        <v>124</v>
      </c>
      <c r="B62" s="50" t="s">
        <v>126</v>
      </c>
      <c r="C62" s="102">
        <v>105</v>
      </c>
      <c r="D62" s="60" t="s">
        <v>28</v>
      </c>
      <c r="F62" s="16" t="s">
        <v>124</v>
      </c>
      <c r="G62" s="50" t="s">
        <v>126</v>
      </c>
      <c r="H62" s="102">
        <v>650</v>
      </c>
      <c r="I62" s="60" t="s">
        <v>127</v>
      </c>
    </row>
    <row r="63" spans="1:9" x14ac:dyDescent="0.25">
      <c r="A63" s="16" t="s">
        <v>123</v>
      </c>
      <c r="B63" s="50" t="s">
        <v>121</v>
      </c>
      <c r="C63" s="50">
        <f>C61*(C62*1000)</f>
        <v>5502</v>
      </c>
      <c r="D63" s="60" t="s">
        <v>114</v>
      </c>
      <c r="F63" s="16" t="s">
        <v>123</v>
      </c>
      <c r="G63" s="50" t="s">
        <v>121</v>
      </c>
      <c r="H63" s="50">
        <f>H61*H62/1000</f>
        <v>37.700000000000003</v>
      </c>
      <c r="I63" s="60" t="s">
        <v>122</v>
      </c>
    </row>
    <row r="64" spans="1:9" ht="15.75" thickBot="1" x14ac:dyDescent="0.3">
      <c r="A64" s="29" t="s">
        <v>8</v>
      </c>
      <c r="B64" s="62" t="s">
        <v>120</v>
      </c>
      <c r="C64" s="77">
        <f>IF(C60="Permanent",0.9*C63,0.75*C63)</f>
        <v>4126.5</v>
      </c>
      <c r="D64" s="78" t="s">
        <v>114</v>
      </c>
      <c r="F64" s="29" t="s">
        <v>8</v>
      </c>
      <c r="G64" s="62" t="s">
        <v>120</v>
      </c>
      <c r="H64" s="77">
        <f>IF(H60="Permanent",0.9*H63,0.75*H63)</f>
        <v>28.275000000000002</v>
      </c>
      <c r="I64" s="78" t="s">
        <v>122</v>
      </c>
    </row>
    <row r="65" spans="1:12" ht="15.75" thickBot="1" x14ac:dyDescent="0.3"/>
    <row r="66" spans="1:12" ht="15.75" thickBot="1" x14ac:dyDescent="0.3">
      <c r="A66" s="79" t="s">
        <v>132</v>
      </c>
      <c r="B66" s="80"/>
      <c r="C66" s="80"/>
      <c r="D66" s="81"/>
      <c r="F66" s="79" t="s">
        <v>132</v>
      </c>
      <c r="G66" s="80"/>
      <c r="H66" s="80"/>
      <c r="I66" s="81"/>
    </row>
    <row r="67" spans="1:12" x14ac:dyDescent="0.25">
      <c r="A67" s="13" t="s">
        <v>8</v>
      </c>
      <c r="B67" s="74" t="s">
        <v>120</v>
      </c>
      <c r="C67" s="103">
        <f>C64</f>
        <v>4126.5</v>
      </c>
      <c r="D67" s="75" t="s">
        <v>114</v>
      </c>
      <c r="F67" s="13" t="s">
        <v>8</v>
      </c>
      <c r="G67" s="74" t="s">
        <v>120</v>
      </c>
      <c r="H67" s="103">
        <f>H64</f>
        <v>28.275000000000002</v>
      </c>
      <c r="I67" s="75" t="s">
        <v>122</v>
      </c>
    </row>
    <row r="68" spans="1:12" x14ac:dyDescent="0.25">
      <c r="A68" s="16" t="s">
        <v>61</v>
      </c>
      <c r="B68" s="50" t="s">
        <v>21</v>
      </c>
      <c r="C68" s="99">
        <f>C17</f>
        <v>0.3125</v>
      </c>
      <c r="D68" s="60" t="s">
        <v>152</v>
      </c>
      <c r="F68" s="16" t="s">
        <v>61</v>
      </c>
      <c r="G68" s="50" t="s">
        <v>21</v>
      </c>
      <c r="H68" s="99">
        <f>H17</f>
        <v>10</v>
      </c>
      <c r="I68" s="60" t="s">
        <v>12</v>
      </c>
    </row>
    <row r="69" spans="1:12" x14ac:dyDescent="0.25">
      <c r="A69" s="16" t="s">
        <v>71</v>
      </c>
      <c r="B69" s="50" t="s">
        <v>135</v>
      </c>
      <c r="C69" s="102">
        <v>0.2</v>
      </c>
      <c r="D69" s="60" t="s">
        <v>3</v>
      </c>
      <c r="F69" s="16" t="s">
        <v>71</v>
      </c>
      <c r="G69" s="50" t="s">
        <v>135</v>
      </c>
      <c r="H69" s="102">
        <v>0.2</v>
      </c>
      <c r="I69" s="60" t="s">
        <v>3</v>
      </c>
    </row>
    <row r="70" spans="1:12" ht="15.75" thickBot="1" x14ac:dyDescent="0.3">
      <c r="A70" s="29" t="s">
        <v>26</v>
      </c>
      <c r="B70" s="62" t="s">
        <v>133</v>
      </c>
      <c r="C70" s="77">
        <f>C69*C67*C68</f>
        <v>257.90625</v>
      </c>
      <c r="D70" s="78" t="s">
        <v>153</v>
      </c>
      <c r="F70" s="29" t="s">
        <v>26</v>
      </c>
      <c r="G70" s="62" t="s">
        <v>133</v>
      </c>
      <c r="H70" s="77">
        <f>H69*H67*H68</f>
        <v>56.550000000000011</v>
      </c>
      <c r="I70" s="78" t="s">
        <v>134</v>
      </c>
    </row>
    <row r="71" spans="1:12" ht="15.75" thickBot="1" x14ac:dyDescent="0.3"/>
    <row r="72" spans="1:12" ht="15.75" thickBot="1" x14ac:dyDescent="0.3">
      <c r="A72" s="71" t="s">
        <v>131</v>
      </c>
      <c r="B72" s="72"/>
      <c r="C72" s="72"/>
      <c r="D72" s="73"/>
      <c r="F72" s="71" t="s">
        <v>131</v>
      </c>
      <c r="G72" s="72"/>
      <c r="H72" s="72"/>
      <c r="I72" s="73"/>
    </row>
    <row r="73" spans="1:12" x14ac:dyDescent="0.25">
      <c r="A73" s="13" t="s">
        <v>8</v>
      </c>
      <c r="B73" s="74" t="s">
        <v>120</v>
      </c>
      <c r="C73" s="103">
        <f>C64</f>
        <v>4126.5</v>
      </c>
      <c r="D73" s="75" t="s">
        <v>114</v>
      </c>
      <c r="F73" s="13" t="s">
        <v>8</v>
      </c>
      <c r="G73" s="74" t="s">
        <v>120</v>
      </c>
      <c r="H73" s="103">
        <f>H64</f>
        <v>28.275000000000002</v>
      </c>
      <c r="I73" s="75" t="s">
        <v>122</v>
      </c>
    </row>
    <row r="74" spans="1:12" x14ac:dyDescent="0.25">
      <c r="A74" s="20" t="s">
        <v>6</v>
      </c>
      <c r="B74" s="51" t="s">
        <v>27</v>
      </c>
      <c r="C74" s="99">
        <f>C31</f>
        <v>1.0140735634136093</v>
      </c>
      <c r="D74" s="26" t="s">
        <v>67</v>
      </c>
      <c r="F74" s="20" t="s">
        <v>6</v>
      </c>
      <c r="G74" s="51" t="s">
        <v>27</v>
      </c>
      <c r="H74" s="99">
        <f>H31</f>
        <v>554.64417561692767</v>
      </c>
      <c r="I74" s="52" t="s">
        <v>129</v>
      </c>
    </row>
    <row r="75" spans="1:12" ht="15.75" thickBot="1" x14ac:dyDescent="0.3">
      <c r="A75" s="82" t="s">
        <v>5</v>
      </c>
      <c r="B75" s="83" t="s">
        <v>130</v>
      </c>
      <c r="C75" s="77">
        <f>(C73/10^6)/C74</f>
        <v>4.069231413655271E-3</v>
      </c>
      <c r="D75" s="84" t="s">
        <v>152</v>
      </c>
      <c r="F75" s="82" t="s">
        <v>5</v>
      </c>
      <c r="G75" s="83" t="s">
        <v>130</v>
      </c>
      <c r="H75" s="77">
        <f>H73/H74</f>
        <v>5.0978629620602928E-2</v>
      </c>
      <c r="I75" s="84" t="s">
        <v>12</v>
      </c>
    </row>
    <row r="76" spans="1:12" ht="15.75" thickBot="1" x14ac:dyDescent="0.3"/>
    <row r="77" spans="1:12" ht="15.75" thickBot="1" x14ac:dyDescent="0.3">
      <c r="A77" s="79" t="s">
        <v>115</v>
      </c>
      <c r="B77" s="80"/>
      <c r="C77" s="80"/>
      <c r="D77" s="81"/>
      <c r="F77" s="79" t="s">
        <v>115</v>
      </c>
      <c r="G77" s="80"/>
      <c r="H77" s="80"/>
      <c r="I77" s="81"/>
    </row>
    <row r="78" spans="1:12" x14ac:dyDescent="0.25">
      <c r="A78" s="13" t="s">
        <v>8</v>
      </c>
      <c r="B78" s="74" t="s">
        <v>120</v>
      </c>
      <c r="C78" s="103">
        <f>C73</f>
        <v>4126.5</v>
      </c>
      <c r="D78" s="75" t="s">
        <v>114</v>
      </c>
      <c r="F78" s="13" t="s">
        <v>8</v>
      </c>
      <c r="G78" s="74" t="s">
        <v>120</v>
      </c>
      <c r="H78" s="103">
        <f>H73</f>
        <v>28.275000000000002</v>
      </c>
      <c r="I78" s="75" t="s">
        <v>122</v>
      </c>
    </row>
    <row r="79" spans="1:12" x14ac:dyDescent="0.25">
      <c r="A79" s="16" t="s">
        <v>7</v>
      </c>
      <c r="B79" s="50" t="s">
        <v>106</v>
      </c>
      <c r="C79" s="99">
        <f>C56</f>
        <v>4.2771841864812039</v>
      </c>
      <c r="D79" s="26" t="s">
        <v>67</v>
      </c>
      <c r="F79" s="16" t="s">
        <v>7</v>
      </c>
      <c r="G79" s="50" t="s">
        <v>106</v>
      </c>
      <c r="H79" s="99">
        <f>H56</f>
        <v>2117.8304645209782</v>
      </c>
      <c r="I79" s="18" t="s">
        <v>129</v>
      </c>
    </row>
    <row r="80" spans="1:12" x14ac:dyDescent="0.25">
      <c r="A80" s="16" t="s">
        <v>6</v>
      </c>
      <c r="B80" s="50" t="s">
        <v>16</v>
      </c>
      <c r="C80" s="99">
        <f>C74</f>
        <v>1.0140735634136093</v>
      </c>
      <c r="D80" s="26" t="s">
        <v>67</v>
      </c>
      <c r="F80" s="16" t="s">
        <v>6</v>
      </c>
      <c r="G80" s="50" t="s">
        <v>16</v>
      </c>
      <c r="H80" s="99">
        <f>H74</f>
        <v>554.64417561692767</v>
      </c>
      <c r="I80" s="18" t="s">
        <v>129</v>
      </c>
      <c r="J80" s="2" t="s">
        <v>169</v>
      </c>
      <c r="K80" s="2">
        <f>1/((1/H79)+(1/H80))</f>
        <v>439.53357478072786</v>
      </c>
      <c r="L80" s="2" t="s">
        <v>168</v>
      </c>
    </row>
    <row r="81" spans="1:9" x14ac:dyDescent="0.25">
      <c r="A81" s="16" t="s">
        <v>5</v>
      </c>
      <c r="B81" s="50" t="s">
        <v>137</v>
      </c>
      <c r="C81" s="99">
        <f>C78/C80/(10^6)</f>
        <v>4.069231413655271E-3</v>
      </c>
      <c r="D81" s="18" t="s">
        <v>152</v>
      </c>
      <c r="F81" s="16" t="s">
        <v>5</v>
      </c>
      <c r="G81" s="50" t="s">
        <v>137</v>
      </c>
      <c r="H81" s="99">
        <f>H78/H80</f>
        <v>5.0978629620602928E-2</v>
      </c>
      <c r="I81" s="18" t="s">
        <v>12</v>
      </c>
    </row>
    <row r="82" spans="1:9" x14ac:dyDescent="0.25">
      <c r="A82" s="16" t="s">
        <v>4</v>
      </c>
      <c r="B82" s="50" t="s">
        <v>138</v>
      </c>
      <c r="C82" s="99">
        <f>(C78/10^6)/C79</f>
        <v>9.6477023669977371E-4</v>
      </c>
      <c r="D82" s="18" t="s">
        <v>152</v>
      </c>
      <c r="F82" s="16" t="s">
        <v>4</v>
      </c>
      <c r="G82" s="50" t="s">
        <v>158</v>
      </c>
      <c r="H82" s="99">
        <f>H78/H79</f>
        <v>1.3350927032960301E-2</v>
      </c>
      <c r="I82" s="18" t="s">
        <v>12</v>
      </c>
    </row>
    <row r="83" spans="1:9" x14ac:dyDescent="0.25">
      <c r="A83" s="16" t="s">
        <v>2</v>
      </c>
      <c r="B83" s="50" t="s">
        <v>116</v>
      </c>
      <c r="C83" s="99">
        <f>C29</f>
        <v>18</v>
      </c>
      <c r="D83" s="18" t="s">
        <v>3</v>
      </c>
      <c r="F83" s="16" t="s">
        <v>2</v>
      </c>
      <c r="G83" s="50" t="s">
        <v>22</v>
      </c>
      <c r="H83" s="99">
        <f>H29</f>
        <v>1.5</v>
      </c>
      <c r="I83" s="18" t="s">
        <v>12</v>
      </c>
    </row>
    <row r="84" spans="1:9" x14ac:dyDescent="0.25">
      <c r="A84" s="16" t="s">
        <v>1</v>
      </c>
      <c r="B84" s="50" t="s">
        <v>140</v>
      </c>
      <c r="C84" s="85">
        <f>(C81+C82)/(1/C83)</f>
        <v>9.0612029706390804E-2</v>
      </c>
      <c r="D84" s="18" t="s">
        <v>3</v>
      </c>
      <c r="F84" s="16" t="s">
        <v>1</v>
      </c>
      <c r="G84" s="50" t="s">
        <v>140</v>
      </c>
      <c r="H84" s="85">
        <f>(H81+H82)/H83</f>
        <v>4.2886371102375483E-2</v>
      </c>
      <c r="I84" s="18" t="s">
        <v>3</v>
      </c>
    </row>
    <row r="85" spans="1:9" ht="15.75" thickBot="1" x14ac:dyDescent="0.3">
      <c r="A85" s="61" t="s">
        <v>1</v>
      </c>
      <c r="B85" s="83" t="s">
        <v>139</v>
      </c>
      <c r="C85" s="77">
        <f>C84*360</f>
        <v>32.620330694300691</v>
      </c>
      <c r="D85" s="32" t="s">
        <v>69</v>
      </c>
      <c r="F85" s="61" t="s">
        <v>1</v>
      </c>
      <c r="G85" s="83" t="s">
        <v>139</v>
      </c>
      <c r="H85" s="77">
        <f>H84*360</f>
        <v>15.439093596855173</v>
      </c>
      <c r="I85" s="32" t="s">
        <v>69</v>
      </c>
    </row>
    <row r="87" spans="1:9" ht="15.75" thickBot="1" x14ac:dyDescent="0.3"/>
    <row r="88" spans="1:9" ht="15.75" thickBot="1" x14ac:dyDescent="0.3">
      <c r="A88" s="79" t="s">
        <v>177</v>
      </c>
      <c r="B88" s="80"/>
      <c r="C88" s="80"/>
      <c r="D88" s="81"/>
      <c r="F88" s="79" t="s">
        <v>177</v>
      </c>
      <c r="G88" s="80"/>
      <c r="H88" s="80"/>
      <c r="I88" s="81"/>
    </row>
    <row r="89" spans="1:9" x14ac:dyDescent="0.25">
      <c r="A89" s="13" t="s">
        <v>2</v>
      </c>
      <c r="B89" s="74" t="s">
        <v>170</v>
      </c>
      <c r="C89" s="101">
        <v>0</v>
      </c>
      <c r="D89" s="75" t="s">
        <v>114</v>
      </c>
      <c r="F89" s="13" t="s">
        <v>2</v>
      </c>
      <c r="G89" s="74" t="s">
        <v>170</v>
      </c>
      <c r="H89" s="101">
        <v>20</v>
      </c>
      <c r="I89" s="75" t="s">
        <v>122</v>
      </c>
    </row>
    <row r="90" spans="1:9" ht="15.75" thickBot="1" x14ac:dyDescent="0.3">
      <c r="A90" s="29"/>
      <c r="B90" s="62" t="s">
        <v>143</v>
      </c>
      <c r="C90" s="104">
        <v>4</v>
      </c>
      <c r="D90" s="86" t="s">
        <v>3</v>
      </c>
      <c r="F90" s="29"/>
      <c r="G90" s="62" t="s">
        <v>143</v>
      </c>
      <c r="H90" s="104">
        <v>4</v>
      </c>
      <c r="I90" s="86" t="s">
        <v>3</v>
      </c>
    </row>
    <row r="92" spans="1:9" ht="15.75" thickBot="1" x14ac:dyDescent="0.3"/>
    <row r="93" spans="1:9" ht="15.75" thickBot="1" x14ac:dyDescent="0.3">
      <c r="A93" s="71" t="s">
        <v>150</v>
      </c>
      <c r="B93" s="72"/>
      <c r="C93" s="72"/>
      <c r="D93" s="73"/>
      <c r="F93" s="71" t="s">
        <v>150</v>
      </c>
      <c r="G93" s="72"/>
      <c r="H93" s="72"/>
      <c r="I93" s="73"/>
    </row>
    <row r="94" spans="1:9" x14ac:dyDescent="0.25">
      <c r="A94" s="13" t="s">
        <v>108</v>
      </c>
      <c r="B94" s="74" t="s">
        <v>107</v>
      </c>
      <c r="C94" s="105">
        <f>C57</f>
        <v>0.19165075892093303</v>
      </c>
      <c r="D94" s="75" t="s">
        <v>3</v>
      </c>
      <c r="F94" s="13" t="s">
        <v>108</v>
      </c>
      <c r="G94" s="74" t="s">
        <v>107</v>
      </c>
      <c r="H94" s="105">
        <f>H57</f>
        <v>0.20753954678810599</v>
      </c>
      <c r="I94" s="75" t="s">
        <v>3</v>
      </c>
    </row>
    <row r="95" spans="1:9" x14ac:dyDescent="0.25">
      <c r="A95" s="16" t="s">
        <v>124</v>
      </c>
      <c r="B95" s="50" t="s">
        <v>126</v>
      </c>
      <c r="C95" s="99">
        <f>C62</f>
        <v>105</v>
      </c>
      <c r="D95" s="60" t="s">
        <v>28</v>
      </c>
      <c r="F95" s="16" t="s">
        <v>124</v>
      </c>
      <c r="G95" s="50" t="s">
        <v>126</v>
      </c>
      <c r="H95" s="99">
        <f>H62</f>
        <v>650</v>
      </c>
      <c r="I95" s="60" t="s">
        <v>127</v>
      </c>
    </row>
    <row r="96" spans="1:9" x14ac:dyDescent="0.25">
      <c r="A96" s="16" t="s">
        <v>18</v>
      </c>
      <c r="B96" s="50" t="s">
        <v>125</v>
      </c>
      <c r="C96" s="99">
        <f>C61</f>
        <v>5.2400000000000002E-2</v>
      </c>
      <c r="D96" s="60" t="s">
        <v>151</v>
      </c>
      <c r="F96" s="16" t="s">
        <v>18</v>
      </c>
      <c r="G96" s="50" t="s">
        <v>125</v>
      </c>
      <c r="H96" s="99">
        <f>H61</f>
        <v>58</v>
      </c>
      <c r="I96" s="60" t="s">
        <v>19</v>
      </c>
    </row>
    <row r="97" spans="1:10" x14ac:dyDescent="0.25">
      <c r="A97" s="16"/>
      <c r="B97" s="50" t="s">
        <v>143</v>
      </c>
      <c r="C97" s="99">
        <f>C90</f>
        <v>4</v>
      </c>
      <c r="D97" s="60" t="s">
        <v>3</v>
      </c>
      <c r="F97" s="16"/>
      <c r="G97" s="50" t="s">
        <v>143</v>
      </c>
      <c r="H97" s="99">
        <v>4</v>
      </c>
      <c r="I97" s="60" t="s">
        <v>3</v>
      </c>
    </row>
    <row r="98" spans="1:10" x14ac:dyDescent="0.25">
      <c r="A98" s="16" t="s">
        <v>2</v>
      </c>
      <c r="B98" s="50" t="s">
        <v>144</v>
      </c>
      <c r="C98" s="99">
        <f>C89</f>
        <v>0</v>
      </c>
      <c r="D98" s="60" t="s">
        <v>114</v>
      </c>
      <c r="F98" s="16" t="s">
        <v>2</v>
      </c>
      <c r="G98" s="50" t="s">
        <v>144</v>
      </c>
      <c r="H98" s="99">
        <v>20</v>
      </c>
      <c r="I98" s="60" t="s">
        <v>122</v>
      </c>
    </row>
    <row r="99" spans="1:10" x14ac:dyDescent="0.25">
      <c r="A99" s="16" t="s">
        <v>8</v>
      </c>
      <c r="B99" s="50" t="s">
        <v>120</v>
      </c>
      <c r="C99" s="99">
        <f>C78</f>
        <v>4126.5</v>
      </c>
      <c r="D99" s="60" t="s">
        <v>114</v>
      </c>
      <c r="F99" s="16" t="s">
        <v>8</v>
      </c>
      <c r="G99" s="50" t="s">
        <v>120</v>
      </c>
      <c r="H99" s="99">
        <f>H78</f>
        <v>28.275000000000002</v>
      </c>
      <c r="I99" s="60" t="s">
        <v>122</v>
      </c>
    </row>
    <row r="100" spans="1:10" x14ac:dyDescent="0.25">
      <c r="A100" s="16" t="s">
        <v>142</v>
      </c>
      <c r="B100" s="50" t="s">
        <v>145</v>
      </c>
      <c r="C100" s="85">
        <f>(C95*1000)*C96/(C94*(C98/C97)+C99)</f>
        <v>1.3333333333333333</v>
      </c>
      <c r="D100" s="60" t="s">
        <v>3</v>
      </c>
      <c r="F100" s="16" t="s">
        <v>142</v>
      </c>
      <c r="G100" s="50" t="s">
        <v>145</v>
      </c>
      <c r="H100" s="85">
        <f>(H95/1000)*H96/(H94*(H98/H97)+H99)</f>
        <v>1.2861320490589987</v>
      </c>
      <c r="I100" s="60" t="s">
        <v>3</v>
      </c>
    </row>
    <row r="101" spans="1:10" x14ac:dyDescent="0.25">
      <c r="A101" s="20" t="s">
        <v>147</v>
      </c>
      <c r="B101" s="51" t="s">
        <v>146</v>
      </c>
      <c r="C101" s="85" t="e">
        <f>((C95*1000)*C96-C99)/(C94*(C98/C97))</f>
        <v>#DIV/0!</v>
      </c>
      <c r="D101" s="60" t="s">
        <v>3</v>
      </c>
      <c r="F101" s="20" t="s">
        <v>147</v>
      </c>
      <c r="G101" s="51" t="s">
        <v>146</v>
      </c>
      <c r="H101" s="85">
        <f>((H95/1000)*H96-H99)/(H94*(H98/H97))</f>
        <v>9.082606323336293</v>
      </c>
      <c r="I101" s="60" t="s">
        <v>3</v>
      </c>
    </row>
    <row r="102" spans="1:10" ht="15.75" thickBot="1" x14ac:dyDescent="0.3">
      <c r="A102" s="61" t="s">
        <v>149</v>
      </c>
      <c r="B102" s="83" t="s">
        <v>148</v>
      </c>
      <c r="C102" s="77" t="e">
        <f>C99/((C98/C97)*(1-C94))</f>
        <v>#DIV/0!</v>
      </c>
      <c r="D102" s="78" t="s">
        <v>3</v>
      </c>
      <c r="F102" s="61" t="s">
        <v>149</v>
      </c>
      <c r="G102" s="83" t="s">
        <v>148</v>
      </c>
      <c r="H102" s="77">
        <f>H99/((H98/H97)*(1-H94))</f>
        <v>7.1360027835836046</v>
      </c>
      <c r="I102" s="78" t="s">
        <v>3</v>
      </c>
    </row>
    <row r="104" spans="1:10" ht="15.75" thickBot="1" x14ac:dyDescent="0.3"/>
    <row r="105" spans="1:10" ht="15.75" thickBot="1" x14ac:dyDescent="0.3">
      <c r="F105" s="87" t="s">
        <v>181</v>
      </c>
      <c r="G105" s="88"/>
      <c r="H105" s="88"/>
      <c r="I105" s="89"/>
    </row>
    <row r="106" spans="1:10" x14ac:dyDescent="0.25">
      <c r="F106" s="56" t="s">
        <v>178</v>
      </c>
      <c r="G106" s="57" t="s">
        <v>182</v>
      </c>
      <c r="H106" s="90">
        <f>((H78+(H98/H97)*H94)/H96)*1000</f>
        <v>505.39134024035405</v>
      </c>
      <c r="I106" s="91" t="s">
        <v>127</v>
      </c>
      <c r="J106" s="92"/>
    </row>
    <row r="107" spans="1:10" x14ac:dyDescent="0.25">
      <c r="F107" s="49" t="s">
        <v>179</v>
      </c>
      <c r="G107" s="50" t="s">
        <v>183</v>
      </c>
      <c r="H107" s="93">
        <f>AVERAGE(H106,H108)</f>
        <v>496.44567012017706</v>
      </c>
      <c r="I107" s="60" t="s">
        <v>127</v>
      </c>
    </row>
    <row r="108" spans="1:10" ht="15.75" thickBot="1" x14ac:dyDescent="0.3">
      <c r="F108" s="94" t="s">
        <v>180</v>
      </c>
      <c r="G108" s="62" t="s">
        <v>184</v>
      </c>
      <c r="H108" s="95">
        <f>(H78/H96)*1000</f>
        <v>487.50000000000006</v>
      </c>
      <c r="I108" s="78" t="s">
        <v>127</v>
      </c>
    </row>
  </sheetData>
  <sheetProtection algorithmName="SHA-512" hashValue="Rbta8OXNK55No/SawdCwo/OIj+uw98oLCzZr8EtF2w/Q7q3zipMG/HUq8RE0WFAXzwGkGC8YMZLpfsFPao6gzg==" saltValue="ddDtYVNFl6mrxz3LOvBnWA==" spinCount="100000" sheet="1" objects="1" scenarios="1"/>
  <mergeCells count="31">
    <mergeCell ref="BM15:BN15"/>
    <mergeCell ref="F88:I88"/>
    <mergeCell ref="A88:D88"/>
    <mergeCell ref="F105:I105"/>
    <mergeCell ref="A2:I3"/>
    <mergeCell ref="BK15:BL15"/>
    <mergeCell ref="BI15:BJ15"/>
    <mergeCell ref="BG15:BH15"/>
    <mergeCell ref="BC15:BD15"/>
    <mergeCell ref="BE15:BF15"/>
    <mergeCell ref="F93:I93"/>
    <mergeCell ref="A59:D59"/>
    <mergeCell ref="A66:D66"/>
    <mergeCell ref="A72:D72"/>
    <mergeCell ref="A77:D77"/>
    <mergeCell ref="A93:D93"/>
    <mergeCell ref="A1:D1"/>
    <mergeCell ref="F59:I59"/>
    <mergeCell ref="A7:D7"/>
    <mergeCell ref="F7:I7"/>
    <mergeCell ref="F77:I77"/>
    <mergeCell ref="F72:I72"/>
    <mergeCell ref="A34:D34"/>
    <mergeCell ref="A35:D35"/>
    <mergeCell ref="A36:D36"/>
    <mergeCell ref="A37:D37"/>
    <mergeCell ref="F66:I66"/>
    <mergeCell ref="F34:I34"/>
    <mergeCell ref="F35:I35"/>
    <mergeCell ref="F36:I36"/>
    <mergeCell ref="F37:I37"/>
  </mergeCells>
  <conditionalFormatting sqref="C16">
    <cfRule type="cellIs" dxfId="5" priority="6" operator="lessThan">
      <formula>$C$15</formula>
    </cfRule>
  </conditionalFormatting>
  <conditionalFormatting sqref="H16">
    <cfRule type="cellIs" dxfId="4" priority="5" operator="lessThan">
      <formula>$C$15</formula>
    </cfRule>
  </conditionalFormatting>
  <conditionalFormatting sqref="H100:H102">
    <cfRule type="cellIs" dxfId="3" priority="3" operator="lessThan">
      <formula>1</formula>
    </cfRule>
    <cfRule type="cellIs" dxfId="2" priority="4" operator="lessThan">
      <formula>1.15</formula>
    </cfRule>
  </conditionalFormatting>
  <conditionalFormatting sqref="C100:C102">
    <cfRule type="cellIs" dxfId="1" priority="1" operator="lessThan">
      <formula>1</formula>
    </cfRule>
    <cfRule type="cellIs" dxfId="0" priority="2" operator="lessThan">
      <formula>1.15</formula>
    </cfRule>
  </conditionalFormatting>
  <dataValidations count="2">
    <dataValidation type="list" allowBlank="1" showInputMessage="1" showErrorMessage="1" sqref="C9 H9" xr:uid="{77D010BC-71F6-4858-8F54-8A0C685B8289}">
      <formula1>Nutorthreaded</formula1>
    </dataValidation>
    <dataValidation type="list" allowBlank="1" showInputMessage="1" showErrorMessage="1" sqref="H60 C60" xr:uid="{E64512D7-9F2D-4068-8738-00360E810342}">
      <formula1>ConnType</formula1>
    </dataValidation>
  </dataValidations>
  <pageMargins left="0.7" right="0.7" top="0.75" bottom="0.75" header="0.3" footer="0.3"/>
  <pageSetup orientation="portrait" r:id="rId1"/>
  <drawing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5DA52BA5C730F14B92EB9ECBFB2C7418" ma:contentTypeVersion="14" ma:contentTypeDescription="Create a new document." ma:contentTypeScope="" ma:versionID="108d213f8868efb736a2df9a8f5be34d">
  <xsd:schema xmlns:xsd="http://www.w3.org/2001/XMLSchema" xmlns:xs="http://www.w3.org/2001/XMLSchema" xmlns:p="http://schemas.microsoft.com/office/2006/metadata/properties" xmlns:ns3="bca9a786-588e-41dd-a678-26a01561a81d" xmlns:ns4="73b8247c-57e8-4f2c-a684-da9afdc3115a" targetNamespace="http://schemas.microsoft.com/office/2006/metadata/properties" ma:root="true" ma:fieldsID="a19839b27257a07a54d9ebe9f36aa622" ns3:_="" ns4:_="">
    <xsd:import namespace="bca9a786-588e-41dd-a678-26a01561a81d"/>
    <xsd:import namespace="73b8247c-57e8-4f2c-a684-da9afdc3115a"/>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Tags" minOccurs="0"/>
                <xsd:element ref="ns4:MediaServiceOCR" minOccurs="0"/>
                <xsd:element ref="ns4:MediaServiceDateTaken" minOccurs="0"/>
                <xsd:element ref="ns4:MediaServiceLocation" minOccurs="0"/>
                <xsd:element ref="ns4:MediaServiceGenerationTime" minOccurs="0"/>
                <xsd:element ref="ns4:MediaServiceEventHashCode" minOccurs="0"/>
                <xsd:element ref="ns4:MediaServiceAutoKeyPoints" minOccurs="0"/>
                <xsd:element ref="ns4:MediaServiceKeyPoints" minOccurs="0"/>
                <xsd:element ref="ns4: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ca9a786-588e-41dd-a678-26a01561a81d"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SharingHintHash" ma:index="10" nillable="true" ma:displayName="Sharing Hint Hash" ma:description=""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3b8247c-57e8-4f2c-a684-da9afdc3115a"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DateTaken" ma:index="15" nillable="true" ma:displayName="MediaServiceDateTaken" ma:hidden="true" ma:internalName="MediaServiceDateTaken" ma:readOnly="true">
      <xsd:simpleType>
        <xsd:restriction base="dms:Text"/>
      </xsd:simpleType>
    </xsd:element>
    <xsd:element name="MediaServiceLocation" ma:index="16" nillable="true" ma:displayName="Location" ma:internalName="MediaServiceLocation"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element name="MediaLengthInSeconds" ma:index="21" nillable="true" ma:displayName="Length (seconds)"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5C48F62-CB41-4054-8336-5A7B0FBFAC56}">
  <ds:schemaRefs>
    <ds:schemaRef ds:uri="http://schemas.microsoft.com/sharepoint/v3/contenttype/forms"/>
  </ds:schemaRefs>
</ds:datastoreItem>
</file>

<file path=customXml/itemProps2.xml><?xml version="1.0" encoding="utf-8"?>
<ds:datastoreItem xmlns:ds="http://schemas.openxmlformats.org/officeDocument/2006/customXml" ds:itemID="{0D90D63E-882B-4C0D-B5ED-B217135F1179}">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02322E34-D4AD-4310-9672-E68A11871B3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ca9a786-588e-41dd-a678-26a01561a81d"/>
    <ds:schemaRef ds:uri="73b8247c-57e8-4f2c-a684-da9afdc3115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Bolted Member Stiffness</vt:lpstr>
      <vt:lpstr>ConnType</vt:lpstr>
      <vt:lpstr>Nutorthreaded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Williams, Justin</dc:creator>
  <cp:lastModifiedBy>Williams, Justin</cp:lastModifiedBy>
  <dcterms:created xsi:type="dcterms:W3CDTF">2021-09-07T20:37:38Z</dcterms:created>
  <dcterms:modified xsi:type="dcterms:W3CDTF">2022-03-21T20:26:13Z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0x0101005DA52BA5C730F14B92EB9ECBFB2C7418</vt:lpwstr>
  </property>
</Properties>
</file>