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U:\Departments\Engineering\Users\Justin Williams\Spreadsheets\"/>
    </mc:Choice>
  </mc:AlternateContent>
  <xr:revisionPtr revIDLastSave="0" documentId="13_ncr:1_{C26C3891-100E-4256-A7F0-600BE585A717}" xr6:coauthVersionLast="47" xr6:coauthVersionMax="47" xr10:uidLastSave="{00000000-0000-0000-0000-000000000000}"/>
  <bookViews>
    <workbookView xWindow="-28920" yWindow="-120" windowWidth="29040" windowHeight="15840" xr2:uid="{1D9B6AD2-BFD8-4131-96C8-341905BBA8E6}"/>
  </bookViews>
  <sheets>
    <sheet name="Engine Valve Spring" sheetId="6" r:id="rId1"/>
    <sheet name="Table 10-1 Type of Spring Ends" sheetId="9" r:id="rId2"/>
    <sheet name="Table 10-2 Spring End Condition" sheetId="10" r:id="rId3"/>
    <sheet name="Table 10-4 EstMin Tensile Strng" sheetId="7" r:id="rId4"/>
    <sheet name="Table 10-5" sheetId="8" r:id="rId5"/>
    <sheet name="Calc" sheetId="1" r:id="rId6"/>
    <sheet name="Calc 2 (Spring over rod)" sheetId="2" r:id="rId7"/>
    <sheet name="Sheet4" sheetId="4" r:id="rId8"/>
  </sheets>
  <definedNames>
    <definedName name="solver_eng" localSheetId="5" hidden="1">1</definedName>
    <definedName name="solver_eng" localSheetId="0" hidden="1">1</definedName>
    <definedName name="solver_neg" localSheetId="5" hidden="1">1</definedName>
    <definedName name="solver_neg" localSheetId="0" hidden="1">1</definedName>
    <definedName name="solver_num" localSheetId="5" hidden="1">0</definedName>
    <definedName name="solver_num" localSheetId="0" hidden="1">0</definedName>
    <definedName name="solver_opt" localSheetId="5" hidden="1">Calc!$J$15</definedName>
    <definedName name="solver_opt" localSheetId="0" hidden="1">'Engine Valve Spring'!#REF!</definedName>
    <definedName name="solver_typ" localSheetId="5" hidden="1">1</definedName>
    <definedName name="solver_typ" localSheetId="0" hidden="1">1</definedName>
    <definedName name="solver_val" localSheetId="5" hidden="1">0</definedName>
    <definedName name="solver_val" localSheetId="0" hidden="1">0</definedName>
    <definedName name="solver_ver" localSheetId="5" hidden="1">3</definedName>
    <definedName name="solver_ver" localSheetId="0" hidden="1">3</definedName>
    <definedName name="SpringEndCondition">'Table 10-2 Spring End Condition'!$B$3:$B$6</definedName>
    <definedName name="SpringEndType">'Table 10-1 Type of Spring Ends'!$D$3:$G$3</definedName>
    <definedName name="WireMaterial">'Table 10-4 EstMin Tensile Strng'!$AB$2:$AB$8</definedName>
    <definedName name="YesNo">Calc!$AD$2:$AD$3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6" l="1"/>
  <c r="F28" i="6" s="1"/>
  <c r="D27" i="6"/>
  <c r="F27" i="6" s="1"/>
  <c r="D42" i="6"/>
  <c r="F42" i="6" s="1"/>
  <c r="D41" i="6"/>
  <c r="F41" i="6" s="1"/>
  <c r="D18" i="6"/>
  <c r="F18" i="6" s="1"/>
  <c r="K10" i="7"/>
  <c r="D33" i="2" l="1"/>
  <c r="D32" i="2"/>
  <c r="D13" i="1"/>
  <c r="D12" i="1"/>
  <c r="F12" i="1" s="1"/>
  <c r="D28" i="1"/>
  <c r="F20" i="6"/>
  <c r="AB6" i="6"/>
  <c r="AB7" i="6"/>
  <c r="AB8" i="6"/>
  <c r="AB9" i="6"/>
  <c r="AB10" i="6"/>
  <c r="AB11" i="6"/>
  <c r="AB12" i="6"/>
  <c r="AB13" i="6"/>
  <c r="AB14" i="6"/>
  <c r="AB15" i="6"/>
  <c r="AB16" i="6"/>
  <c r="AB17" i="6"/>
  <c r="AB18" i="6"/>
  <c r="AB19" i="6"/>
  <c r="AB20" i="6"/>
  <c r="AB21" i="6"/>
  <c r="AB22" i="6"/>
  <c r="AB23" i="6"/>
  <c r="AB24" i="6"/>
  <c r="AB25" i="6"/>
  <c r="AB26" i="6"/>
  <c r="AB27" i="6"/>
  <c r="AB28" i="6"/>
  <c r="AB29" i="6"/>
  <c r="AB30" i="6"/>
  <c r="AB31" i="6"/>
  <c r="AB32" i="6"/>
  <c r="AB33" i="6"/>
  <c r="AB34" i="6"/>
  <c r="AB35" i="6"/>
  <c r="AB36" i="6"/>
  <c r="AB37" i="6"/>
  <c r="AB38" i="6"/>
  <c r="AB39" i="6"/>
  <c r="AB40" i="6"/>
  <c r="AB41" i="6"/>
  <c r="AB42" i="6"/>
  <c r="AB43" i="6"/>
  <c r="AB44" i="6"/>
  <c r="AB45" i="6"/>
  <c r="AB46" i="6"/>
  <c r="AB47" i="6"/>
  <c r="AB48" i="6"/>
  <c r="AB49" i="6"/>
  <c r="AB50" i="6"/>
  <c r="AB51" i="6"/>
  <c r="AB52" i="6"/>
  <c r="AB53" i="6"/>
  <c r="AB54" i="6"/>
  <c r="AB55" i="6"/>
  <c r="AB56" i="6"/>
  <c r="AB57" i="6"/>
  <c r="AB58" i="6"/>
  <c r="AB59" i="6"/>
  <c r="AB60" i="6"/>
  <c r="AB61" i="6"/>
  <c r="AB62" i="6"/>
  <c r="AB63" i="6"/>
  <c r="AB64" i="6"/>
  <c r="AB65" i="6"/>
  <c r="AB66" i="6"/>
  <c r="AB67" i="6"/>
  <c r="AB68" i="6"/>
  <c r="AB69" i="6"/>
  <c r="AB70" i="6"/>
  <c r="AB71" i="6"/>
  <c r="AB72" i="6"/>
  <c r="AB73" i="6"/>
  <c r="AB74" i="6"/>
  <c r="AB75" i="6"/>
  <c r="AB76" i="6"/>
  <c r="AB77" i="6"/>
  <c r="AB78" i="6"/>
  <c r="AB79" i="6"/>
  <c r="AB80" i="6"/>
  <c r="AB81" i="6"/>
  <c r="AB82" i="6"/>
  <c r="AB83" i="6"/>
  <c r="AB84" i="6"/>
  <c r="AB85" i="6"/>
  <c r="AB86" i="6"/>
  <c r="AB87" i="6"/>
  <c r="AB88" i="6"/>
  <c r="AB89" i="6"/>
  <c r="AB90" i="6"/>
  <c r="AB91" i="6"/>
  <c r="AB92" i="6"/>
  <c r="AB93" i="6"/>
  <c r="AB94" i="6"/>
  <c r="AB95" i="6"/>
  <c r="AB96" i="6"/>
  <c r="AB97" i="6"/>
  <c r="AB98" i="6"/>
  <c r="AB99" i="6"/>
  <c r="AB100" i="6"/>
  <c r="AB101" i="6"/>
  <c r="AB102" i="6"/>
  <c r="AB103" i="6"/>
  <c r="AB104" i="6"/>
  <c r="AB105" i="6"/>
  <c r="AB106" i="6"/>
  <c r="AB107" i="6"/>
  <c r="AB108" i="6"/>
  <c r="AB109" i="6"/>
  <c r="AB110" i="6"/>
  <c r="AB111" i="6"/>
  <c r="AB112" i="6"/>
  <c r="AB113" i="6"/>
  <c r="AB114" i="6"/>
  <c r="AB115" i="6"/>
  <c r="AB116" i="6"/>
  <c r="AB117" i="6"/>
  <c r="AB118" i="6"/>
  <c r="AB119" i="6"/>
  <c r="AB120" i="6"/>
  <c r="AB121" i="6"/>
  <c r="AB122" i="6"/>
  <c r="AB123" i="6"/>
  <c r="AB124" i="6"/>
  <c r="AB125" i="6"/>
  <c r="AB126" i="6"/>
  <c r="AB127" i="6"/>
  <c r="AB128" i="6"/>
  <c r="AB129" i="6"/>
  <c r="AB130" i="6"/>
  <c r="AB131" i="6"/>
  <c r="AB132" i="6"/>
  <c r="AB133" i="6"/>
  <c r="AB134" i="6"/>
  <c r="AB135" i="6"/>
  <c r="AB136" i="6"/>
  <c r="AB137" i="6"/>
  <c r="AB138" i="6"/>
  <c r="AB139" i="6"/>
  <c r="AB140" i="6"/>
  <c r="AB141" i="6"/>
  <c r="AB142" i="6"/>
  <c r="AB143" i="6"/>
  <c r="AB144" i="6"/>
  <c r="AB145" i="6"/>
  <c r="AB146" i="6"/>
  <c r="AB147" i="6"/>
  <c r="AB148" i="6"/>
  <c r="AB149" i="6"/>
  <c r="AB150" i="6"/>
  <c r="AB151" i="6"/>
  <c r="AB152" i="6"/>
  <c r="AB153" i="6"/>
  <c r="AB154" i="6"/>
  <c r="AB155" i="6"/>
  <c r="AB156" i="6"/>
  <c r="AB157" i="6"/>
  <c r="AB158" i="6"/>
  <c r="AB159" i="6"/>
  <c r="AB160" i="6"/>
  <c r="AB161" i="6"/>
  <c r="AB162" i="6"/>
  <c r="AB163" i="6"/>
  <c r="AB164" i="6"/>
  <c r="AB165" i="6"/>
  <c r="AB166" i="6"/>
  <c r="AB167" i="6"/>
  <c r="AB168" i="6"/>
  <c r="AB169" i="6"/>
  <c r="AB170" i="6"/>
  <c r="AB171" i="6"/>
  <c r="AB172" i="6"/>
  <c r="AB173" i="6"/>
  <c r="AB174" i="6"/>
  <c r="AB175" i="6"/>
  <c r="AB176" i="6"/>
  <c r="AB177" i="6"/>
  <c r="AB178" i="6"/>
  <c r="AB179" i="6"/>
  <c r="AB180" i="6"/>
  <c r="AB181" i="6"/>
  <c r="AB182" i="6"/>
  <c r="AB183" i="6"/>
  <c r="AB184" i="6"/>
  <c r="AB185" i="6"/>
  <c r="AB186" i="6"/>
  <c r="AB187" i="6"/>
  <c r="AB188" i="6"/>
  <c r="AB189" i="6"/>
  <c r="AB190" i="6"/>
  <c r="AB191" i="6"/>
  <c r="AB192" i="6"/>
  <c r="AB193" i="6"/>
  <c r="AB194" i="6"/>
  <c r="AB195" i="6"/>
  <c r="AB196" i="6"/>
  <c r="AB197" i="6"/>
  <c r="AB198" i="6"/>
  <c r="AB199" i="6"/>
  <c r="AB200" i="6"/>
  <c r="AB201" i="6"/>
  <c r="AB202" i="6"/>
  <c r="AB203" i="6"/>
  <c r="AB204" i="6"/>
  <c r="AB5" i="6"/>
  <c r="D29" i="6"/>
  <c r="D30" i="6" s="1"/>
  <c r="D31" i="6" s="1"/>
  <c r="F14" i="6"/>
  <c r="D18" i="1"/>
  <c r="F11" i="6"/>
  <c r="F5" i="6"/>
  <c r="F9" i="6"/>
  <c r="F8" i="6"/>
  <c r="F10" i="6"/>
  <c r="F7" i="6"/>
  <c r="F6" i="6"/>
  <c r="F3" i="6"/>
  <c r="F2" i="6"/>
  <c r="F4" i="6"/>
  <c r="F37" i="1"/>
  <c r="F4" i="1"/>
  <c r="F11" i="1"/>
  <c r="D24" i="4"/>
  <c r="D22" i="4"/>
  <c r="D13" i="4"/>
  <c r="D11" i="4"/>
  <c r="D12" i="4" s="1"/>
  <c r="D10" i="4"/>
  <c r="D41" i="2"/>
  <c r="D40" i="2"/>
  <c r="D27" i="2"/>
  <c r="D28" i="2" s="1"/>
  <c r="D29" i="2" s="1"/>
  <c r="D26" i="2"/>
  <c r="D24" i="2"/>
  <c r="D25" i="2" s="1"/>
  <c r="F31" i="6" l="1"/>
  <c r="D43" i="6"/>
  <c r="F43" i="6" s="1"/>
  <c r="F29" i="6"/>
  <c r="D24" i="6"/>
  <c r="AC195" i="6"/>
  <c r="AC135" i="6"/>
  <c r="AC187" i="6"/>
  <c r="AC175" i="6"/>
  <c r="AC163" i="6"/>
  <c r="AC151" i="6"/>
  <c r="AC139" i="6"/>
  <c r="AC123" i="6"/>
  <c r="AC115" i="6"/>
  <c r="AC103" i="6"/>
  <c r="AC91" i="6"/>
  <c r="AC79" i="6"/>
  <c r="AC71" i="6"/>
  <c r="AC59" i="6"/>
  <c r="AC55" i="6"/>
  <c r="AC43" i="6"/>
  <c r="AC35" i="6"/>
  <c r="AC28" i="6"/>
  <c r="AC20" i="6"/>
  <c r="AC12" i="6"/>
  <c r="AC202" i="6"/>
  <c r="AC198" i="6"/>
  <c r="AC194" i="6"/>
  <c r="AC190" i="6"/>
  <c r="AC186" i="6"/>
  <c r="AC182" i="6"/>
  <c r="AC178" i="6"/>
  <c r="AC174" i="6"/>
  <c r="AC170" i="6"/>
  <c r="AC166" i="6"/>
  <c r="AC162" i="6"/>
  <c r="AC158" i="6"/>
  <c r="AC154" i="6"/>
  <c r="AC150" i="6"/>
  <c r="AC146" i="6"/>
  <c r="AC142" i="6"/>
  <c r="AC138" i="6"/>
  <c r="AC134" i="6"/>
  <c r="AC130" i="6"/>
  <c r="AC126" i="6"/>
  <c r="AC122" i="6"/>
  <c r="AC118" i="6"/>
  <c r="AC114" i="6"/>
  <c r="AC110" i="6"/>
  <c r="AC106" i="6"/>
  <c r="AC102" i="6"/>
  <c r="AC98" i="6"/>
  <c r="AC94" i="6"/>
  <c r="AC90" i="6"/>
  <c r="AC86" i="6"/>
  <c r="AC82" i="6"/>
  <c r="AC78" i="6"/>
  <c r="AC74" i="6"/>
  <c r="AC70" i="6"/>
  <c r="AC66" i="6"/>
  <c r="AC62" i="6"/>
  <c r="AC58" i="6"/>
  <c r="AC54" i="6"/>
  <c r="AC50" i="6"/>
  <c r="AC46" i="6"/>
  <c r="AC42" i="6"/>
  <c r="AC38" i="6"/>
  <c r="AC34" i="6"/>
  <c r="AC31" i="6"/>
  <c r="AC27" i="6"/>
  <c r="AC23" i="6"/>
  <c r="AC19" i="6"/>
  <c r="AC15" i="6"/>
  <c r="AC11" i="6"/>
  <c r="AC7" i="6"/>
  <c r="AC199" i="6"/>
  <c r="AC183" i="6"/>
  <c r="AC171" i="6"/>
  <c r="AC159" i="6"/>
  <c r="AC147" i="6"/>
  <c r="AC131" i="6"/>
  <c r="AC119" i="6"/>
  <c r="AC107" i="6"/>
  <c r="AC95" i="6"/>
  <c r="AC83" i="6"/>
  <c r="AC67" i="6"/>
  <c r="AC47" i="6"/>
  <c r="AC8" i="6"/>
  <c r="F30" i="6"/>
  <c r="AC203" i="6"/>
  <c r="AC191" i="6"/>
  <c r="AC179" i="6"/>
  <c r="AC167" i="6"/>
  <c r="AC155" i="6"/>
  <c r="AC143" i="6"/>
  <c r="AC127" i="6"/>
  <c r="AC111" i="6"/>
  <c r="AC99" i="6"/>
  <c r="AC87" i="6"/>
  <c r="AC75" i="6"/>
  <c r="AC63" i="6"/>
  <c r="AC51" i="6"/>
  <c r="AC39" i="6"/>
  <c r="AC24" i="6"/>
  <c r="AC16" i="6"/>
  <c r="AC201" i="6"/>
  <c r="AC197" i="6"/>
  <c r="AC193" i="6"/>
  <c r="AC189" i="6"/>
  <c r="AC185" i="6"/>
  <c r="AC181" i="6"/>
  <c r="AC177" i="6"/>
  <c r="AC173" i="6"/>
  <c r="AC169" i="6"/>
  <c r="AC165" i="6"/>
  <c r="AC161" i="6"/>
  <c r="AC157" i="6"/>
  <c r="AC153" i="6"/>
  <c r="AC149" i="6"/>
  <c r="AC145" i="6"/>
  <c r="AC141" i="6"/>
  <c r="AC137" i="6"/>
  <c r="AC133" i="6"/>
  <c r="AC129" i="6"/>
  <c r="AC125" i="6"/>
  <c r="AC121" i="6"/>
  <c r="AC117" i="6"/>
  <c r="AC113" i="6"/>
  <c r="AC109" i="6"/>
  <c r="AC105" i="6"/>
  <c r="AC101" i="6"/>
  <c r="AC97" i="6"/>
  <c r="AC93" i="6"/>
  <c r="AC89" i="6"/>
  <c r="AC85" i="6"/>
  <c r="AC81" i="6"/>
  <c r="AC77" i="6"/>
  <c r="AC73" i="6"/>
  <c r="AC69" i="6"/>
  <c r="AC65" i="6"/>
  <c r="AC61" i="6"/>
  <c r="AC57" i="6"/>
  <c r="AC53" i="6"/>
  <c r="AC49" i="6"/>
  <c r="AC45" i="6"/>
  <c r="AC41" i="6"/>
  <c r="AC37" i="6"/>
  <c r="AC33" i="6"/>
  <c r="AC30" i="6"/>
  <c r="AC26" i="6"/>
  <c r="AC22" i="6"/>
  <c r="AC18" i="6"/>
  <c r="AC14" i="6"/>
  <c r="AC10" i="6"/>
  <c r="AC6" i="6"/>
  <c r="AC204" i="6"/>
  <c r="AC200" i="6"/>
  <c r="AC196" i="6"/>
  <c r="AC192" i="6"/>
  <c r="AC188" i="6"/>
  <c r="AC184" i="6"/>
  <c r="AC180" i="6"/>
  <c r="AC176" i="6"/>
  <c r="AC172" i="6"/>
  <c r="AC168" i="6"/>
  <c r="AC164" i="6"/>
  <c r="AC160" i="6"/>
  <c r="AC156" i="6"/>
  <c r="AC152" i="6"/>
  <c r="AC148" i="6"/>
  <c r="AC144" i="6"/>
  <c r="AC140" i="6"/>
  <c r="AC136" i="6"/>
  <c r="AC132" i="6"/>
  <c r="AC128" i="6"/>
  <c r="AC124" i="6"/>
  <c r="AC120" i="6"/>
  <c r="AC116" i="6"/>
  <c r="AC112" i="6"/>
  <c r="AC108" i="6"/>
  <c r="AC104" i="6"/>
  <c r="AC100" i="6"/>
  <c r="AC96" i="6"/>
  <c r="AC92" i="6"/>
  <c r="AC88" i="6"/>
  <c r="AC84" i="6"/>
  <c r="AC80" i="6"/>
  <c r="AC76" i="6"/>
  <c r="AC72" i="6"/>
  <c r="AC68" i="6"/>
  <c r="AC64" i="6"/>
  <c r="AC60" i="6"/>
  <c r="AC56" i="6"/>
  <c r="AC52" i="6"/>
  <c r="AC48" i="6"/>
  <c r="AC44" i="6"/>
  <c r="AC40" i="6"/>
  <c r="AC36" i="6"/>
  <c r="AC32" i="6"/>
  <c r="AC29" i="6"/>
  <c r="AC25" i="6"/>
  <c r="AC21" i="6"/>
  <c r="AC17" i="6"/>
  <c r="AC13" i="6"/>
  <c r="AC9" i="6"/>
  <c r="D34" i="2"/>
  <c r="D38" i="2"/>
  <c r="D39" i="2" s="1"/>
  <c r="D35" i="2"/>
  <c r="D36" i="2" s="1"/>
  <c r="D37" i="2" s="1"/>
  <c r="D14" i="1"/>
  <c r="D16" i="6"/>
  <c r="D15" i="6"/>
  <c r="F15" i="6" s="1"/>
  <c r="AC5" i="6"/>
  <c r="D12" i="6"/>
  <c r="F12" i="6" s="1"/>
  <c r="D14" i="4"/>
  <c r="F24" i="6" l="1"/>
  <c r="D17" i="6"/>
  <c r="F16" i="6"/>
  <c r="D13" i="6"/>
  <c r="D9" i="2"/>
  <c r="D4" i="2"/>
  <c r="F13" i="1"/>
  <c r="D38" i="6" l="1"/>
  <c r="D37" i="6"/>
  <c r="D34" i="6"/>
  <c r="D32" i="6"/>
  <c r="D33" i="6" s="1"/>
  <c r="F33" i="6" s="1"/>
  <c r="F17" i="6"/>
  <c r="F13" i="6"/>
  <c r="D21" i="6"/>
  <c r="D5" i="2"/>
  <c r="D31" i="2"/>
  <c r="D21" i="2"/>
  <c r="D11" i="2"/>
  <c r="D12" i="2" s="1"/>
  <c r="D35" i="1"/>
  <c r="F35" i="1" s="1"/>
  <c r="D31" i="1"/>
  <c r="F10" i="1"/>
  <c r="D30" i="1"/>
  <c r="D15" i="1"/>
  <c r="D25" i="1" s="1"/>
  <c r="F25" i="1" s="1"/>
  <c r="F9" i="1"/>
  <c r="F2" i="1"/>
  <c r="D16" i="1"/>
  <c r="D17" i="1" s="1"/>
  <c r="F5" i="1"/>
  <c r="F6" i="1"/>
  <c r="F3" i="1"/>
  <c r="F32" i="6" l="1"/>
  <c r="F37" i="6"/>
  <c r="F38" i="6"/>
  <c r="D35" i="6"/>
  <c r="D44" i="6" s="1"/>
  <c r="F34" i="6"/>
  <c r="D36" i="6"/>
  <c r="D45" i="6" s="1"/>
  <c r="D22" i="6"/>
  <c r="D19" i="6" s="1"/>
  <c r="F19" i="6" s="1"/>
  <c r="F21" i="6"/>
  <c r="D15" i="2"/>
  <c r="D13" i="2"/>
  <c r="D14" i="2" s="1"/>
  <c r="F14" i="1"/>
  <c r="F31" i="1"/>
  <c r="F30" i="1"/>
  <c r="F15" i="1"/>
  <c r="F16" i="1"/>
  <c r="D40" i="6" l="1"/>
  <c r="F40" i="6" s="1"/>
  <c r="D39" i="6"/>
  <c r="F39" i="6" s="1"/>
  <c r="F35" i="6"/>
  <c r="F44" i="6"/>
  <c r="F36" i="6"/>
  <c r="F45" i="6"/>
  <c r="F22" i="6"/>
  <c r="D23" i="6"/>
  <c r="D38" i="1"/>
  <c r="F38" i="1" s="1"/>
  <c r="D29" i="1"/>
  <c r="D32" i="1" s="1"/>
  <c r="F17" i="1"/>
  <c r="D23" i="1"/>
  <c r="F23" i="6" l="1"/>
  <c r="D25" i="6"/>
  <c r="D39" i="1"/>
  <c r="F23" i="1"/>
  <c r="D24" i="1"/>
  <c r="D36" i="1"/>
  <c r="F36" i="1" s="1"/>
  <c r="D26" i="1"/>
  <c r="F18" i="1"/>
  <c r="F29" i="1"/>
  <c r="D21" i="1"/>
  <c r="D22" i="1" s="1"/>
  <c r="D19" i="1"/>
  <c r="D20" i="1"/>
  <c r="F32" i="1"/>
  <c r="D34" i="1"/>
  <c r="F34" i="1" s="1"/>
  <c r="F21" i="1" l="1"/>
  <c r="F22" i="1" s="1"/>
  <c r="F19" i="1"/>
  <c r="F20" i="1"/>
  <c r="F26" i="1"/>
  <c r="D27" i="1"/>
  <c r="F27" i="1" s="1"/>
  <c r="F24" i="1"/>
  <c r="D33" i="1"/>
  <c r="F33" i="1" s="1"/>
  <c r="F39" i="1"/>
  <c r="D40" i="1"/>
  <c r="F40" i="1" s="1"/>
  <c r="F25" i="6" l="1"/>
  <c r="D26" i="6"/>
  <c r="F2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Williams, Justin</author>
  </authors>
  <commentList>
    <comment ref="B16" authorId="0" shapeId="0" xr:uid="{5678C75E-6715-41DE-9442-DD9349BC9043}">
      <text>
        <r>
          <rPr>
            <b/>
            <sz val="9"/>
            <color indexed="81"/>
            <rFont val="Tahoma"/>
            <family val="2"/>
          </rPr>
          <t>Williams, Justin:</t>
        </r>
        <r>
          <rPr>
            <sz val="9"/>
            <color indexed="81"/>
            <rFont val="Tahoma"/>
            <family val="2"/>
          </rPr>
          <t xml:space="preserve">
Preferred range is 4&lt;=C&lt;=12
The lower the number, the more difficult the spring is to form as it runs the risk of surface cracking.
The higher the number, the tendency to tangle in packaging with other springs during shipment. 
</t>
        </r>
      </text>
    </comment>
    <comment ref="B17" authorId="0" shapeId="0" xr:uid="{3AA3CDB7-D621-44D7-A6C5-8301A60DBDE5}">
      <text>
        <r>
          <rPr>
            <b/>
            <sz val="9"/>
            <color indexed="81"/>
            <rFont val="Tahoma"/>
            <family val="2"/>
          </rPr>
          <t>Williams, Justin:</t>
        </r>
        <r>
          <rPr>
            <sz val="9"/>
            <color indexed="81"/>
            <rFont val="Tahoma"/>
            <family val="2"/>
          </rPr>
          <t xml:space="preserve">
Generally within 1% of Wahl factor.</t>
        </r>
      </text>
    </comment>
    <comment ref="D19" authorId="0" shapeId="0" xr:uid="{7F6504E6-9451-47CD-866E-718C0905B208}">
      <text>
        <r>
          <rPr>
            <b/>
            <sz val="9"/>
            <color indexed="81"/>
            <rFont val="Tahoma"/>
            <family val="2"/>
          </rPr>
          <t>Williams, Justin:</t>
        </r>
        <r>
          <rPr>
            <sz val="9"/>
            <color indexed="81"/>
            <rFont val="Tahoma"/>
            <family val="2"/>
          </rPr>
          <t xml:space="preserve">
Does not yet take density into account.</t>
        </r>
      </text>
    </comment>
    <comment ref="D20" authorId="0" shapeId="0" xr:uid="{EFFBD199-AB11-4A94-B387-65A46B6607D9}">
      <text>
        <r>
          <rPr>
            <b/>
            <sz val="9"/>
            <color indexed="81"/>
            <rFont val="Tahoma"/>
            <family val="2"/>
          </rPr>
          <t>Williams, Justin:</t>
        </r>
        <r>
          <rPr>
            <sz val="9"/>
            <color indexed="81"/>
            <rFont val="Tahoma"/>
            <family val="2"/>
          </rPr>
          <t xml:space="preserve">
Table 10-5
</t>
        </r>
      </text>
    </comment>
    <comment ref="B21" authorId="0" shapeId="0" xr:uid="{58340CF4-ACB8-42A9-86F4-875CE2B85AE9}">
      <text>
        <r>
          <rPr>
            <b/>
            <sz val="9"/>
            <color indexed="81"/>
            <rFont val="Tahoma"/>
            <family val="2"/>
          </rPr>
          <t>Williams, Justin:</t>
        </r>
        <r>
          <rPr>
            <sz val="9"/>
            <color indexed="81"/>
            <rFont val="Tahoma"/>
            <family val="2"/>
          </rPr>
          <t xml:space="preserve">
Recommended 3&lt;=Na&lt;=15.
If a spring is close to its solid height, possible some coils touch, and this limits the number of active coils.</t>
        </r>
      </text>
    </comment>
    <comment ref="B22" authorId="0" shapeId="0" xr:uid="{2C1326C1-3464-426F-85F7-C3CFBDD3ECD8}">
      <text>
        <r>
          <rPr>
            <b/>
            <sz val="9"/>
            <color indexed="81"/>
            <rFont val="Tahoma"/>
            <family val="2"/>
          </rPr>
          <t>Williams, Justin:</t>
        </r>
        <r>
          <rPr>
            <sz val="9"/>
            <color indexed="81"/>
            <rFont val="Tahoma"/>
            <family val="2"/>
          </rPr>
          <t xml:space="preserve">
Table 10-1</t>
        </r>
      </text>
    </comment>
    <comment ref="B29" authorId="0" shapeId="0" xr:uid="{80DD5943-891F-48BA-B0F1-1D6808D57E29}">
      <text>
        <r>
          <rPr>
            <b/>
            <sz val="9"/>
            <color indexed="81"/>
            <rFont val="Tahoma"/>
            <family val="2"/>
          </rPr>
          <t>Williams, Justin:</t>
        </r>
        <r>
          <rPr>
            <sz val="9"/>
            <color indexed="81"/>
            <rFont val="Tahoma"/>
            <family val="2"/>
          </rPr>
          <t xml:space="preserve">
Using Table 10-4
</t>
        </r>
      </text>
    </comment>
    <comment ref="D29" authorId="0" shapeId="0" xr:uid="{68850DAF-2184-47EA-914C-D5B3DDC43E64}">
      <text>
        <r>
          <rPr>
            <b/>
            <sz val="9"/>
            <color indexed="81"/>
            <rFont val="Tahoma"/>
            <family val="2"/>
          </rPr>
          <t>Williams, Justin:</t>
        </r>
        <r>
          <rPr>
            <sz val="9"/>
            <color indexed="81"/>
            <rFont val="Tahoma"/>
            <family val="2"/>
          </rPr>
          <t xml:space="preserve">
Does not yet factor in diameter of wire changing info from table 10-4!</t>
        </r>
      </text>
    </comment>
    <comment ref="B30" authorId="0" shapeId="0" xr:uid="{5D14A67D-D527-49C2-9313-4A08D986C56B}">
      <text>
        <r>
          <rPr>
            <b/>
            <sz val="9"/>
            <color indexed="81"/>
            <rFont val="Tahoma"/>
            <family val="2"/>
          </rPr>
          <t>Williams, Justin:</t>
        </r>
        <r>
          <rPr>
            <sz val="9"/>
            <color indexed="81"/>
            <rFont val="Tahoma"/>
            <family val="2"/>
          </rPr>
          <t xml:space="preserve">
Using Samonov Approximation
Eq 10-16
Note that based on distortion energy theory, 0.45*S_ut, but Samonov shows that high-tensile spring steels perform differently, and is close to values given by Joerres for hardened steel alloys. Perhaps can change this value to 0.45 if wanting to be even more conservative...
</t>
        </r>
      </text>
    </comment>
    <comment ref="D34" authorId="0" shapeId="0" xr:uid="{46BAD5DD-2CD5-4736-BF99-C61015D48597}">
      <text>
        <r>
          <rPr>
            <b/>
            <sz val="9"/>
            <color indexed="81"/>
            <rFont val="Tahoma"/>
            <family val="2"/>
          </rPr>
          <t>Williams, Justin:</t>
        </r>
        <r>
          <rPr>
            <sz val="9"/>
            <color indexed="81"/>
            <rFont val="Tahoma"/>
            <family val="2"/>
          </rPr>
          <t xml:space="preserve">
Calculated in round about way, but linear with Force, so works. </t>
        </r>
      </text>
    </comment>
    <comment ref="B45" authorId="0" shapeId="0" xr:uid="{DEE6D58F-2B99-493E-B375-9875D474F70B}">
      <text>
        <r>
          <rPr>
            <b/>
            <sz val="9"/>
            <color indexed="81"/>
            <rFont val="Tahoma"/>
            <family val="2"/>
          </rPr>
          <t>Williams, Justin:</t>
        </r>
        <r>
          <rPr>
            <sz val="9"/>
            <color indexed="81"/>
            <rFont val="Tahoma"/>
            <family val="2"/>
          </rPr>
          <t xml:space="preserve">
Sines criterion suggests that midrange stress is not as important for spring fatigue.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Williams, Justin</author>
  </authors>
  <commentList>
    <comment ref="E4" authorId="0" shapeId="0" xr:uid="{254FC25B-CA84-4581-806E-EDB92D5362EE}">
      <text>
        <r>
          <rPr>
            <b/>
            <sz val="9"/>
            <color indexed="81"/>
            <rFont val="Tahoma"/>
            <family val="2"/>
          </rPr>
          <t>Williams, Justin:</t>
        </r>
        <r>
          <rPr>
            <sz val="9"/>
            <color indexed="81"/>
            <rFont val="Tahoma"/>
            <family val="2"/>
          </rPr>
          <t xml:space="preserve">
This was added from web searches online and was not originally in the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Williams, Justin</author>
  </authors>
  <commentList>
    <comment ref="B7" authorId="0" shapeId="0" xr:uid="{BC4B965F-8CCB-40F3-A346-792D2D9CBA9E}">
      <text>
        <r>
          <rPr>
            <b/>
            <sz val="9"/>
            <color indexed="81"/>
            <rFont val="Tahoma"/>
            <family val="2"/>
          </rPr>
          <t>Williams, Justin:</t>
        </r>
        <r>
          <rPr>
            <sz val="9"/>
            <color indexed="81"/>
            <rFont val="Tahoma"/>
            <family val="2"/>
          </rPr>
          <t xml:space="preserve">
This assumes both ends are the same.</t>
        </r>
      </text>
    </comment>
    <comment ref="B11" authorId="0" shapeId="0" xr:uid="{3DE83650-4A37-4865-8E4C-EEC41DAC268B}">
      <text>
        <r>
          <rPr>
            <b/>
            <sz val="9"/>
            <color indexed="81"/>
            <rFont val="Tahoma"/>
            <family val="2"/>
          </rPr>
          <t>Williams, Justin:</t>
        </r>
        <r>
          <rPr>
            <sz val="9"/>
            <color indexed="81"/>
            <rFont val="Tahoma"/>
            <family val="2"/>
          </rPr>
          <t xml:space="preserve">
Table A-5</t>
        </r>
      </text>
    </comment>
    <comment ref="B15" authorId="0" shapeId="0" xr:uid="{ADC7C31B-E6A8-415F-AC91-8EA5875AE3A1}">
      <text>
        <r>
          <rPr>
            <b/>
            <sz val="9"/>
            <color indexed="81"/>
            <rFont val="Tahoma"/>
            <family val="2"/>
          </rPr>
          <t>Williams, Justin:</t>
        </r>
        <r>
          <rPr>
            <sz val="9"/>
            <color indexed="81"/>
            <rFont val="Tahoma"/>
            <family val="2"/>
          </rPr>
          <t xml:space="preserve">
This is used as a general rule of thumb, but need to test or have spring supplier provide as these are not always clean integers. </t>
        </r>
      </text>
    </comment>
    <comment ref="B19" authorId="0" shapeId="0" xr:uid="{77F18A29-5B5E-4B99-A505-158940FA2F22}">
      <text>
        <r>
          <rPr>
            <b/>
            <sz val="9"/>
            <color indexed="81"/>
            <rFont val="Tahoma"/>
            <family val="2"/>
          </rPr>
          <t>Williams, Justin:</t>
        </r>
        <r>
          <rPr>
            <sz val="9"/>
            <color indexed="81"/>
            <rFont val="Tahoma"/>
            <family val="2"/>
          </rPr>
          <t xml:space="preserve">
Does not account for curvature of spring. Bergstrasser factor will instead be used.</t>
        </r>
      </text>
    </comment>
    <comment ref="B21" authorId="0" shapeId="0" xr:uid="{BFF6F2E5-6EE6-4CDB-A1C1-C8F8ED85628F}">
      <text>
        <r>
          <rPr>
            <b/>
            <sz val="9"/>
            <color indexed="81"/>
            <rFont val="Tahoma"/>
            <family val="2"/>
          </rPr>
          <t>Williams, Justin:</t>
        </r>
        <r>
          <rPr>
            <sz val="9"/>
            <color indexed="81"/>
            <rFont val="Tahoma"/>
            <family val="2"/>
          </rPr>
          <t xml:space="preserve">
Generally within 1% of Wahl factor.</t>
        </r>
      </text>
    </comment>
    <comment ref="B39" authorId="0" shapeId="0" xr:uid="{F328D17E-2E03-45A8-BA99-C67696D7A264}">
      <text>
        <r>
          <rPr>
            <b/>
            <sz val="9"/>
            <color indexed="81"/>
            <rFont val="Tahoma"/>
            <family val="2"/>
          </rPr>
          <t>Williams, Justin:</t>
        </r>
        <r>
          <rPr>
            <sz val="9"/>
            <color indexed="81"/>
            <rFont val="Tahoma"/>
            <family val="2"/>
          </rPr>
          <t xml:space="preserve">
Eq 10-27
</t>
        </r>
      </text>
    </comment>
    <comment ref="D40" authorId="0" shapeId="0" xr:uid="{F4A00C7D-6255-401E-8429-54BB24D38C50}">
      <text>
        <r>
          <rPr>
            <b/>
            <sz val="9"/>
            <color indexed="81"/>
            <rFont val="Tahoma"/>
            <family val="2"/>
          </rPr>
          <t>Williams, Justin:</t>
        </r>
        <r>
          <rPr>
            <sz val="9"/>
            <color indexed="81"/>
            <rFont val="Tahoma"/>
            <family val="2"/>
          </rPr>
          <t xml:space="preserve">
Shigley's recommends 15-20 times slower for max allowable frequency.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Williams, Justin</author>
  </authors>
  <commentList>
    <comment ref="B11" authorId="0" shapeId="0" xr:uid="{3E18870A-7E14-434D-A3EA-37F36579A9A1}">
      <text>
        <r>
          <rPr>
            <b/>
            <sz val="9"/>
            <color indexed="81"/>
            <rFont val="Tahoma"/>
            <family val="2"/>
          </rPr>
          <t>Williams, Justin:</t>
        </r>
        <r>
          <rPr>
            <sz val="9"/>
            <color indexed="81"/>
            <rFont val="Tahoma"/>
            <family val="2"/>
          </rPr>
          <t xml:space="preserve">
Elastic Energy = Potential Energy
0.5*k*delta^2=F*(delta+heightabovespring)</t>
        </r>
      </text>
    </comment>
    <comment ref="B24" authorId="0" shapeId="0" xr:uid="{384E4095-7289-412A-97CD-EE9C57277580}">
      <text>
        <r>
          <rPr>
            <b/>
            <sz val="9"/>
            <color indexed="81"/>
            <rFont val="Tahoma"/>
            <family val="2"/>
          </rPr>
          <t>Williams, Justin:</t>
        </r>
        <r>
          <rPr>
            <sz val="9"/>
            <color indexed="81"/>
            <rFont val="Tahoma"/>
            <family val="2"/>
          </rPr>
          <t xml:space="preserve">
Ultimate strength, shear strength, modulus of rigidity, etc. are typically not constant for springs and depend on diameters etc</t>
        </r>
      </text>
    </comment>
    <comment ref="D24" authorId="0" shapeId="0" xr:uid="{678568F1-6E04-4950-8270-1C41B30D19AD}">
      <text>
        <r>
          <rPr>
            <b/>
            <sz val="9"/>
            <color indexed="81"/>
            <rFont val="Tahoma"/>
            <family val="2"/>
          </rPr>
          <t>Williams, Justin:</t>
        </r>
        <r>
          <rPr>
            <sz val="9"/>
            <color indexed="81"/>
            <rFont val="Tahoma"/>
            <family val="2"/>
          </rPr>
          <t xml:space="preserve">
Table 10-4</t>
        </r>
      </text>
    </comment>
    <comment ref="D25" authorId="0" shapeId="0" xr:uid="{BFCCEAE2-E6FB-41BF-AFBA-7CB0763CA6F9}">
      <text>
        <r>
          <rPr>
            <b/>
            <sz val="9"/>
            <color indexed="81"/>
            <rFont val="Tahoma"/>
            <family val="2"/>
          </rPr>
          <t>Williams, Justin:</t>
        </r>
        <r>
          <rPr>
            <sz val="9"/>
            <color indexed="81"/>
            <rFont val="Tahoma"/>
            <family val="2"/>
          </rPr>
          <t xml:space="preserve">
Different for different materials
Table 10-6</t>
        </r>
      </text>
    </comment>
    <comment ref="D26" authorId="0" shapeId="0" xr:uid="{AFB1CE80-975E-45F0-93D5-2E584A38B1D8}">
      <text>
        <r>
          <rPr>
            <b/>
            <sz val="9"/>
            <color indexed="81"/>
            <rFont val="Tahoma"/>
            <family val="2"/>
          </rPr>
          <t>Williams, Justin:</t>
        </r>
        <r>
          <rPr>
            <sz val="9"/>
            <color indexed="81"/>
            <rFont val="Tahoma"/>
            <family val="2"/>
          </rPr>
          <t xml:space="preserve">
Table 10-5
For music wire</t>
        </r>
      </text>
    </comment>
    <comment ref="B30" authorId="0" shapeId="0" xr:uid="{BAF35123-87B6-44D9-9FAF-40181C1A0DB9}">
      <text>
        <r>
          <rPr>
            <b/>
            <sz val="9"/>
            <color indexed="81"/>
            <rFont val="Tahoma"/>
            <family val="2"/>
          </rPr>
          <t>Williams, Justin:</t>
        </r>
        <r>
          <rPr>
            <sz val="9"/>
            <color indexed="81"/>
            <rFont val="Tahoma"/>
            <family val="2"/>
          </rPr>
          <t xml:space="preserve">
This assumes both ends are the same.</t>
        </r>
      </text>
    </comment>
    <comment ref="D32" authorId="0" shapeId="0" xr:uid="{897F1D1B-61E6-47AA-912D-60618AA2561C}">
      <text>
        <r>
          <rPr>
            <b/>
            <sz val="9"/>
            <color indexed="81"/>
            <rFont val="Tahoma"/>
            <family val="2"/>
          </rPr>
          <t>Williams, Justin:</t>
        </r>
        <r>
          <rPr>
            <sz val="9"/>
            <color indexed="81"/>
            <rFont val="Tahoma"/>
            <family val="2"/>
          </rPr>
          <t xml:space="preserve">
Table 10-1
</t>
        </r>
      </text>
    </comment>
    <comment ref="D38" authorId="0" shapeId="0" xr:uid="{F1087895-3D59-45D6-9221-4EB32FD27151}">
      <text>
        <r>
          <rPr>
            <b/>
            <sz val="9"/>
            <color indexed="81"/>
            <rFont val="Tahoma"/>
            <family val="2"/>
          </rPr>
          <t>Williams, Justin:</t>
        </r>
        <r>
          <rPr>
            <sz val="9"/>
            <color indexed="81"/>
            <rFont val="Tahoma"/>
            <family val="2"/>
          </rPr>
          <t xml:space="preserve">
Try for greater than 0.15 since springs are not linear near full compression (and typically near very beginning of travel as well).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Williams, Justin</author>
  </authors>
  <commentList>
    <comment ref="B19" authorId="0" shapeId="0" xr:uid="{F7167D42-6C0F-4A11-889D-A3E71464831C}">
      <text>
        <r>
          <rPr>
            <b/>
            <sz val="9"/>
            <color indexed="81"/>
            <rFont val="Tahoma"/>
            <family val="2"/>
          </rPr>
          <t>Williams, Justin:</t>
        </r>
        <r>
          <rPr>
            <sz val="9"/>
            <color indexed="81"/>
            <rFont val="Tahoma"/>
            <family val="2"/>
          </rPr>
          <t xml:space="preserve">
Table 10-4
</t>
        </r>
      </text>
    </comment>
    <comment ref="B20" authorId="0" shapeId="0" xr:uid="{01F7B540-AAE9-47DE-87E3-C75E380CFCEA}">
      <text>
        <r>
          <rPr>
            <b/>
            <sz val="9"/>
            <color indexed="81"/>
            <rFont val="Tahoma"/>
            <family val="2"/>
          </rPr>
          <t>Williams, Justin:</t>
        </r>
        <r>
          <rPr>
            <sz val="9"/>
            <color indexed="81"/>
            <rFont val="Tahoma"/>
            <family val="2"/>
          </rPr>
          <t xml:space="preserve">
Table 10-4</t>
        </r>
      </text>
    </comment>
    <comment ref="B21" authorId="0" shapeId="0" xr:uid="{F859C976-6ECF-4F3F-B072-CCC5A34E9798}">
      <text>
        <r>
          <rPr>
            <b/>
            <sz val="9"/>
            <color indexed="81"/>
            <rFont val="Tahoma"/>
            <family val="2"/>
          </rPr>
          <t>Williams, Justin:</t>
        </r>
        <r>
          <rPr>
            <sz val="9"/>
            <color indexed="81"/>
            <rFont val="Tahoma"/>
            <family val="2"/>
          </rPr>
          <t xml:space="preserve">
Table 10-4</t>
        </r>
      </text>
    </comment>
    <comment ref="B22" authorId="0" shapeId="0" xr:uid="{09291E5F-F60D-4F70-A090-C24855172876}">
      <text>
        <r>
          <rPr>
            <b/>
            <sz val="9"/>
            <color indexed="81"/>
            <rFont val="Tahoma"/>
            <family val="2"/>
          </rPr>
          <t>Williams, Justin:</t>
        </r>
        <r>
          <rPr>
            <sz val="9"/>
            <color indexed="81"/>
            <rFont val="Tahoma"/>
            <family val="2"/>
          </rPr>
          <t xml:space="preserve">
Table 10-5
</t>
        </r>
      </text>
    </comment>
  </commentList>
</comments>
</file>

<file path=xl/sharedStrings.xml><?xml version="1.0" encoding="utf-8"?>
<sst xmlns="http://schemas.openxmlformats.org/spreadsheetml/2006/main" count="600" uniqueCount="322">
  <si>
    <t>Load</t>
  </si>
  <si>
    <t>lbf</t>
  </si>
  <si>
    <t>N</t>
  </si>
  <si>
    <t>Wire Diameter</t>
  </si>
  <si>
    <t>mm</t>
  </si>
  <si>
    <t>in</t>
  </si>
  <si>
    <t>Total Coils</t>
  </si>
  <si>
    <t>-</t>
  </si>
  <si>
    <t>Free Length</t>
  </si>
  <si>
    <t>Outer Coil Diameter</t>
  </si>
  <si>
    <t>Inner Coil Diameter</t>
  </si>
  <si>
    <t>Spring Index</t>
  </si>
  <si>
    <t>C</t>
  </si>
  <si>
    <t>D</t>
  </si>
  <si>
    <t>d</t>
  </si>
  <si>
    <t>Mean Coil Diameter</t>
  </si>
  <si>
    <t>Bergstrasser Factor</t>
  </si>
  <si>
    <t>Wahl Factor</t>
  </si>
  <si>
    <t>K_b</t>
  </si>
  <si>
    <t>tau</t>
  </si>
  <si>
    <t>ksi</t>
  </si>
  <si>
    <t>MPa</t>
  </si>
  <si>
    <t>Max Shearing Stress</t>
  </si>
  <si>
    <t>Spring Constant</t>
  </si>
  <si>
    <t>Modulus of Rigidity</t>
  </si>
  <si>
    <t>G</t>
  </si>
  <si>
    <t>GPa</t>
  </si>
  <si>
    <t>Modulus of Elasticity</t>
  </si>
  <si>
    <t>E</t>
  </si>
  <si>
    <t>Active Coils</t>
  </si>
  <si>
    <t>N/mm</t>
  </si>
  <si>
    <t>lbf/in</t>
  </si>
  <si>
    <t>SpringEndType</t>
  </si>
  <si>
    <t>Plain</t>
  </si>
  <si>
    <t>Squared/Closed</t>
  </si>
  <si>
    <t>Squared and Ground</t>
  </si>
  <si>
    <t>Ground</t>
  </si>
  <si>
    <t>Spring End Type</t>
  </si>
  <si>
    <t>N_a</t>
  </si>
  <si>
    <t>N_t</t>
  </si>
  <si>
    <t>k</t>
  </si>
  <si>
    <t>F</t>
  </si>
  <si>
    <t>Deflection</t>
  </si>
  <si>
    <t>ξ</t>
  </si>
  <si>
    <t>Fractional Overrun to Closure</t>
  </si>
  <si>
    <t>F_s</t>
  </si>
  <si>
    <t>L_s</t>
  </si>
  <si>
    <t>Solid Length of Spring</t>
  </si>
  <si>
    <t>δ</t>
  </si>
  <si>
    <t>δ_s</t>
  </si>
  <si>
    <t>Deflection until solid spring</t>
  </si>
  <si>
    <t>Force to achieve solid spring</t>
  </si>
  <si>
    <t>δ_cr</t>
  </si>
  <si>
    <t>λ_eff</t>
  </si>
  <si>
    <t>α</t>
  </si>
  <si>
    <t>End Condition Constant</t>
  </si>
  <si>
    <t>C'_1</t>
  </si>
  <si>
    <t>C'_2</t>
  </si>
  <si>
    <t>L_0</t>
  </si>
  <si>
    <t>Critical Buckling Force</t>
  </si>
  <si>
    <t>F_cr</t>
  </si>
  <si>
    <t>Min Mean Diameter Required for Absolute Stability</t>
  </si>
  <si>
    <t>D_min_abs_stab</t>
  </si>
  <si>
    <t>d_abs_stab</t>
  </si>
  <si>
    <t>New Wire Diameter if changing coil diameter for absolute stability</t>
  </si>
  <si>
    <t>Effective Slenderness Ratio</t>
  </si>
  <si>
    <t>Elastic Constant 1</t>
  </si>
  <si>
    <t>Elastic Constant 2</t>
  </si>
  <si>
    <t>Deflection at which buckling is expected</t>
  </si>
  <si>
    <t>Is buckling expected?</t>
  </si>
  <si>
    <t>K_s</t>
  </si>
  <si>
    <t>Shear Stress Concentration Factor</t>
  </si>
  <si>
    <t>K_w</t>
  </si>
  <si>
    <t>Spring Pitch</t>
  </si>
  <si>
    <t>p</t>
  </si>
  <si>
    <t>End Coils</t>
  </si>
  <si>
    <t>N_e</t>
  </si>
  <si>
    <t>SpringEndCondition</t>
  </si>
  <si>
    <t>Supported between flat parallel surfaces (fixed ends) (grounded)</t>
  </si>
  <si>
    <t>One end supported by flat surface perpendicular to springs axis (fixed), other end pivoted/hinged</t>
  </si>
  <si>
    <t>Both ends pivoted/hinged</t>
  </si>
  <si>
    <t>One end clamped, other free</t>
  </si>
  <si>
    <t>Spring End Condition</t>
  </si>
  <si>
    <t>Force</t>
  </si>
  <si>
    <t>Deflection for given Force</t>
  </si>
  <si>
    <t>K</t>
  </si>
  <si>
    <t>Description</t>
  </si>
  <si>
    <t>Abbrev</t>
  </si>
  <si>
    <t>Value</t>
  </si>
  <si>
    <t>Unit</t>
  </si>
  <si>
    <t>Alt Value</t>
  </si>
  <si>
    <t>Alt unit</t>
  </si>
  <si>
    <t>N*mm</t>
  </si>
  <si>
    <t>Height above spring to drop weight at</t>
  </si>
  <si>
    <t>Elastic Energy @ rest with weight on top</t>
  </si>
  <si>
    <t>Mass</t>
  </si>
  <si>
    <t>Weight</t>
  </si>
  <si>
    <t>m/s^2</t>
  </si>
  <si>
    <t>kg</t>
  </si>
  <si>
    <t>Acceleration due to Gravity</t>
  </si>
  <si>
    <t>Potential Energy of Mass above spring</t>
  </si>
  <si>
    <t>Spring Deflection at lowest mass position</t>
  </si>
  <si>
    <t>Energy Balance Check</t>
  </si>
  <si>
    <t>Max Force Expected</t>
  </si>
  <si>
    <r>
      <t>F</t>
    </r>
    <r>
      <rPr>
        <vertAlign val="subscript"/>
        <sz val="11"/>
        <color theme="1"/>
        <rFont val="Calibri"/>
        <family val="2"/>
        <scheme val="minor"/>
      </rPr>
      <t>max</t>
    </r>
  </si>
  <si>
    <r>
      <t>PE</t>
    </r>
    <r>
      <rPr>
        <vertAlign val="subscript"/>
        <sz val="11"/>
        <color theme="1"/>
        <rFont val="Calibri"/>
        <family val="2"/>
        <scheme val="minor"/>
      </rPr>
      <t>mass</t>
    </r>
  </si>
  <si>
    <r>
      <t>U</t>
    </r>
    <r>
      <rPr>
        <vertAlign val="subscript"/>
        <sz val="11"/>
        <color theme="1"/>
        <rFont val="Calibri"/>
        <family val="2"/>
        <scheme val="minor"/>
      </rPr>
      <t>spring</t>
    </r>
  </si>
  <si>
    <t xml:space="preserve">Internal (Elastic) Energy transferred to spring </t>
  </si>
  <si>
    <t>m</t>
  </si>
  <si>
    <t>h</t>
  </si>
  <si>
    <t>g</t>
  </si>
  <si>
    <t>W</t>
  </si>
  <si>
    <r>
      <t>δ</t>
    </r>
    <r>
      <rPr>
        <vertAlign val="subscript"/>
        <sz val="11"/>
        <color theme="1"/>
        <rFont val="Calibri"/>
        <family val="2"/>
      </rPr>
      <t>max</t>
    </r>
  </si>
  <si>
    <t>Dropping Weight on Spring from Height (Impact)</t>
  </si>
  <si>
    <t>Diameter of Rod</t>
  </si>
  <si>
    <r>
      <t>D</t>
    </r>
    <r>
      <rPr>
        <vertAlign val="subscript"/>
        <sz val="11"/>
        <color theme="1"/>
        <rFont val="Calibri"/>
        <family val="2"/>
        <scheme val="minor"/>
      </rPr>
      <t>rod</t>
    </r>
  </si>
  <si>
    <t>Clearance Diameter</t>
  </si>
  <si>
    <r>
      <t>D</t>
    </r>
    <r>
      <rPr>
        <vertAlign val="subscript"/>
        <sz val="11"/>
        <color theme="1"/>
        <rFont val="Calibri"/>
        <family val="2"/>
        <scheme val="minor"/>
      </rPr>
      <t>clear</t>
    </r>
  </si>
  <si>
    <t>Min Safety Factor for Yielding (solid)</t>
  </si>
  <si>
    <r>
      <t>N</t>
    </r>
    <r>
      <rPr>
        <vertAlign val="subscript"/>
        <sz val="11"/>
        <color theme="1"/>
        <rFont val="Calibri"/>
        <family val="2"/>
        <scheme val="minor"/>
      </rPr>
      <t>solid,min</t>
    </r>
  </si>
  <si>
    <t>Static Load</t>
  </si>
  <si>
    <r>
      <t>F</t>
    </r>
    <r>
      <rPr>
        <vertAlign val="subscript"/>
        <sz val="11"/>
        <color theme="1"/>
        <rFont val="Calibri"/>
        <family val="2"/>
        <scheme val="minor"/>
      </rPr>
      <t>static</t>
    </r>
  </si>
  <si>
    <t>Deflection at Static Load</t>
  </si>
  <si>
    <r>
      <t>δ</t>
    </r>
    <r>
      <rPr>
        <vertAlign val="subscript"/>
        <sz val="11"/>
        <color theme="1"/>
        <rFont val="Calibri"/>
        <family val="2"/>
      </rPr>
      <t>static</t>
    </r>
  </si>
  <si>
    <r>
      <t>L</t>
    </r>
    <r>
      <rPr>
        <vertAlign val="subscript"/>
        <sz val="11"/>
        <color theme="1"/>
        <rFont val="Calibri"/>
        <family val="2"/>
      </rPr>
      <t>free</t>
    </r>
  </si>
  <si>
    <t>Spring around Rod</t>
  </si>
  <si>
    <t>Diameter of Wire</t>
  </si>
  <si>
    <t>Ultimate Strength</t>
  </si>
  <si>
    <t>Allowable Shear Stress</t>
  </si>
  <si>
    <r>
      <t>K</t>
    </r>
    <r>
      <rPr>
        <vertAlign val="subscript"/>
        <sz val="11"/>
        <color theme="1"/>
        <rFont val="Calibri"/>
        <family val="2"/>
        <scheme val="minor"/>
      </rPr>
      <t>B</t>
    </r>
  </si>
  <si>
    <r>
      <t>S</t>
    </r>
    <r>
      <rPr>
        <vertAlign val="subscript"/>
        <sz val="11"/>
        <color theme="1"/>
        <rFont val="Calibri"/>
        <family val="2"/>
        <scheme val="minor"/>
      </rPr>
      <t>s,allowable</t>
    </r>
  </si>
  <si>
    <r>
      <t>dia</t>
    </r>
    <r>
      <rPr>
        <vertAlign val="subscript"/>
        <sz val="11"/>
        <color theme="1"/>
        <rFont val="Calibri"/>
        <family val="2"/>
      </rPr>
      <t>wire</t>
    </r>
  </si>
  <si>
    <r>
      <t>S</t>
    </r>
    <r>
      <rPr>
        <vertAlign val="subscript"/>
        <sz val="11"/>
        <color theme="1"/>
        <rFont val="Calibri"/>
        <family val="2"/>
        <scheme val="minor"/>
      </rPr>
      <t>ut</t>
    </r>
  </si>
  <si>
    <t>Number of Active Coils</t>
  </si>
  <si>
    <t>Nt</t>
  </si>
  <si>
    <t>Number of Total Coils</t>
  </si>
  <si>
    <t>Solid length</t>
  </si>
  <si>
    <r>
      <t>L</t>
    </r>
    <r>
      <rPr>
        <vertAlign val="subscript"/>
        <sz val="11"/>
        <color theme="1"/>
        <rFont val="Calibri"/>
        <family val="2"/>
        <scheme val="minor"/>
      </rPr>
      <t>solid</t>
    </r>
  </si>
  <si>
    <r>
      <t>N</t>
    </r>
    <r>
      <rPr>
        <vertAlign val="subscript"/>
        <sz val="11"/>
        <color theme="1"/>
        <rFont val="Calibri"/>
        <family val="2"/>
        <scheme val="minor"/>
      </rPr>
      <t>a</t>
    </r>
  </si>
  <si>
    <r>
      <t>N</t>
    </r>
    <r>
      <rPr>
        <vertAlign val="subscript"/>
        <sz val="11"/>
        <color theme="1"/>
        <rFont val="Calibri"/>
        <family val="2"/>
        <scheme val="minor"/>
      </rPr>
      <t>t</t>
    </r>
  </si>
  <si>
    <t>Spring Force at Solid Length</t>
  </si>
  <si>
    <r>
      <t>F</t>
    </r>
    <r>
      <rPr>
        <vertAlign val="subscript"/>
        <sz val="11"/>
        <color theme="1"/>
        <rFont val="Calibri"/>
        <family val="2"/>
        <scheme val="minor"/>
      </rPr>
      <t>solid</t>
    </r>
  </si>
  <si>
    <t>Spring Stress at Solid Length</t>
  </si>
  <si>
    <t>Factor of Safety at Solid Height</t>
  </si>
  <si>
    <t>Factor of Safety against Shearing at Solid Length</t>
  </si>
  <si>
    <t>Is Spring "Solid Safe"?</t>
  </si>
  <si>
    <r>
      <t>n</t>
    </r>
    <r>
      <rPr>
        <vertAlign val="subscript"/>
        <sz val="11"/>
        <color theme="1"/>
        <rFont val="Calibri"/>
        <family val="2"/>
        <scheme val="minor"/>
      </rPr>
      <t>s,solid</t>
    </r>
  </si>
  <si>
    <t>Is fractional overrun to closure &gt; .15</t>
  </si>
  <si>
    <t>Factor of Safety against Shearing at Max Force Expected</t>
  </si>
  <si>
    <t>Max Shear Stress Expected</t>
  </si>
  <si>
    <t>Cart Weight</t>
  </si>
  <si>
    <t>Cart Mass</t>
  </si>
  <si>
    <t>Axle Weight</t>
  </si>
  <si>
    <t>Axle Mass</t>
  </si>
  <si>
    <t>Velocity Goal</t>
  </si>
  <si>
    <t>Gravitational Acceleration</t>
  </si>
  <si>
    <t>ft/s^2</t>
  </si>
  <si>
    <t>slug</t>
  </si>
  <si>
    <t>ft/s</t>
  </si>
  <si>
    <t>Axle Radius of Gyration</t>
  </si>
  <si>
    <t>Wheel Radius</t>
  </si>
  <si>
    <t>Kinetic Energy</t>
  </si>
  <si>
    <t>lbf*in</t>
  </si>
  <si>
    <t>Axle Inertia</t>
  </si>
  <si>
    <t>Rotational Speed of Axle</t>
  </si>
  <si>
    <t>slug*ft^2</t>
  </si>
  <si>
    <t>rad/s</t>
  </si>
  <si>
    <t>Shearing Yield Strength Percent</t>
  </si>
  <si>
    <t>alpha</t>
  </si>
  <si>
    <t>A</t>
  </si>
  <si>
    <t>Specific Relative Cost</t>
  </si>
  <si>
    <t>Figure of Merit</t>
  </si>
  <si>
    <t>This sheet nowhere near complete</t>
  </si>
  <si>
    <t>Hz</t>
  </si>
  <si>
    <r>
      <t>W</t>
    </r>
    <r>
      <rPr>
        <vertAlign val="subscript"/>
        <sz val="11"/>
        <color theme="1"/>
        <rFont val="Calibri"/>
        <family val="2"/>
      </rPr>
      <t>active</t>
    </r>
  </si>
  <si>
    <t>Weight of Active Coils</t>
  </si>
  <si>
    <t>Unit Weight</t>
  </si>
  <si>
    <t>Critical Frequency (First)</t>
  </si>
  <si>
    <r>
      <t>f</t>
    </r>
    <r>
      <rPr>
        <vertAlign val="subscript"/>
        <sz val="11"/>
        <color theme="1"/>
        <rFont val="Calibri"/>
        <family val="2"/>
      </rPr>
      <t>crit,1</t>
    </r>
  </si>
  <si>
    <t>N/cm^3</t>
  </si>
  <si>
    <t>Max Allowable Frequency</t>
  </si>
  <si>
    <t>cycle/min</t>
  </si>
  <si>
    <r>
      <t>f</t>
    </r>
    <r>
      <rPr>
        <vertAlign val="subscript"/>
        <sz val="11"/>
        <color theme="1"/>
        <rFont val="Calibri"/>
        <family val="2"/>
      </rPr>
      <t>allow</t>
    </r>
  </si>
  <si>
    <t>lbf/in^3</t>
  </si>
  <si>
    <t>Preload</t>
  </si>
  <si>
    <t>End Type</t>
  </si>
  <si>
    <t>Max Valve Lift</t>
  </si>
  <si>
    <t>Factor of Safety @ Max Rigid Displacement (static)</t>
  </si>
  <si>
    <t>Solid Safe</t>
  </si>
  <si>
    <t>No</t>
  </si>
  <si>
    <t>inch</t>
  </si>
  <si>
    <t>Minimum Fractional Overrun to Closure</t>
  </si>
  <si>
    <t>Shot-Peened</t>
  </si>
  <si>
    <t>YesNo</t>
  </si>
  <si>
    <t>Yes</t>
  </si>
  <si>
    <t>Spring Constant Required</t>
  </si>
  <si>
    <t>Force Delta</t>
  </si>
  <si>
    <t>ΔF</t>
  </si>
  <si>
    <t>Yes/No</t>
  </si>
  <si>
    <r>
      <t>F</t>
    </r>
    <r>
      <rPr>
        <vertAlign val="subscript"/>
        <sz val="11"/>
        <color theme="1"/>
        <rFont val="Calibri"/>
        <family val="2"/>
        <scheme val="minor"/>
      </rPr>
      <t>preload</t>
    </r>
  </si>
  <si>
    <r>
      <t>S</t>
    </r>
    <r>
      <rPr>
        <vertAlign val="subscript"/>
        <sz val="11"/>
        <color theme="1"/>
        <rFont val="Calibri"/>
        <family val="2"/>
        <scheme val="minor"/>
      </rPr>
      <t>sy</t>
    </r>
  </si>
  <si>
    <t>Shear Yielding Strength</t>
  </si>
  <si>
    <t>n</t>
  </si>
  <si>
    <t>From Shigley's Mechanical Engineering Design, 9th ed, Table 10-4</t>
  </si>
  <si>
    <t>Material</t>
  </si>
  <si>
    <t>Music Wire</t>
  </si>
  <si>
    <t>Oil Quenched &amp; Tempered Wire</t>
  </si>
  <si>
    <t>Hard-Drawn Wire</t>
  </si>
  <si>
    <t>Chrome-Vanadium Wire</t>
  </si>
  <si>
    <t>Chrome-Silicon Wire</t>
  </si>
  <si>
    <t>302 Stainless Steel Wire</t>
  </si>
  <si>
    <t>Phosphor-Bronze Wire</t>
  </si>
  <si>
    <t>ASTM #</t>
  </si>
  <si>
    <t>A228</t>
  </si>
  <si>
    <t>A229</t>
  </si>
  <si>
    <t>A227</t>
  </si>
  <si>
    <t>A232</t>
  </si>
  <si>
    <t>A401</t>
  </si>
  <si>
    <t>A313</t>
  </si>
  <si>
    <t>B159</t>
  </si>
  <si>
    <t>A (Mpa*mm^m)</t>
  </si>
  <si>
    <t>Relative Cost of Wire (FOM)</t>
  </si>
  <si>
    <t>7.6-11</t>
  </si>
  <si>
    <t>Exponent
m</t>
  </si>
  <si>
    <t>Lower Diameter (mm)</t>
  </si>
  <si>
    <t>Upper Diameter (mm)</t>
  </si>
  <si>
    <t>Wire Material</t>
  </si>
  <si>
    <t>WireMaterial</t>
  </si>
  <si>
    <t>S_sy/n=t_max=K_b*8*F_max*D/(pi*d^3)</t>
  </si>
  <si>
    <t>(A/d^m)*0.56=t_max=((4*C+2)/(4*C-3))*8*F_max*D/(pi*d^3)</t>
  </si>
  <si>
    <t>(A/d^m)*0.56=t_max=((4*D/d+2)/(4*D/d-3))*8*F_max*D/(pi*d^3)</t>
  </si>
  <si>
    <t>Wire Diameter Guess</t>
  </si>
  <si>
    <t>diameter</t>
  </si>
  <si>
    <t>t_allow</t>
  </si>
  <si>
    <t>right side</t>
  </si>
  <si>
    <t>Input a guess here initially, then use Goal seek to set cell to "1" by changing this value. Use Chart to get a good initial guess.</t>
  </si>
  <si>
    <r>
      <t xml:space="preserve">Goal Seek Cell </t>
    </r>
    <r>
      <rPr>
        <sz val="8"/>
        <color theme="1"/>
        <rFont val="Calibri"/>
        <family val="2"/>
        <scheme val="minor"/>
      </rPr>
      <t>Goal Seek this to "1" by changing "Wire Dia" Cell</t>
    </r>
  </si>
  <si>
    <t>Na</t>
  </si>
  <si>
    <t>Mpsi</t>
  </si>
  <si>
    <t>Number ot Total Coils</t>
  </si>
  <si>
    <t>Type of Spring Ends</t>
  </si>
  <si>
    <t>Plain and Ground</t>
  </si>
  <si>
    <t>Squared or Closed</t>
  </si>
  <si>
    <t>Solid Length</t>
  </si>
  <si>
    <t>Pitch</t>
  </si>
  <si>
    <r>
      <t>N</t>
    </r>
    <r>
      <rPr>
        <vertAlign val="subscript"/>
        <sz val="11"/>
        <color theme="1"/>
        <rFont val="Calibri"/>
        <family val="2"/>
        <scheme val="minor"/>
      </rPr>
      <t>e</t>
    </r>
  </si>
  <si>
    <r>
      <t>L</t>
    </r>
    <r>
      <rPr>
        <vertAlign val="subscript"/>
        <sz val="11"/>
        <color theme="1"/>
        <rFont val="Calibri"/>
        <family val="2"/>
        <scheme val="minor"/>
      </rPr>
      <t>0</t>
    </r>
  </si>
  <si>
    <r>
      <t>L</t>
    </r>
    <r>
      <rPr>
        <vertAlign val="subscript"/>
        <sz val="11"/>
        <color theme="1"/>
        <rFont val="Calibri"/>
        <family val="2"/>
        <scheme val="minor"/>
      </rPr>
      <t>s</t>
    </r>
  </si>
  <si>
    <t>Na+1</t>
  </si>
  <si>
    <t>Na+2</t>
  </si>
  <si>
    <t>p*Na+d</t>
  </si>
  <si>
    <t>p(Na+1)</t>
  </si>
  <si>
    <t>p*Na+3d</t>
  </si>
  <si>
    <t>p*Na+2d</t>
  </si>
  <si>
    <t>d(Nt+1)</t>
  </si>
  <si>
    <t>d*Nt</t>
  </si>
  <si>
    <t>(L0-d)/Na</t>
  </si>
  <si>
    <t>L0/(Na+1)</t>
  </si>
  <si>
    <t>(L0-3d)/Na</t>
  </si>
  <si>
    <t>(L0-2d)/Na</t>
  </si>
  <si>
    <t>Table 10-1</t>
  </si>
  <si>
    <t>End Condition</t>
  </si>
  <si>
    <t>Grounded / Spring supported b/w flat parallel surfaces (fixed ends)</t>
  </si>
  <si>
    <t>One end supported by flat surface perpendicular to spring axis (fixed); Other end hinge pivoted</t>
  </si>
  <si>
    <t>Both ends hinge pivoted</t>
  </si>
  <si>
    <t>One end clamped; Other end free</t>
  </si>
  <si>
    <r>
      <t xml:space="preserve">Constant </t>
    </r>
    <r>
      <rPr>
        <b/>
        <sz val="11"/>
        <color theme="1"/>
        <rFont val="Calibri"/>
        <family val="2"/>
      </rPr>
      <t>α</t>
    </r>
  </si>
  <si>
    <t>Table 10-2 End condition constants for helical compression springs</t>
  </si>
  <si>
    <t>Spring Free Length</t>
  </si>
  <si>
    <t>Spring Solid Length</t>
  </si>
  <si>
    <t>Spring Solid Force</t>
  </si>
  <si>
    <r>
      <t>F</t>
    </r>
    <r>
      <rPr>
        <vertAlign val="subscript"/>
        <sz val="11"/>
        <color theme="1"/>
        <rFont val="Calibri"/>
        <family val="2"/>
        <scheme val="minor"/>
      </rPr>
      <t>s</t>
    </r>
  </si>
  <si>
    <r>
      <t>L</t>
    </r>
    <r>
      <rPr>
        <vertAlign val="subscript"/>
        <sz val="11"/>
        <rFont val="Calibri"/>
        <family val="2"/>
        <scheme val="minor"/>
      </rPr>
      <t>0</t>
    </r>
  </si>
  <si>
    <t>FOM</t>
  </si>
  <si>
    <t>avg</t>
  </si>
  <si>
    <t>Density (g/cm^3)</t>
  </si>
  <si>
    <t>Material Density</t>
  </si>
  <si>
    <t>ρ</t>
  </si>
  <si>
    <t>g/cm^3</t>
  </si>
  <si>
    <t>lbm/in^3</t>
  </si>
  <si>
    <t>Approx Endurance Limit in Shear of Spring</t>
  </si>
  <si>
    <r>
      <t>S</t>
    </r>
    <r>
      <rPr>
        <vertAlign val="subscript"/>
        <sz val="11"/>
        <color theme="1"/>
        <rFont val="Calibri"/>
        <family val="2"/>
        <scheme val="minor"/>
      </rPr>
      <t>se</t>
    </r>
  </si>
  <si>
    <r>
      <t>S</t>
    </r>
    <r>
      <rPr>
        <vertAlign val="subscript"/>
        <sz val="11"/>
        <color theme="1"/>
        <rFont val="Calibri"/>
        <family val="2"/>
        <scheme val="minor"/>
      </rPr>
      <t>sm</t>
    </r>
  </si>
  <si>
    <r>
      <t>S</t>
    </r>
    <r>
      <rPr>
        <vertAlign val="subscript"/>
        <sz val="11"/>
        <color theme="1"/>
        <rFont val="Calibri"/>
        <family val="2"/>
        <scheme val="minor"/>
      </rPr>
      <t>sa</t>
    </r>
  </si>
  <si>
    <t>Alternating Shear Strength</t>
  </si>
  <si>
    <t>Midrange Shear Strength</t>
  </si>
  <si>
    <r>
      <t>τ</t>
    </r>
    <r>
      <rPr>
        <vertAlign val="subscript"/>
        <sz val="11"/>
        <color theme="1"/>
        <rFont val="Calibri"/>
        <family val="2"/>
        <scheme val="minor"/>
      </rPr>
      <t>max</t>
    </r>
  </si>
  <si>
    <t>Max Shear Stress</t>
  </si>
  <si>
    <t>Min Shear Stress</t>
  </si>
  <si>
    <r>
      <t>τ</t>
    </r>
    <r>
      <rPr>
        <vertAlign val="subscript"/>
        <sz val="11"/>
        <color theme="1"/>
        <rFont val="Calibri"/>
        <family val="2"/>
        <scheme val="minor"/>
      </rPr>
      <t>min</t>
    </r>
  </si>
  <si>
    <r>
      <t>τ</t>
    </r>
    <r>
      <rPr>
        <vertAlign val="subscript"/>
        <sz val="11"/>
        <color theme="1"/>
        <rFont val="Calibri"/>
        <family val="2"/>
        <scheme val="minor"/>
      </rPr>
      <t>mid</t>
    </r>
  </si>
  <si>
    <r>
      <t>τ</t>
    </r>
    <r>
      <rPr>
        <vertAlign val="subscript"/>
        <sz val="11"/>
        <color theme="1"/>
        <rFont val="Calibri"/>
        <family val="2"/>
        <scheme val="minor"/>
      </rPr>
      <t>alt</t>
    </r>
  </si>
  <si>
    <t>Midrange Shear Stress</t>
  </si>
  <si>
    <t>Alternating Shear Stress</t>
  </si>
  <si>
    <t>Fatigue Factor of Safety (ASME-Elliptic based)</t>
  </si>
  <si>
    <t>Fatigue Factor of Safety (Sines Criterion based)</t>
  </si>
  <si>
    <r>
      <t>n</t>
    </r>
    <r>
      <rPr>
        <vertAlign val="subscript"/>
        <sz val="11"/>
        <color theme="1"/>
        <rFont val="Calibri"/>
        <family val="2"/>
        <scheme val="minor"/>
      </rPr>
      <t>f,ASME-Elliptic</t>
    </r>
  </si>
  <si>
    <t>Midrange Force</t>
  </si>
  <si>
    <t>Alternating Force</t>
  </si>
  <si>
    <r>
      <t>F</t>
    </r>
    <r>
      <rPr>
        <vertAlign val="subscript"/>
        <sz val="11"/>
        <rFont val="Calibri"/>
        <family val="2"/>
        <scheme val="minor"/>
      </rPr>
      <t>mid</t>
    </r>
  </si>
  <si>
    <r>
      <t>F</t>
    </r>
    <r>
      <rPr>
        <vertAlign val="subscript"/>
        <sz val="11"/>
        <rFont val="Calibri"/>
        <family val="2"/>
        <scheme val="minor"/>
      </rPr>
      <t>alt</t>
    </r>
  </si>
  <si>
    <t>Ultimate (Tensile) Yielding Strength</t>
  </si>
  <si>
    <t>Max Shear Stress (Check)</t>
  </si>
  <si>
    <t>Is Max Shear Stress Check w/in 1%</t>
  </si>
  <si>
    <r>
      <t>τ</t>
    </r>
    <r>
      <rPr>
        <vertAlign val="subscript"/>
        <sz val="11"/>
        <color theme="1"/>
        <rFont val="Calibri"/>
        <family val="2"/>
        <scheme val="minor"/>
      </rPr>
      <t>max,check</t>
    </r>
  </si>
  <si>
    <t>Midrange Shear Stress Check</t>
  </si>
  <si>
    <t>Alternating Shear Stress Check</t>
  </si>
  <si>
    <r>
      <t>τ</t>
    </r>
    <r>
      <rPr>
        <vertAlign val="subscript"/>
        <sz val="11"/>
        <color theme="1"/>
        <rFont val="Calibri"/>
        <family val="2"/>
        <scheme val="minor"/>
      </rPr>
      <t>mid,check</t>
    </r>
  </si>
  <si>
    <t>Is Midrange Stress Check w/in 1%</t>
  </si>
  <si>
    <t>Is Alternating Stress Check w/in 1%</t>
  </si>
  <si>
    <r>
      <t>τ</t>
    </r>
    <r>
      <rPr>
        <vertAlign val="subscript"/>
        <sz val="11"/>
        <color theme="1"/>
        <rFont val="Calibri"/>
        <family val="2"/>
        <scheme val="minor"/>
      </rPr>
      <t>alt.check</t>
    </r>
  </si>
  <si>
    <r>
      <t>n</t>
    </r>
    <r>
      <rPr>
        <vertAlign val="subscript"/>
        <sz val="11"/>
        <color theme="1"/>
        <rFont val="Calibri"/>
        <family val="2"/>
        <scheme val="minor"/>
      </rPr>
      <t>f,Sines_Criteria</t>
    </r>
  </si>
  <si>
    <t>Max Force (@ Max Valve Lift)</t>
  </si>
  <si>
    <t>https://www.federnshop.com/en/products/compression_springs/calculation.html</t>
  </si>
  <si>
    <t>Finding approx wire diameter to use for valve springs and finding fatigue factor of safety. Does not take into account any heat cycling etc.</t>
  </si>
  <si>
    <t xml:space="preserve">J.Williams 2022-06-27 </t>
  </si>
  <si>
    <t>This spreadsheet should not be used as a substitute for allowing spring supplier to do analysis.</t>
  </si>
  <si>
    <t>Spreadsheet inspired by Dr. Swambom's lectures.</t>
  </si>
  <si>
    <t>Website for compression spring design:</t>
  </si>
  <si>
    <t>Use goal seek to set this cell to "1" by changing the wire diameter guess number.</t>
  </si>
  <si>
    <t>~ 1</t>
  </si>
  <si>
    <t>***have not verified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</si>
</sst>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
    <numFmt numFmtId="165" formatCode="0.000000"/>
    <numFmt numFmtId="166" formatCode="0.00000"/>
    <numFmt numFmtId="167" formatCode="0.0000"/>
    <numFmt numFmtId="168" formatCode="0.000"/>
  </numFmts>
  <fonts count="15" x14ac:knownFonts="1">
    <font>
      <sz val="11"/>
      <color theme="1"/>
      <name val="Calibri"/>
      <family val="2"/>
      <scheme val="minor"/>
    </font>
    <font>
      <sz val="11"/>
      <name val="Calibri"/>
      <family val="2"/>
      <scheme val="minor"/>
    </font>
    <font>
      <sz val="9"/>
      <color indexed="81"/>
      <name val="Tahoma"/>
      <family val="2"/>
    </font>
    <font>
      <b/>
      <sz val="9"/>
      <color indexed="81"/>
      <name val="Tahoma"/>
      <family val="2"/>
    </font>
    <font>
      <sz val="11"/>
      <color theme="1"/>
      <name val="Calibri"/>
      <family val="2"/>
    </font>
    <font>
      <b/>
      <sz val="11"/>
      <color theme="1"/>
      <name val="Calibri"/>
      <family val="2"/>
      <scheme val="minor"/>
    </font>
    <font>
      <sz val="11"/>
      <color theme="1"/>
      <name val="Calibri"/>
      <family val="2"/>
      <scheme val="minor"/>
    </font>
    <font>
      <vertAlign val="subscript"/>
      <sz val="11"/>
      <color theme="1"/>
      <name val="Calibri"/>
      <family val="2"/>
      <scheme val="minor"/>
    </font>
    <font>
      <vertAlign val="subscript"/>
      <sz val="11"/>
      <color theme="1"/>
      <name val="Calibri"/>
      <family val="2"/>
    </font>
    <font>
      <sz val="11"/>
      <color rgb="FFFF0000"/>
      <name val="Calibri"/>
      <family val="2"/>
      <scheme val="minor"/>
    </font>
    <font>
      <sz val="8"/>
      <color theme="1"/>
      <name val="Calibri"/>
      <family val="2"/>
      <scheme val="minor"/>
    </font>
    <font>
      <i/>
      <sz val="11"/>
      <color theme="1"/>
      <name val="Calibri"/>
      <family val="2"/>
      <scheme val="minor"/>
    </font>
    <font>
      <b/>
      <sz val="11"/>
      <color theme="1"/>
      <name val="Calibri"/>
      <family val="2"/>
    </font>
    <font>
      <vertAlign val="subscript"/>
      <sz val="11"/>
      <name val="Calibri"/>
      <family val="2"/>
      <scheme val="minor"/>
    </font>
    <font>
      <u/>
      <sz val="11"/>
      <color theme="10"/>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6" fillId="0" borderId="0" applyFont="0" applyFill="0" applyBorder="0" applyAlignment="0" applyProtection="0"/>
    <xf numFmtId="0" fontId="14" fillId="0" borderId="0" applyNumberFormat="0" applyFill="0" applyBorder="0" applyAlignment="0" applyProtection="0"/>
  </cellStyleXfs>
  <cellXfs count="115">
    <xf numFmtId="0" fontId="0" fillId="0" borderId="0" xfId="0"/>
    <xf numFmtId="0" fontId="0" fillId="0" borderId="1" xfId="0" applyBorder="1"/>
    <xf numFmtId="0" fontId="1" fillId="0" borderId="1" xfId="0" applyFont="1" applyBorder="1"/>
    <xf numFmtId="0" fontId="4" fillId="0" borderId="1" xfId="0" applyFont="1" applyBorder="1"/>
    <xf numFmtId="0" fontId="0" fillId="0" borderId="1" xfId="0" applyFill="1" applyBorder="1"/>
    <xf numFmtId="0" fontId="4" fillId="0" borderId="1" xfId="0" applyFont="1" applyFill="1" applyBorder="1"/>
    <xf numFmtId="0" fontId="0" fillId="3" borderId="1" xfId="0" applyFill="1" applyBorder="1"/>
    <xf numFmtId="0" fontId="0" fillId="2" borderId="1" xfId="0" applyFill="1" applyBorder="1"/>
    <xf numFmtId="0" fontId="5" fillId="0" borderId="0" xfId="0" applyFont="1"/>
    <xf numFmtId="0" fontId="1" fillId="0" borderId="1" xfId="0" applyFont="1" applyFill="1" applyBorder="1"/>
    <xf numFmtId="0" fontId="5" fillId="0" borderId="1" xfId="0" applyFont="1" applyBorder="1"/>
    <xf numFmtId="0" fontId="0" fillId="3" borderId="0" xfId="0" applyFill="1"/>
    <xf numFmtId="0" fontId="0" fillId="0" borderId="0" xfId="0" quotePrefix="1"/>
    <xf numFmtId="9" fontId="0" fillId="3" borderId="0" xfId="1" applyFont="1" applyFill="1"/>
    <xf numFmtId="0" fontId="1" fillId="3" borderId="1" xfId="0" applyFont="1" applyFill="1" applyBorder="1"/>
    <xf numFmtId="0" fontId="0" fillId="0" borderId="3" xfId="0" applyBorder="1"/>
    <xf numFmtId="0" fontId="0" fillId="0" borderId="4" xfId="0" applyBorder="1"/>
    <xf numFmtId="0" fontId="0" fillId="0" borderId="3" xfId="0" applyFill="1" applyBorder="1"/>
    <xf numFmtId="0" fontId="0" fillId="0" borderId="4" xfId="0" applyFill="1" applyBorder="1"/>
    <xf numFmtId="0" fontId="0" fillId="0" borderId="3" xfId="0" applyBorder="1" applyAlignment="1">
      <alignment horizontal="left"/>
    </xf>
    <xf numFmtId="0" fontId="0" fillId="0" borderId="5" xfId="0" applyFill="1" applyBorder="1"/>
    <xf numFmtId="0" fontId="4" fillId="0" borderId="6" xfId="0" applyFont="1" applyFill="1" applyBorder="1"/>
    <xf numFmtId="0" fontId="0" fillId="0" borderId="6" xfId="0" applyBorder="1"/>
    <xf numFmtId="0" fontId="0" fillId="0" borderId="6" xfId="0" applyFill="1" applyBorder="1"/>
    <xf numFmtId="0" fontId="0" fillId="0" borderId="7" xfId="0" applyBorder="1"/>
    <xf numFmtId="0" fontId="0" fillId="0" borderId="8" xfId="0" applyBorder="1"/>
    <xf numFmtId="0" fontId="0" fillId="0" borderId="9" xfId="0" applyBorder="1"/>
    <xf numFmtId="0" fontId="0" fillId="3" borderId="9" xfId="0" applyFill="1" applyBorder="1"/>
    <xf numFmtId="0" fontId="0" fillId="0" borderId="10" xfId="0" applyBorder="1"/>
    <xf numFmtId="0" fontId="5" fillId="0" borderId="11" xfId="0" applyFont="1" applyBorder="1"/>
    <xf numFmtId="0" fontId="5" fillId="0" borderId="12" xfId="0" applyFont="1" applyBorder="1"/>
    <xf numFmtId="0" fontId="5" fillId="0" borderId="13" xfId="0" applyFont="1" applyBorder="1"/>
    <xf numFmtId="0" fontId="0" fillId="2" borderId="6" xfId="0" applyFill="1" applyBorder="1"/>
    <xf numFmtId="0" fontId="5" fillId="0" borderId="14" xfId="0" applyFont="1" applyBorder="1"/>
    <xf numFmtId="0" fontId="5" fillId="0" borderId="15" xfId="0" applyFont="1" applyBorder="1"/>
    <xf numFmtId="0" fontId="5" fillId="0" borderId="16" xfId="0" applyFont="1" applyBorder="1"/>
    <xf numFmtId="0" fontId="5"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right"/>
    </xf>
    <xf numFmtId="0" fontId="0" fillId="0" borderId="1" xfId="0" applyBorder="1" applyAlignment="1">
      <alignment horizontal="left"/>
    </xf>
    <xf numFmtId="0" fontId="0" fillId="0" borderId="1" xfId="0" applyBorder="1" applyAlignment="1">
      <alignment horizontal="left" vertical="center"/>
    </xf>
    <xf numFmtId="0" fontId="0" fillId="0" borderId="17" xfId="0" applyBorder="1"/>
    <xf numFmtId="0" fontId="0" fillId="0" borderId="5" xfId="0" applyBorder="1"/>
    <xf numFmtId="0" fontId="5" fillId="0" borderId="21" xfId="0" applyFont="1" applyBorder="1" applyAlignment="1">
      <alignment horizontal="center" vertical="center" wrapText="1"/>
    </xf>
    <xf numFmtId="0" fontId="5" fillId="0" borderId="24"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23" xfId="0" applyFont="1" applyBorder="1" applyAlignment="1">
      <alignment horizontal="center" vertical="center" wrapText="1"/>
    </xf>
    <xf numFmtId="0" fontId="0" fillId="0" borderId="25" xfId="0" applyBorder="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21" xfId="0" applyBorder="1"/>
    <xf numFmtId="0" fontId="0" fillId="0" borderId="23" xfId="0" applyBorder="1"/>
    <xf numFmtId="0" fontId="5" fillId="0" borderId="21" xfId="0" applyFont="1" applyBorder="1"/>
    <xf numFmtId="0" fontId="5" fillId="0" borderId="23" xfId="0" applyFont="1" applyBorder="1"/>
    <xf numFmtId="0" fontId="0" fillId="0" borderId="1" xfId="0" applyFont="1" applyFill="1" applyBorder="1"/>
    <xf numFmtId="0" fontId="0" fillId="0" borderId="22" xfId="0" applyBorder="1"/>
    <xf numFmtId="0" fontId="0" fillId="4" borderId="3" xfId="0" applyFill="1" applyBorder="1"/>
    <xf numFmtId="0" fontId="1" fillId="0" borderId="3" xfId="0" applyFont="1" applyFill="1" applyBorder="1"/>
    <xf numFmtId="0" fontId="1" fillId="0" borderId="4" xfId="0" applyFont="1" applyBorder="1"/>
    <xf numFmtId="0" fontId="1" fillId="0" borderId="5" xfId="0" applyFont="1" applyFill="1" applyBorder="1"/>
    <xf numFmtId="0" fontId="1" fillId="0" borderId="6" xfId="0" applyFont="1" applyFill="1" applyBorder="1"/>
    <xf numFmtId="0" fontId="1" fillId="0" borderId="6" xfId="0" applyFont="1" applyBorder="1"/>
    <xf numFmtId="0" fontId="1" fillId="0" borderId="7" xfId="0" applyFont="1" applyBorder="1"/>
    <xf numFmtId="0" fontId="0" fillId="3" borderId="1" xfId="0" applyFill="1" applyBorder="1" applyAlignment="1">
      <alignment horizontal="right"/>
    </xf>
    <xf numFmtId="0" fontId="0" fillId="2" borderId="1" xfId="0" applyFill="1" applyBorder="1" applyAlignment="1">
      <alignment horizontal="right"/>
    </xf>
    <xf numFmtId="0" fontId="0" fillId="4" borderId="1" xfId="0" applyFill="1" applyBorder="1" applyAlignment="1">
      <alignment horizontal="right"/>
    </xf>
    <xf numFmtId="0" fontId="0" fillId="0" borderId="1" xfId="0" applyFill="1" applyBorder="1" applyAlignment="1">
      <alignment horizontal="right"/>
    </xf>
    <xf numFmtId="0" fontId="0" fillId="2" borderId="6" xfId="0" applyFill="1" applyBorder="1" applyAlignment="1">
      <alignment horizontal="right"/>
    </xf>
    <xf numFmtId="164" fontId="0" fillId="0" borderId="1" xfId="0" applyNumberFormat="1" applyBorder="1" applyAlignment="1">
      <alignment horizontal="right"/>
    </xf>
    <xf numFmtId="165" fontId="0" fillId="0" borderId="1" xfId="0" applyNumberFormat="1" applyBorder="1" applyAlignment="1">
      <alignment horizontal="right"/>
    </xf>
    <xf numFmtId="166" fontId="0" fillId="0" borderId="1" xfId="0" applyNumberFormat="1" applyBorder="1" applyAlignment="1">
      <alignment horizontal="right"/>
    </xf>
    <xf numFmtId="167" fontId="0" fillId="0" borderId="1" xfId="0" applyNumberFormat="1" applyBorder="1" applyAlignment="1">
      <alignment horizontal="right"/>
    </xf>
    <xf numFmtId="168" fontId="0" fillId="3" borderId="22" xfId="0" applyNumberFormat="1" applyFill="1" applyBorder="1" applyAlignment="1">
      <alignment horizontal="right"/>
    </xf>
    <xf numFmtId="168" fontId="0" fillId="3" borderId="1" xfId="0" applyNumberFormat="1" applyFill="1" applyBorder="1" applyAlignment="1">
      <alignment horizontal="right"/>
    </xf>
    <xf numFmtId="168" fontId="0" fillId="0" borderId="22" xfId="0" applyNumberFormat="1" applyBorder="1" applyAlignment="1">
      <alignment horizontal="right"/>
    </xf>
    <xf numFmtId="168" fontId="0" fillId="0" borderId="1" xfId="0" applyNumberFormat="1" applyBorder="1" applyAlignment="1">
      <alignment horizontal="right"/>
    </xf>
    <xf numFmtId="168" fontId="0" fillId="2" borderId="1" xfId="0" applyNumberFormat="1" applyFill="1" applyBorder="1" applyAlignment="1">
      <alignment horizontal="right"/>
    </xf>
    <xf numFmtId="165" fontId="0" fillId="4" borderId="1" xfId="0" applyNumberFormat="1" applyFill="1" applyBorder="1" applyAlignment="1">
      <alignment horizontal="right"/>
    </xf>
    <xf numFmtId="168" fontId="9" fillId="0" borderId="1" xfId="0" applyNumberFormat="1" applyFont="1" applyBorder="1" applyAlignment="1">
      <alignment horizontal="right"/>
    </xf>
    <xf numFmtId="2" fontId="0" fillId="0" borderId="1" xfId="0" applyNumberFormat="1" applyBorder="1" applyAlignment="1">
      <alignment horizontal="right"/>
    </xf>
    <xf numFmtId="167" fontId="1" fillId="0" borderId="1" xfId="0" applyNumberFormat="1" applyFont="1" applyBorder="1" applyAlignment="1">
      <alignment horizontal="right"/>
    </xf>
    <xf numFmtId="167" fontId="1" fillId="0" borderId="6" xfId="0" applyNumberFormat="1" applyFont="1" applyBorder="1" applyAlignment="1">
      <alignment horizontal="right"/>
    </xf>
    <xf numFmtId="168" fontId="1" fillId="0" borderId="1" xfId="0" applyNumberFormat="1" applyFont="1" applyBorder="1" applyAlignment="1">
      <alignment horizontal="right"/>
    </xf>
    <xf numFmtId="168" fontId="1" fillId="0" borderId="6" xfId="0" applyNumberFormat="1" applyFont="1" applyBorder="1" applyAlignment="1">
      <alignment horizontal="right"/>
    </xf>
    <xf numFmtId="168" fontId="1" fillId="2" borderId="1" xfId="0" applyNumberFormat="1" applyFont="1" applyFill="1" applyBorder="1" applyAlignment="1">
      <alignment horizontal="right"/>
    </xf>
    <xf numFmtId="168" fontId="0" fillId="0" borderId="1" xfId="0" applyNumberFormat="1" applyFill="1" applyBorder="1" applyAlignment="1">
      <alignment horizontal="right"/>
    </xf>
    <xf numFmtId="0" fontId="5" fillId="0" borderId="1" xfId="0" applyFont="1" applyBorder="1" applyAlignment="1">
      <alignment horizontal="center"/>
    </xf>
    <xf numFmtId="0" fontId="5" fillId="0" borderId="2" xfId="0" applyFont="1" applyBorder="1" applyAlignment="1">
      <alignment horizontal="center"/>
    </xf>
    <xf numFmtId="0" fontId="0" fillId="0" borderId="26" xfId="0" applyBorder="1" applyAlignment="1">
      <alignment horizontal="center"/>
    </xf>
    <xf numFmtId="0" fontId="5" fillId="0" borderId="14" xfId="0" applyFont="1" applyBorder="1" applyAlignment="1">
      <alignment horizontal="center"/>
    </xf>
    <xf numFmtId="0" fontId="5" fillId="0" borderId="15" xfId="0" applyFont="1" applyBorder="1" applyAlignment="1">
      <alignment horizontal="center"/>
    </xf>
    <xf numFmtId="0" fontId="5" fillId="0" borderId="16" xfId="0" applyFont="1" applyBorder="1" applyAlignment="1">
      <alignment horizontal="center"/>
    </xf>
    <xf numFmtId="0" fontId="5" fillId="0" borderId="26" xfId="0" applyFont="1" applyBorder="1" applyAlignment="1">
      <alignment horizontal="center"/>
    </xf>
    <xf numFmtId="0" fontId="5" fillId="0" borderId="27" xfId="0" applyFont="1" applyBorder="1" applyAlignment="1">
      <alignment horizontal="center"/>
    </xf>
    <xf numFmtId="0" fontId="0" fillId="0" borderId="20" xfId="0" applyBorder="1" applyAlignment="1">
      <alignment horizontal="right" vertical="center"/>
    </xf>
    <xf numFmtId="0" fontId="0" fillId="0" borderId="18" xfId="0" applyBorder="1" applyAlignment="1">
      <alignment horizontal="right" vertical="center"/>
    </xf>
    <xf numFmtId="0" fontId="0" fillId="0" borderId="9" xfId="0" applyBorder="1" applyAlignment="1">
      <alignment horizontal="right" vertical="center"/>
    </xf>
    <xf numFmtId="0" fontId="0" fillId="0" borderId="20" xfId="0" applyBorder="1" applyAlignment="1">
      <alignment horizontal="center"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9" xfId="0" applyBorder="1" applyAlignment="1">
      <alignment horizontal="center"/>
    </xf>
    <xf numFmtId="0" fontId="5" fillId="0" borderId="0" xfId="0" applyFont="1" applyFill="1" applyBorder="1"/>
    <xf numFmtId="0" fontId="14" fillId="0" borderId="0" xfId="2" applyFill="1" applyBorder="1"/>
    <xf numFmtId="0" fontId="1" fillId="0" borderId="21" xfId="0" applyFont="1" applyFill="1" applyBorder="1"/>
    <xf numFmtId="0" fontId="1" fillId="0" borderId="22" xfId="0" applyFont="1" applyFill="1" applyBorder="1"/>
    <xf numFmtId="168" fontId="1" fillId="0" borderId="22" xfId="0" applyNumberFormat="1" applyFont="1" applyBorder="1" applyAlignment="1">
      <alignment horizontal="right"/>
    </xf>
    <xf numFmtId="0" fontId="1" fillId="0" borderId="22" xfId="0" applyFont="1" applyBorder="1"/>
    <xf numFmtId="0" fontId="0" fillId="0" borderId="6" xfId="0" applyFont="1" applyFill="1" applyBorder="1"/>
    <xf numFmtId="0" fontId="0" fillId="0" borderId="0" xfId="0" applyFont="1" applyBorder="1" applyAlignment="1">
      <alignment horizontal="left"/>
    </xf>
    <xf numFmtId="0" fontId="0" fillId="0" borderId="0" xfId="0" applyBorder="1"/>
    <xf numFmtId="0" fontId="0" fillId="0" borderId="0" xfId="0" applyBorder="1" applyAlignment="1">
      <alignment horizontal="left"/>
    </xf>
  </cellXfs>
  <cellStyles count="3">
    <cellStyle name="Hyperlink" xfId="2" builtinId="8"/>
    <cellStyle name="Normal" xfId="0" builtinId="0"/>
    <cellStyle name="Percent" xfId="1" builtinId="5"/>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Wire Diameter</a:t>
            </a:r>
            <a:r>
              <a:rPr lang="en-US" baseline="0"/>
              <a:t> Guess Helper Chart</a:t>
            </a:r>
          </a:p>
          <a:p>
            <a:pPr>
              <a:defRPr/>
            </a:pPr>
            <a:r>
              <a:rPr lang="en-US" baseline="0"/>
              <a:t>Set Wire Diameter to X-Axis Value at Intersection of Curves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'Engine Valve Spring'!$AB$4</c:f>
              <c:strCache>
                <c:ptCount val="1"/>
                <c:pt idx="0">
                  <c:v>t_allow</c:v>
                </c:pt>
              </c:strCache>
            </c:strRef>
          </c:tx>
          <c:spPr>
            <a:ln w="19050" cap="rnd">
              <a:solidFill>
                <a:schemeClr val="accent1"/>
              </a:solidFill>
              <a:round/>
            </a:ln>
            <a:effectLst/>
          </c:spPr>
          <c:marker>
            <c:symbol val="none"/>
          </c:marker>
          <c:xVal>
            <c:numRef>
              <c:f>'Engine Valve Spring'!$AA$5:$AA$204</c:f>
              <c:numCache>
                <c:formatCode>General</c:formatCode>
                <c:ptCount val="200"/>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16.100000000000001</c:v>
                </c:pt>
                <c:pt idx="161">
                  <c:v>16.2</c:v>
                </c:pt>
                <c:pt idx="162">
                  <c:v>16.3</c:v>
                </c:pt>
                <c:pt idx="163">
                  <c:v>16.399999999999999</c:v>
                </c:pt>
                <c:pt idx="164">
                  <c:v>16.5</c:v>
                </c:pt>
                <c:pt idx="165">
                  <c:v>16.600000000000001</c:v>
                </c:pt>
                <c:pt idx="166">
                  <c:v>16.7</c:v>
                </c:pt>
                <c:pt idx="167">
                  <c:v>16.8</c:v>
                </c:pt>
                <c:pt idx="168">
                  <c:v>16.899999999999999</c:v>
                </c:pt>
                <c:pt idx="169">
                  <c:v>17</c:v>
                </c:pt>
                <c:pt idx="170">
                  <c:v>17.100000000000001</c:v>
                </c:pt>
                <c:pt idx="171">
                  <c:v>17.2</c:v>
                </c:pt>
                <c:pt idx="172">
                  <c:v>17.3</c:v>
                </c:pt>
                <c:pt idx="173">
                  <c:v>17.399999999999999</c:v>
                </c:pt>
                <c:pt idx="174">
                  <c:v>17.5</c:v>
                </c:pt>
                <c:pt idx="175">
                  <c:v>17.600000000000001</c:v>
                </c:pt>
                <c:pt idx="176">
                  <c:v>17.7</c:v>
                </c:pt>
                <c:pt idx="177">
                  <c:v>17.8</c:v>
                </c:pt>
                <c:pt idx="178">
                  <c:v>17.899999999999999</c:v>
                </c:pt>
                <c:pt idx="179">
                  <c:v>18</c:v>
                </c:pt>
                <c:pt idx="180">
                  <c:v>18.100000000000001</c:v>
                </c:pt>
                <c:pt idx="181">
                  <c:v>18.2</c:v>
                </c:pt>
                <c:pt idx="182">
                  <c:v>18.3</c:v>
                </c:pt>
                <c:pt idx="183">
                  <c:v>18.399999999999999</c:v>
                </c:pt>
                <c:pt idx="184">
                  <c:v>18.5</c:v>
                </c:pt>
                <c:pt idx="185">
                  <c:v>18.600000000000001</c:v>
                </c:pt>
                <c:pt idx="186">
                  <c:v>18.7</c:v>
                </c:pt>
                <c:pt idx="187">
                  <c:v>18.8</c:v>
                </c:pt>
                <c:pt idx="188">
                  <c:v>18.899999999999999</c:v>
                </c:pt>
                <c:pt idx="189">
                  <c:v>19</c:v>
                </c:pt>
                <c:pt idx="190">
                  <c:v>19.100000000000001</c:v>
                </c:pt>
                <c:pt idx="191">
                  <c:v>19.2</c:v>
                </c:pt>
                <c:pt idx="192">
                  <c:v>19.3</c:v>
                </c:pt>
                <c:pt idx="193">
                  <c:v>19.399999999999999</c:v>
                </c:pt>
                <c:pt idx="194">
                  <c:v>19.5</c:v>
                </c:pt>
                <c:pt idx="195">
                  <c:v>19.600000000000001</c:v>
                </c:pt>
                <c:pt idx="196">
                  <c:v>19.7</c:v>
                </c:pt>
                <c:pt idx="197">
                  <c:v>19.8</c:v>
                </c:pt>
                <c:pt idx="198">
                  <c:v>19.899999999999999</c:v>
                </c:pt>
                <c:pt idx="199">
                  <c:v>20</c:v>
                </c:pt>
              </c:numCache>
            </c:numRef>
          </c:xVal>
          <c:yVal>
            <c:numRef>
              <c:f>'Engine Valve Spring'!$AB$5:$AB$204</c:f>
              <c:numCache>
                <c:formatCode>General</c:formatCode>
                <c:ptCount val="200"/>
                <c:pt idx="0">
                  <c:v>0</c:v>
                </c:pt>
                <c:pt idx="1">
                  <c:v>1181.2829327427271</c:v>
                </c:pt>
                <c:pt idx="2">
                  <c:v>1096.0811015001866</c:v>
                </c:pt>
                <c:pt idx="3">
                  <c:v>1049.119196687468</c:v>
                </c:pt>
                <c:pt idx="4">
                  <c:v>1017.0245821434511</c:v>
                </c:pt>
                <c:pt idx="5">
                  <c:v>992.80777321422977</c:v>
                </c:pt>
                <c:pt idx="6">
                  <c:v>973.44987626316038</c:v>
                </c:pt>
                <c:pt idx="7">
                  <c:v>957.37777415332584</c:v>
                </c:pt>
                <c:pt idx="8">
                  <c:v>943.67013469019753</c:v>
                </c:pt>
                <c:pt idx="9">
                  <c:v>931.7421409811144</c:v>
                </c:pt>
                <c:pt idx="10">
                  <c:v>921.20000000000016</c:v>
                </c:pt>
                <c:pt idx="11">
                  <c:v>911.7662647064144</c:v>
                </c:pt>
                <c:pt idx="12">
                  <c:v>903.23832085883851</c:v>
                </c:pt>
                <c:pt idx="13">
                  <c:v>895.46382779904957</c:v>
                </c:pt>
                <c:pt idx="14">
                  <c:v>888.32544359998485</c:v>
                </c:pt>
                <c:pt idx="15">
                  <c:v>881.73092544496456</c:v>
                </c:pt>
                <c:pt idx="16">
                  <c:v>875.60648851711721</c:v>
                </c:pt>
                <c:pt idx="17">
                  <c:v>869.89221818631427</c:v>
                </c:pt>
                <c:pt idx="18">
                  <c:v>864.53881952694258</c:v>
                </c:pt>
                <c:pt idx="19">
                  <c:v>859.50526309303211</c:v>
                </c:pt>
                <c:pt idx="20">
                  <c:v>854.75704652534569</c:v>
                </c:pt>
                <c:pt idx="21">
                  <c:v>850.26488871224831</c:v>
                </c:pt>
                <c:pt idx="22">
                  <c:v>846.00373376237644</c:v>
                </c:pt>
                <c:pt idx="23">
                  <c:v>841.95198078503154</c:v>
                </c:pt>
                <c:pt idx="24">
                  <c:v>838.0908808573746</c:v>
                </c:pt>
                <c:pt idx="25">
                  <c:v>834.4040595474064</c:v>
                </c:pt>
                <c:pt idx="26">
                  <c:v>830.87713495418609</c:v>
                </c:pt>
                <c:pt idx="27">
                  <c:v>824.25361759101224</c:v>
                </c:pt>
                <c:pt idx="28">
                  <c:v>821.13572161302068</c:v>
                </c:pt>
                <c:pt idx="29">
                  <c:v>818.13473910486073</c:v>
                </c:pt>
                <c:pt idx="30">
                  <c:v>815.24260183226863</c:v>
                </c:pt>
                <c:pt idx="31">
                  <c:v>812.45203652118971</c:v>
                </c:pt>
                <c:pt idx="32">
                  <c:v>809.75646450303464</c:v>
                </c:pt>
                <c:pt idx="33">
                  <c:v>807.14991664385093</c:v>
                </c:pt>
                <c:pt idx="34">
                  <c:v>804.62696085440484</c:v>
                </c:pt>
                <c:pt idx="35">
                  <c:v>802.18264001884302</c:v>
                </c:pt>
                <c:pt idx="36">
                  <c:v>799.81241860028376</c:v>
                </c:pt>
                <c:pt idx="37">
                  <c:v>797.51213651149624</c:v>
                </c:pt>
                <c:pt idx="38">
                  <c:v>795.27796909923484</c:v>
                </c:pt>
                <c:pt idx="39">
                  <c:v>793.10639229779838</c:v>
                </c:pt>
                <c:pt idx="40">
                  <c:v>790.99415217298736</c:v>
                </c:pt>
                <c:pt idx="41">
                  <c:v>788.93823821090211</c:v>
                </c:pt>
                <c:pt idx="42">
                  <c:v>786.93585981389663</c:v>
                </c:pt>
                <c:pt idx="43">
                  <c:v>784.98442555378165</c:v>
                </c:pt>
                <c:pt idx="44">
                  <c:v>783.08152480417198</c:v>
                </c:pt>
                <c:pt idx="45">
                  <c:v>781.22491143288983</c:v>
                </c:pt>
                <c:pt idx="46">
                  <c:v>779.41248928406583</c:v>
                </c:pt>
                <c:pt idx="47">
                  <c:v>777.64229922001164</c:v>
                </c:pt>
                <c:pt idx="48">
                  <c:v>775.91250752659232</c:v>
                </c:pt>
                <c:pt idx="49">
                  <c:v>774.22139551400312</c:v>
                </c:pt>
                <c:pt idx="50">
                  <c:v>772.56735016848518</c:v>
                </c:pt>
                <c:pt idx="51">
                  <c:v>770.94885573043973</c:v>
                </c:pt>
                <c:pt idx="52">
                  <c:v>769.36448609125341</c:v>
                </c:pt>
                <c:pt idx="53">
                  <c:v>767.81289791543554</c:v>
                </c:pt>
                <c:pt idx="54">
                  <c:v>766.29282440684972</c:v>
                </c:pt>
                <c:pt idx="55">
                  <c:v>764.80306964820363</c:v>
                </c:pt>
                <c:pt idx="56">
                  <c:v>763.34250345188059</c:v>
                </c:pt>
                <c:pt idx="57">
                  <c:v>761.91005666782883</c:v>
                </c:pt>
                <c:pt idx="58">
                  <c:v>760.504716900831</c:v>
                </c:pt>
                <c:pt idx="59">
                  <c:v>759.12552459515291</c:v>
                </c:pt>
                <c:pt idx="60">
                  <c:v>757.77156944951525</c:v>
                </c:pt>
                <c:pt idx="61">
                  <c:v>756.44198712960076</c:v>
                </c:pt>
                <c:pt idx="62">
                  <c:v>755.13595624904326</c:v>
                </c:pt>
                <c:pt idx="63">
                  <c:v>753.85269559308983</c:v>
                </c:pt>
                <c:pt idx="64">
                  <c:v>752.5914615619746</c:v>
                </c:pt>
                <c:pt idx="65">
                  <c:v>751.35154581352549</c:v>
                </c:pt>
                <c:pt idx="66">
                  <c:v>750.13227308672185</c:v>
                </c:pt>
                <c:pt idx="67">
                  <c:v>748.93299918983598</c:v>
                </c:pt>
                <c:pt idx="68">
                  <c:v>747.75310913849569</c:v>
                </c:pt>
                <c:pt idx="69">
                  <c:v>746.59201543049937</c:v>
                </c:pt>
                <c:pt idx="70">
                  <c:v>745.4491564455426</c:v>
                </c:pt>
                <c:pt idx="71">
                  <c:v>744.32399495919549</c:v>
                </c:pt>
                <c:pt idx="72">
                  <c:v>743.21601676150658</c:v>
                </c:pt>
                <c:pt idx="73">
                  <c:v>742.12472937154996</c:v>
                </c:pt>
                <c:pt idx="74">
                  <c:v>741.04966084004968</c:v>
                </c:pt>
                <c:pt idx="75">
                  <c:v>739.99035863296217</c:v>
                </c:pt>
                <c:pt idx="76">
                  <c:v>738.94638858955693</c:v>
                </c:pt>
                <c:pt idx="77">
                  <c:v>737.91733394912831</c:v>
                </c:pt>
                <c:pt idx="78">
                  <c:v>736.90279444099838</c:v>
                </c:pt>
                <c:pt idx="79">
                  <c:v>735.90238543295527</c:v>
                </c:pt>
                <c:pt idx="80">
                  <c:v>734.91573713369201</c:v>
                </c:pt>
                <c:pt idx="81">
                  <c:v>733.94249384520469</c:v>
                </c:pt>
                <c:pt idx="82">
                  <c:v>732.98231326144912</c:v>
                </c:pt>
                <c:pt idx="83">
                  <c:v>732.03486580987874</c:v>
                </c:pt>
                <c:pt idx="84">
                  <c:v>731.09983403276124</c:v>
                </c:pt>
                <c:pt idx="85">
                  <c:v>730.17691200543834</c:v>
                </c:pt>
                <c:pt idx="86">
                  <c:v>729.26580478891674</c:v>
                </c:pt>
                <c:pt idx="87">
                  <c:v>728.36622791440016</c:v>
                </c:pt>
                <c:pt idx="88">
                  <c:v>727.47790689755448</c:v>
                </c:pt>
                <c:pt idx="89">
                  <c:v>726.60057678048008</c:v>
                </c:pt>
                <c:pt idx="90">
                  <c:v>725.73398169952452</c:v>
                </c:pt>
                <c:pt idx="91">
                  <c:v>724.87787447720541</c:v>
                </c:pt>
                <c:pt idx="92">
                  <c:v>724.0320162366595</c:v>
                </c:pt>
                <c:pt idx="93">
                  <c:v>723.19617603714266</c:v>
                </c:pt>
                <c:pt idx="94">
                  <c:v>722.37013052922021</c:v>
                </c:pt>
                <c:pt idx="95">
                  <c:v>721.55366362839368</c:v>
                </c:pt>
                <c:pt idx="96">
                  <c:v>720.74656620599183</c:v>
                </c:pt>
                <c:pt idx="97">
                  <c:v>719.94863579624939</c:v>
                </c:pt>
                <c:pt idx="98">
                  <c:v>719.15967631856756</c:v>
                </c:pt>
                <c:pt idx="99">
                  <c:v>718.37949781402597</c:v>
                </c:pt>
                <c:pt idx="100">
                  <c:v>717.60791619528015</c:v>
                </c:pt>
                <c:pt idx="101">
                  <c:v>716.84475300903921</c:v>
                </c:pt>
                <c:pt idx="102">
                  <c:v>716.08983521037408</c:v>
                </c:pt>
                <c:pt idx="103">
                  <c:v>715.34299494816048</c:v>
                </c:pt>
                <c:pt idx="104">
                  <c:v>714.60406936100242</c:v>
                </c:pt>
                <c:pt idx="105">
                  <c:v>713.87290038303308</c:v>
                </c:pt>
                <c:pt idx="106">
                  <c:v>713.14933455902576</c:v>
                </c:pt>
                <c:pt idx="107">
                  <c:v>712.43322286828538</c:v>
                </c:pt>
                <c:pt idx="108">
                  <c:v>711.72442055682734</c:v>
                </c:pt>
                <c:pt idx="109">
                  <c:v>711.02278697738188</c:v>
                </c:pt>
                <c:pt idx="110">
                  <c:v>710.32818543678968</c:v>
                </c:pt>
                <c:pt idx="111">
                  <c:v>709.64048305038739</c:v>
                </c:pt>
                <c:pt idx="112">
                  <c:v>708.95955060300025</c:v>
                </c:pt>
                <c:pt idx="113">
                  <c:v>708.28526241618852</c:v>
                </c:pt>
                <c:pt idx="114">
                  <c:v>707.6174962214136</c:v>
                </c:pt>
                <c:pt idx="115">
                  <c:v>706.95613303881032</c:v>
                </c:pt>
                <c:pt idx="116">
                  <c:v>706.30105706127426</c:v>
                </c:pt>
                <c:pt idx="117">
                  <c:v>705.65215554358258</c:v>
                </c:pt>
                <c:pt idx="118">
                  <c:v>705.00931869629608</c:v>
                </c:pt>
                <c:pt idx="119">
                  <c:v>704.37243958419072</c:v>
                </c:pt>
                <c:pt idx="120">
                  <c:v>703.74141402899681</c:v>
                </c:pt>
                <c:pt idx="121">
                  <c:v>703.11614051622178</c:v>
                </c:pt>
                <c:pt idx="122">
                  <c:v>702.49652010585919</c:v>
                </c:pt>
                <c:pt idx="123">
                  <c:v>701.88245634678788</c:v>
                </c:pt>
                <c:pt idx="124">
                  <c:v>701.27385519468328</c:v>
                </c:pt>
                <c:pt idx="125">
                  <c:v>700.67062493326614</c:v>
                </c:pt>
                <c:pt idx="126">
                  <c:v>700.07267609873236</c:v>
                </c:pt>
                <c:pt idx="127">
                  <c:v>699.47992140720794</c:v>
                </c:pt>
                <c:pt idx="128">
                  <c:v>698.89227568508636</c:v>
                </c:pt>
                <c:pt idx="129">
                  <c:v>698.30965580211307</c:v>
                </c:pt>
                <c:pt idx="130">
                  <c:v>697.73198060708887</c:v>
                </c:pt>
                <c:pt idx="131">
                  <c:v>697.15917086606805</c:v>
                </c:pt>
                <c:pt idx="132">
                  <c:v>696.59114920294007</c:v>
                </c:pt>
                <c:pt idx="133">
                  <c:v>696.02784004228215</c:v>
                </c:pt>
                <c:pt idx="134">
                  <c:v>695.46916955438303</c:v>
                </c:pt>
                <c:pt idx="135">
                  <c:v>694.91506560233734</c:v>
                </c:pt>
                <c:pt idx="136">
                  <c:v>694.36545769111899</c:v>
                </c:pt>
                <c:pt idx="137">
                  <c:v>693.82027691854648</c:v>
                </c:pt>
                <c:pt idx="138">
                  <c:v>693.2794559280552</c:v>
                </c:pt>
                <c:pt idx="139">
                  <c:v>692.74292886319904</c:v>
                </c:pt>
                <c:pt idx="140">
                  <c:v>692.21063132380493</c:v>
                </c:pt>
                <c:pt idx="141">
                  <c:v>691.68250032371077</c:v>
                </c:pt>
                <c:pt idx="142">
                  <c:v>691.15847425001573</c:v>
                </c:pt>
                <c:pt idx="143">
                  <c:v>690.63849282378226</c:v>
                </c:pt>
                <c:pt idx="144">
                  <c:v>690.1224970621264</c:v>
                </c:pt>
                <c:pt idx="145">
                  <c:v>689.61042924163814</c:v>
                </c:pt>
                <c:pt idx="146">
                  <c:v>689.10223286307712</c:v>
                </c:pt>
                <c:pt idx="147">
                  <c:v>688.59785261728996</c:v>
                </c:pt>
                <c:pt idx="148">
                  <c:v>688.09723435230012</c:v>
                </c:pt>
                <c:pt idx="149">
                  <c:v>687.60032504152196</c:v>
                </c:pt>
                <c:pt idx="150">
                  <c:v>687.10707275305219</c:v>
                </c:pt>
                <c:pt idx="151">
                  <c:v>686.61742661999779</c:v>
                </c:pt>
                <c:pt idx="152">
                  <c:v>686.13133681179659</c:v>
                </c:pt>
                <c:pt idx="153">
                  <c:v>685.64875450649163</c:v>
                </c:pt>
                <c:pt idx="154">
                  <c:v>685.16963186392286</c:v>
                </c:pt>
                <c:pt idx="155">
                  <c:v>684.69392199979825</c:v>
                </c:pt>
                <c:pt idx="156">
                  <c:v>684.2215789606114</c:v>
                </c:pt>
                <c:pt idx="157">
                  <c:v>683.75255769937235</c:v>
                </c:pt>
                <c:pt idx="158">
                  <c:v>683.28681405211967</c:v>
                </c:pt>
                <c:pt idx="159">
                  <c:v>682.82430471518603</c:v>
                </c:pt>
                <c:pt idx="160">
                  <c:v>682.36498722318458</c:v>
                </c:pt>
                <c:pt idx="161">
                  <c:v>681.90881992769414</c:v>
                </c:pt>
                <c:pt idx="162">
                  <c:v>681.45576197661205</c:v>
                </c:pt>
                <c:pt idx="163">
                  <c:v>681.00577329415307</c:v>
                </c:pt>
                <c:pt idx="164">
                  <c:v>680.55881456146847</c:v>
                </c:pt>
                <c:pt idx="165">
                  <c:v>680.11484719786358</c:v>
                </c:pt>
                <c:pt idx="166">
                  <c:v>679.67383334259159</c:v>
                </c:pt>
                <c:pt idx="167">
                  <c:v>679.2357358372011</c:v>
                </c:pt>
                <c:pt idx="168">
                  <c:v>678.8005182084205</c:v>
                </c:pt>
                <c:pt idx="169">
                  <c:v>678.36814465155601</c:v>
                </c:pt>
                <c:pt idx="170">
                  <c:v>677.93858001438923</c:v>
                </c:pt>
                <c:pt idx="171">
                  <c:v>677.51178978155178</c:v>
                </c:pt>
                <c:pt idx="172">
                  <c:v>677.08774005936414</c:v>
                </c:pt>
                <c:pt idx="173">
                  <c:v>676.66639756111999</c:v>
                </c:pt>
                <c:pt idx="174">
                  <c:v>676.24772959280108</c:v>
                </c:pt>
                <c:pt idx="175">
                  <c:v>675.83170403920906</c:v>
                </c:pt>
                <c:pt idx="176">
                  <c:v>675.41828935049625</c:v>
                </c:pt>
                <c:pt idx="177">
                  <c:v>675.00745452908586</c:v>
                </c:pt>
                <c:pt idx="178">
                  <c:v>674.59916911696575</c:v>
                </c:pt>
                <c:pt idx="179">
                  <c:v>674.19340318334332</c:v>
                </c:pt>
                <c:pt idx="180">
                  <c:v>673.79012731265004</c:v>
                </c:pt>
                <c:pt idx="181">
                  <c:v>673.38931259288404</c:v>
                </c:pt>
                <c:pt idx="182">
                  <c:v>672.99093060427685</c:v>
                </c:pt>
                <c:pt idx="183">
                  <c:v>672.59495340827857</c:v>
                </c:pt>
                <c:pt idx="184">
                  <c:v>672.20135353684498</c:v>
                </c:pt>
                <c:pt idx="185">
                  <c:v>671.81010398202159</c:v>
                </c:pt>
                <c:pt idx="186">
                  <c:v>671.42117818581164</c:v>
                </c:pt>
                <c:pt idx="187">
                  <c:v>671.03455003032127</c:v>
                </c:pt>
                <c:pt idx="188">
                  <c:v>670.65019382817013</c:v>
                </c:pt>
                <c:pt idx="189">
                  <c:v>670.26808431316181</c:v>
                </c:pt>
                <c:pt idx="190">
                  <c:v>669.88819663120341</c:v>
                </c:pt>
                <c:pt idx="191">
                  <c:v>669.51050633146815</c:v>
                </c:pt>
                <c:pt idx="192">
                  <c:v>669.13498935779091</c:v>
                </c:pt>
                <c:pt idx="193">
                  <c:v>668.7616220402931</c:v>
                </c:pt>
                <c:pt idx="194">
                  <c:v>668.39038108722514</c:v>
                </c:pt>
                <c:pt idx="195">
                  <c:v>668.02124357702337</c:v>
                </c:pt>
                <c:pt idx="196">
                  <c:v>667.65418695057303</c:v>
                </c:pt>
                <c:pt idx="197">
                  <c:v>667.28918900367171</c:v>
                </c:pt>
                <c:pt idx="198">
                  <c:v>666.92622787968537</c:v>
                </c:pt>
                <c:pt idx="199">
                  <c:v>666.56528206239466</c:v>
                </c:pt>
              </c:numCache>
            </c:numRef>
          </c:yVal>
          <c:smooth val="1"/>
          <c:extLst>
            <c:ext xmlns:c16="http://schemas.microsoft.com/office/drawing/2014/chart" uri="{C3380CC4-5D6E-409C-BE32-E72D297353CC}">
              <c16:uniqueId val="{00000000-992C-40F1-A5E2-86449DD037EF}"/>
            </c:ext>
          </c:extLst>
        </c:ser>
        <c:ser>
          <c:idx val="1"/>
          <c:order val="1"/>
          <c:tx>
            <c:strRef>
              <c:f>'Engine Valve Spring'!$AC$4</c:f>
              <c:strCache>
                <c:ptCount val="1"/>
                <c:pt idx="0">
                  <c:v>right side</c:v>
                </c:pt>
              </c:strCache>
            </c:strRef>
          </c:tx>
          <c:spPr>
            <a:ln w="19050" cap="rnd">
              <a:solidFill>
                <a:schemeClr val="accent2"/>
              </a:solidFill>
              <a:round/>
            </a:ln>
            <a:effectLst/>
          </c:spPr>
          <c:marker>
            <c:symbol val="none"/>
          </c:marker>
          <c:xVal>
            <c:numRef>
              <c:f>'Engine Valve Spring'!$AA$5:$AA$204</c:f>
              <c:numCache>
                <c:formatCode>General</c:formatCode>
                <c:ptCount val="200"/>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16.100000000000001</c:v>
                </c:pt>
                <c:pt idx="161">
                  <c:v>16.2</c:v>
                </c:pt>
                <c:pt idx="162">
                  <c:v>16.3</c:v>
                </c:pt>
                <c:pt idx="163">
                  <c:v>16.399999999999999</c:v>
                </c:pt>
                <c:pt idx="164">
                  <c:v>16.5</c:v>
                </c:pt>
                <c:pt idx="165">
                  <c:v>16.600000000000001</c:v>
                </c:pt>
                <c:pt idx="166">
                  <c:v>16.7</c:v>
                </c:pt>
                <c:pt idx="167">
                  <c:v>16.8</c:v>
                </c:pt>
                <c:pt idx="168">
                  <c:v>16.899999999999999</c:v>
                </c:pt>
                <c:pt idx="169">
                  <c:v>17</c:v>
                </c:pt>
                <c:pt idx="170">
                  <c:v>17.100000000000001</c:v>
                </c:pt>
                <c:pt idx="171">
                  <c:v>17.2</c:v>
                </c:pt>
                <c:pt idx="172">
                  <c:v>17.3</c:v>
                </c:pt>
                <c:pt idx="173">
                  <c:v>17.399999999999999</c:v>
                </c:pt>
                <c:pt idx="174">
                  <c:v>17.5</c:v>
                </c:pt>
                <c:pt idx="175">
                  <c:v>17.600000000000001</c:v>
                </c:pt>
                <c:pt idx="176">
                  <c:v>17.7</c:v>
                </c:pt>
                <c:pt idx="177">
                  <c:v>17.8</c:v>
                </c:pt>
                <c:pt idx="178">
                  <c:v>17.899999999999999</c:v>
                </c:pt>
                <c:pt idx="179">
                  <c:v>18</c:v>
                </c:pt>
                <c:pt idx="180">
                  <c:v>18.100000000000001</c:v>
                </c:pt>
                <c:pt idx="181">
                  <c:v>18.2</c:v>
                </c:pt>
                <c:pt idx="182">
                  <c:v>18.3</c:v>
                </c:pt>
                <c:pt idx="183">
                  <c:v>18.399999999999999</c:v>
                </c:pt>
                <c:pt idx="184">
                  <c:v>18.5</c:v>
                </c:pt>
                <c:pt idx="185">
                  <c:v>18.600000000000001</c:v>
                </c:pt>
                <c:pt idx="186">
                  <c:v>18.7</c:v>
                </c:pt>
                <c:pt idx="187">
                  <c:v>18.8</c:v>
                </c:pt>
                <c:pt idx="188">
                  <c:v>18.899999999999999</c:v>
                </c:pt>
                <c:pt idx="189">
                  <c:v>19</c:v>
                </c:pt>
                <c:pt idx="190">
                  <c:v>19.100000000000001</c:v>
                </c:pt>
                <c:pt idx="191">
                  <c:v>19.2</c:v>
                </c:pt>
                <c:pt idx="192">
                  <c:v>19.3</c:v>
                </c:pt>
                <c:pt idx="193">
                  <c:v>19.399999999999999</c:v>
                </c:pt>
                <c:pt idx="194">
                  <c:v>19.5</c:v>
                </c:pt>
                <c:pt idx="195">
                  <c:v>19.600000000000001</c:v>
                </c:pt>
                <c:pt idx="196">
                  <c:v>19.7</c:v>
                </c:pt>
                <c:pt idx="197">
                  <c:v>19.8</c:v>
                </c:pt>
                <c:pt idx="198">
                  <c:v>19.899999999999999</c:v>
                </c:pt>
                <c:pt idx="199">
                  <c:v>20</c:v>
                </c:pt>
              </c:numCache>
            </c:numRef>
          </c:xVal>
          <c:yVal>
            <c:numRef>
              <c:f>'Engine Valve Spring'!$AC$5:$AC$204</c:f>
              <c:numCache>
                <c:formatCode>General</c:formatCode>
                <c:ptCount val="200"/>
                <c:pt idx="0">
                  <c:v>0</c:v>
                </c:pt>
                <c:pt idx="1">
                  <c:v>64935819.736289531</c:v>
                </c:pt>
                <c:pt idx="2">
                  <c:v>8149035.2792349625</c:v>
                </c:pt>
                <c:pt idx="3">
                  <c:v>2424072.7782585556</c:v>
                </c:pt>
                <c:pt idx="4">
                  <c:v>1026701.2000585517</c:v>
                </c:pt>
                <c:pt idx="5">
                  <c:v>527752.21135846514</c:v>
                </c:pt>
                <c:pt idx="6">
                  <c:v>306622.32758920657</c:v>
                </c:pt>
                <c:pt idx="7">
                  <c:v>193857.360949633</c:v>
                </c:pt>
                <c:pt idx="8">
                  <c:v>130384.74927595569</c:v>
                </c:pt>
                <c:pt idx="9">
                  <c:v>91937.150051635763</c:v>
                </c:pt>
                <c:pt idx="10">
                  <c:v>67288.65632708442</c:v>
                </c:pt>
                <c:pt idx="11">
                  <c:v>50756.140333293297</c:v>
                </c:pt>
                <c:pt idx="12">
                  <c:v>39250.862953712553</c:v>
                </c:pt>
                <c:pt idx="13">
                  <c:v>30994.934477455572</c:v>
                </c:pt>
                <c:pt idx="14">
                  <c:v>24915.295912599675</c:v>
                </c:pt>
                <c:pt idx="15">
                  <c:v>20337.956652289682</c:v>
                </c:pt>
                <c:pt idx="16">
                  <c:v>16824.945312511034</c:v>
                </c:pt>
                <c:pt idx="17">
                  <c:v>14083.18721301096</c:v>
                </c:pt>
                <c:pt idx="18">
                  <c:v>11911.485258784542</c:v>
                </c:pt>
                <c:pt idx="19">
                  <c:v>10168.572073097228</c:v>
                </c:pt>
                <c:pt idx="20">
                  <c:v>8753.2588040326045</c:v>
                </c:pt>
                <c:pt idx="21">
                  <c:v>7591.7607249276361</c:v>
                </c:pt>
                <c:pt idx="22">
                  <c:v>6629.4067591597523</c:v>
                </c:pt>
                <c:pt idx="23">
                  <c:v>5825.097577740511</c:v>
                </c:pt>
                <c:pt idx="24">
                  <c:v>5147.5277670306987</c:v>
                </c:pt>
                <c:pt idx="25">
                  <c:v>4572.564400295154</c:v>
                </c:pt>
                <c:pt idx="26">
                  <c:v>4081.3983704854804</c:v>
                </c:pt>
                <c:pt idx="27">
                  <c:v>3294.2653020124685</c:v>
                </c:pt>
                <c:pt idx="28">
                  <c:v>2977.0982512605174</c:v>
                </c:pt>
                <c:pt idx="29">
                  <c:v>2700.099077228077</c:v>
                </c:pt>
                <c:pt idx="30">
                  <c:v>2457.0642407820537</c:v>
                </c:pt>
                <c:pt idx="31">
                  <c:v>2242.9088709758571</c:v>
                </c:pt>
                <c:pt idx="32">
                  <c:v>2053.4379041708467</c:v>
                </c:pt>
                <c:pt idx="33">
                  <c:v>1885.1692643666522</c:v>
                </c:pt>
                <c:pt idx="34">
                  <c:v>1735.1961318677556</c:v>
                </c:pt>
                <c:pt idx="35">
                  <c:v>1601.0788344987293</c:v>
                </c:pt>
                <c:pt idx="36">
                  <c:v>1480.7593768387817</c:v>
                </c:pt>
                <c:pt idx="37">
                  <c:v>1372.4934068397381</c:v>
                </c:pt>
                <c:pt idx="38">
                  <c:v>1274.7957142446851</c:v>
                </c:pt>
                <c:pt idx="39">
                  <c:v>1186.3963040480635</c:v>
                </c:pt>
                <c:pt idx="40">
                  <c:v>1106.2047894351699</c:v>
                </c:pt>
                <c:pt idx="41">
                  <c:v>1033.2813710928581</c:v>
                </c:pt>
                <c:pt idx="42">
                  <c:v>966.81306208551325</c:v>
                </c:pt>
                <c:pt idx="43">
                  <c:v>906.09411423704626</c:v>
                </c:pt>
                <c:pt idx="44">
                  <c:v>850.50982799840881</c:v>
                </c:pt>
                <c:pt idx="45">
                  <c:v>799.52310110611745</c:v>
                </c:pt>
                <c:pt idx="46">
                  <c:v>752.66320508631793</c:v>
                </c:pt>
                <c:pt idx="47">
                  <c:v>709.51638249200789</c:v>
                </c:pt>
                <c:pt idx="48">
                  <c:v>669.71793883474641</c:v>
                </c:pt>
                <c:pt idx="49">
                  <c:v>632.94556682420284</c:v>
                </c:pt>
                <c:pt idx="50">
                  <c:v>598.91369076639251</c:v>
                </c:pt>
                <c:pt idx="51">
                  <c:v>567.36865882171514</c:v>
                </c:pt>
                <c:pt idx="52">
                  <c:v>538.08464258746983</c:v>
                </c:pt>
                <c:pt idx="53">
                  <c:v>510.86012890487945</c:v>
                </c:pt>
                <c:pt idx="54">
                  <c:v>485.51490924927054</c:v>
                </c:pt>
                <c:pt idx="55">
                  <c:v>461.88748858805155</c:v>
                </c:pt>
                <c:pt idx="56">
                  <c:v>439.83284899541184</c:v>
                </c:pt>
                <c:pt idx="57">
                  <c:v>419.22051422789917</c:v>
                </c:pt>
                <c:pt idx="58">
                  <c:v>399.93287038732007</c:v>
                </c:pt>
                <c:pt idx="59">
                  <c:v>381.86370511739432</c:v>
                </c:pt>
                <c:pt idx="60">
                  <c:v>364.91693380730356</c:v>
                </c:pt>
                <c:pt idx="61">
                  <c:v>349.0054862541507</c:v>
                </c:pt>
                <c:pt idx="62">
                  <c:v>334.05033136314171</c:v>
                </c:pt>
                <c:pt idx="63">
                  <c:v>319.97962089573849</c:v>
                </c:pt>
                <c:pt idx="64">
                  <c:v>306.72793613808176</c:v>
                </c:pt>
                <c:pt idx="65">
                  <c:v>294.23562375621196</c:v>
                </c:pt>
                <c:pt idx="66">
                  <c:v>282.44820911330311</c:v>
                </c:pt>
                <c:pt idx="67">
                  <c:v>271.31587701403123</c:v>
                </c:pt>
                <c:pt idx="68">
                  <c:v>260.79301126677274</c:v>
                </c:pt>
                <c:pt idx="69">
                  <c:v>250.83778566007544</c:v>
                </c:pt>
                <c:pt idx="70">
                  <c:v>241.41179997223651</c:v>
                </c:pt>
                <c:pt idx="71">
                  <c:v>232.4797555019058</c:v>
                </c:pt>
                <c:pt idx="72">
                  <c:v>224.00916534814007</c:v>
                </c:pt>
                <c:pt idx="73">
                  <c:v>215.97009530076937</c:v>
                </c:pt>
                <c:pt idx="74">
                  <c:v>208.33493174329274</c:v>
                </c:pt>
                <c:pt idx="75">
                  <c:v>201.07817343491806</c:v>
                </c:pt>
                <c:pt idx="76">
                  <c:v>194.17624443760764</c:v>
                </c:pt>
                <c:pt idx="77">
                  <c:v>187.60732579792506</c:v>
                </c:pt>
                <c:pt idx="78">
                  <c:v>181.35120389037016</c:v>
                </c:pt>
                <c:pt idx="79">
                  <c:v>175.38913358567422</c:v>
                </c:pt>
                <c:pt idx="80">
                  <c:v>169.703714630044</c:v>
                </c:pt>
                <c:pt idx="81">
                  <c:v>164.27877981453517</c:v>
                </c:pt>
                <c:pt idx="82">
                  <c:v>159.0992936817587</c:v>
                </c:pt>
                <c:pt idx="83">
                  <c:v>154.15126066352826</c:v>
                </c:pt>
                <c:pt idx="84">
                  <c:v>149.42164167083271</c:v>
                </c:pt>
                <c:pt idx="85">
                  <c:v>144.89827826923718</c:v>
                </c:pt>
                <c:pt idx="86">
                  <c:v>140.56982367064015</c:v>
                </c:pt>
                <c:pt idx="87">
                  <c:v>136.42567985812508</c:v>
                </c:pt>
                <c:pt idx="88">
                  <c:v>132.45594023602487</c:v>
                </c:pt>
                <c:pt idx="89">
                  <c:v>128.651337263638</c:v>
                </c:pt>
                <c:pt idx="90">
                  <c:v>125.0031945894775</c:v>
                </c:pt>
                <c:pt idx="91">
                  <c:v>121.50338325450036</c:v>
                </c:pt>
                <c:pt idx="92">
                  <c:v>118.14428157833511</c:v>
                </c:pt>
                <c:pt idx="93">
                  <c:v>114.9187383828538</c:v>
                </c:pt>
                <c:pt idx="94">
                  <c:v>111.82003924316568</c:v>
                </c:pt>
                <c:pt idx="95">
                  <c:v>108.84187548781929</c:v>
                </c:pt>
                <c:pt idx="96">
                  <c:v>105.97831569816884</c:v>
                </c:pt>
                <c:pt idx="97">
                  <c:v>103.22377948192117</c:v>
                </c:pt>
                <c:pt idx="98">
                  <c:v>100.57301331820206</c:v>
                </c:pt>
                <c:pt idx="99">
                  <c:v>98.021068291384552</c:v>
                </c:pt>
                <c:pt idx="100">
                  <c:v>95.563279548699029</c:v>
                </c:pt>
                <c:pt idx="101">
                  <c:v>93.195247332529064</c:v>
                </c:pt>
                <c:pt idx="102">
                  <c:v>90.912819452518377</c:v>
                </c:pt>
                <c:pt idx="103">
                  <c:v>88.712075075352161</c:v>
                </c:pt>
                <c:pt idx="104">
                  <c:v>86.589309721502588</c:v>
                </c:pt>
                <c:pt idx="105">
                  <c:v>84.541021368488543</c:v>
                </c:pt>
                <c:pt idx="106">
                  <c:v>82.563897569420504</c:v>
                </c:pt>
                <c:pt idx="107">
                  <c:v>80.654803503900112</c:v>
                </c:pt>
                <c:pt idx="108">
                  <c:v>78.810770885817817</c:v>
                </c:pt>
                <c:pt idx="109">
                  <c:v>77.028987659329857</c:v>
                </c:pt>
                <c:pt idx="110">
                  <c:v>75.306788420378396</c:v>
                </c:pt>
                <c:pt idx="111">
                  <c:v>73.641645506611567</c:v>
                </c:pt>
                <c:pt idx="112">
                  <c:v>72.031160703527874</c:v>
                </c:pt>
                <c:pt idx="113">
                  <c:v>70.473057519165735</c:v>
                </c:pt>
                <c:pt idx="114">
                  <c:v>68.965173983731376</c:v>
                </c:pt>
                <c:pt idx="115">
                  <c:v>67.50545593425089</c:v>
                </c:pt>
                <c:pt idx="116">
                  <c:v>66.091950747684052</c:v>
                </c:pt>
                <c:pt idx="117">
                  <c:v>64.722801488980252</c:v>
                </c:pt>
                <c:pt idx="118">
                  <c:v>63.396241443324847</c:v>
                </c:pt>
                <c:pt idx="119">
                  <c:v>62.110589004340191</c:v>
                </c:pt>
                <c:pt idx="120">
                  <c:v>60.864242892299366</c:v>
                </c:pt>
                <c:pt idx="121">
                  <c:v>59.655677678497874</c:v>
                </c:pt>
                <c:pt idx="122">
                  <c:v>58.48343959383417</c:v>
                </c:pt>
                <c:pt idx="123">
                  <c:v>57.346142601389026</c:v>
                </c:pt>
                <c:pt idx="124">
                  <c:v>56.242464714380347</c:v>
                </c:pt>
                <c:pt idx="125">
                  <c:v>55.171144542323475</c:v>
                </c:pt>
                <c:pt idx="126">
                  <c:v>54.130978049553875</c:v>
                </c:pt>
                <c:pt idx="127">
                  <c:v>53.120815511484764</c:v>
                </c:pt>
                <c:pt idx="128">
                  <c:v>52.13955865508651</c:v>
                </c:pt>
                <c:pt idx="129">
                  <c:v>51.186157971094765</c:v>
                </c:pt>
                <c:pt idx="130">
                  <c:v>50.259610186391825</c:v>
                </c:pt>
                <c:pt idx="131">
                  <c:v>49.358955885864184</c:v>
                </c:pt>
                <c:pt idx="132">
                  <c:v>48.483277273830538</c:v>
                </c:pt>
                <c:pt idx="133">
                  <c:v>47.631696065859209</c:v>
                </c:pt>
                <c:pt idx="134">
                  <c:v>46.803371502462589</c:v>
                </c:pt>
                <c:pt idx="135">
                  <c:v>45.997498476770517</c:v>
                </c:pt>
                <c:pt idx="136">
                  <c:v>45.213305768850589</c:v>
                </c:pt>
                <c:pt idx="137">
                  <c:v>44.450054379865364</c:v>
                </c:pt>
                <c:pt idx="138">
                  <c:v>43.707035959737077</c:v>
                </c:pt>
                <c:pt idx="139">
                  <c:v>42.983571322434699</c:v>
                </c:pt>
                <c:pt idx="140">
                  <c:v>42.279009043408124</c:v>
                </c:pt>
                <c:pt idx="141">
                  <c:v>41.592724134072149</c:v>
                </c:pt>
                <c:pt idx="142">
                  <c:v>40.924116788593892</c:v>
                </c:pt>
                <c:pt idx="143">
                  <c:v>40.272611198559879</c:v>
                </c:pt>
                <c:pt idx="144">
                  <c:v>39.637654431399326</c:v>
                </c:pt>
                <c:pt idx="145">
                  <c:v>39.01871536871689</c:v>
                </c:pt>
                <c:pt idx="146">
                  <c:v>38.415283700945423</c:v>
                </c:pt>
                <c:pt idx="147">
                  <c:v>37.826868974966985</c:v>
                </c:pt>
                <c:pt idx="148">
                  <c:v>37.252999691571596</c:v>
                </c:pt>
                <c:pt idx="149">
                  <c:v>36.693222449827516</c:v>
                </c:pt>
                <c:pt idx="150">
                  <c:v>36.147101135627743</c:v>
                </c:pt>
                <c:pt idx="151">
                  <c:v>35.614216151853441</c:v>
                </c:pt>
                <c:pt idx="152">
                  <c:v>35.094163687759419</c:v>
                </c:pt>
                <c:pt idx="153">
                  <c:v>34.586555025339571</c:v>
                </c:pt>
                <c:pt idx="154">
                  <c:v>34.091015880571909</c:v>
                </c:pt>
                <c:pt idx="155">
                  <c:v>33.607185777574919</c:v>
                </c:pt>
                <c:pt idx="156">
                  <c:v>33.134717453830397</c:v>
                </c:pt>
                <c:pt idx="157">
                  <c:v>32.673276294741967</c:v>
                </c:pt>
                <c:pt idx="158">
                  <c:v>32.22253979590576</c:v>
                </c:pt>
                <c:pt idx="159">
                  <c:v>31.782197051568854</c:v>
                </c:pt>
                <c:pt idx="160">
                  <c:v>31.351948267844577</c:v>
                </c:pt>
                <c:pt idx="161">
                  <c:v>30.931504299339846</c:v>
                </c:pt>
                <c:pt idx="162">
                  <c:v>30.520586207930855</c:v>
                </c:pt>
                <c:pt idx="163">
                  <c:v>30.118924842499521</c:v>
                </c:pt>
                <c:pt idx="164">
                  <c:v>29.726260438512636</c:v>
                </c:pt>
                <c:pt idx="165">
                  <c:v>29.342342236393009</c:v>
                </c:pt>
                <c:pt idx="166">
                  <c:v>28.966928117692618</c:v>
                </c:pt>
                <c:pt idx="167">
                  <c:v>28.599784258136072</c:v>
                </c:pt>
                <c:pt idx="168">
                  <c:v>28.240684796656822</c:v>
                </c:pt>
                <c:pt idx="169">
                  <c:v>27.889411519598774</c:v>
                </c:pt>
                <c:pt idx="170">
                  <c:v>27.545753559304035</c:v>
                </c:pt>
                <c:pt idx="171">
                  <c:v>27.209507106351353</c:v>
                </c:pt>
                <c:pt idx="172">
                  <c:v>26.880475134751851</c:v>
                </c:pt>
                <c:pt idx="173">
                  <c:v>26.558467139447995</c:v>
                </c:pt>
                <c:pt idx="174">
                  <c:v>26.243298885497477</c:v>
                </c:pt>
                <c:pt idx="175">
                  <c:v>25.934792168359479</c:v>
                </c:pt>
                <c:pt idx="176">
                  <c:v>25.632774584731816</c:v>
                </c:pt>
                <c:pt idx="177">
                  <c:v>25.337079313418599</c:v>
                </c:pt>
                <c:pt idx="178">
                  <c:v>25.047544905736501</c:v>
                </c:pt>
                <c:pt idx="179">
                  <c:v>24.764015084994085</c:v>
                </c:pt>
                <c:pt idx="180">
                  <c:v>24.486338554604483</c:v>
                </c:pt>
                <c:pt idx="181">
                  <c:v>24.214368814414939</c:v>
                </c:pt>
                <c:pt idx="182">
                  <c:v>23.947963984859197</c:v>
                </c:pt>
                <c:pt idx="183">
                  <c:v>23.686986638560033</c:v>
                </c:pt>
                <c:pt idx="184">
                  <c:v>23.431303639028336</c:v>
                </c:pt>
                <c:pt idx="185">
                  <c:v>23.18078598612454</c:v>
                </c:pt>
                <c:pt idx="186">
                  <c:v>22.935308667965174</c:v>
                </c:pt>
                <c:pt idx="187">
                  <c:v>22.694750518974057</c:v>
                </c:pt>
                <c:pt idx="188">
                  <c:v>22.45899408379351</c:v>
                </c:pt>
                <c:pt idx="189">
                  <c:v>22.227925486785107</c:v>
                </c:pt>
                <c:pt idx="190">
                  <c:v>22.00143430686402</c:v>
                </c:pt>
                <c:pt idx="191">
                  <c:v>21.779413457423527</c:v>
                </c:pt>
                <c:pt idx="192">
                  <c:v>21.561759071119084</c:v>
                </c:pt>
                <c:pt idx="193">
                  <c:v>21.348370389292771</c:v>
                </c:pt>
                <c:pt idx="194">
                  <c:v>21.139149655830032</c:v>
                </c:pt>
                <c:pt idx="195">
                  <c:v>20.934002015251139</c:v>
                </c:pt>
                <c:pt idx="196">
                  <c:v>20.732835414849479</c:v>
                </c:pt>
                <c:pt idx="197">
                  <c:v>20.535560510698311</c:v>
                </c:pt>
                <c:pt idx="198">
                  <c:v>20.342090577356299</c:v>
                </c:pt>
                <c:pt idx="199">
                  <c:v>20.152341421110503</c:v>
                </c:pt>
              </c:numCache>
            </c:numRef>
          </c:yVal>
          <c:smooth val="1"/>
          <c:extLst>
            <c:ext xmlns:c16="http://schemas.microsoft.com/office/drawing/2014/chart" uri="{C3380CC4-5D6E-409C-BE32-E72D297353CC}">
              <c16:uniqueId val="{00000001-992C-40F1-A5E2-86449DD037EF}"/>
            </c:ext>
          </c:extLst>
        </c:ser>
        <c:dLbls>
          <c:showLegendKey val="0"/>
          <c:showVal val="0"/>
          <c:showCatName val="0"/>
          <c:showSerName val="0"/>
          <c:showPercent val="0"/>
          <c:showBubbleSize val="0"/>
        </c:dLbls>
        <c:axId val="806611600"/>
        <c:axId val="806604056"/>
      </c:scatterChart>
      <c:valAx>
        <c:axId val="806611600"/>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Wire Dia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604056"/>
        <c:crosses val="autoZero"/>
        <c:crossBetween val="midCat"/>
        <c:majorUnit val="1"/>
      </c:valAx>
      <c:valAx>
        <c:axId val="806604056"/>
        <c:scaling>
          <c:orientation val="minMax"/>
          <c:max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611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26</xdr:col>
      <xdr:colOff>95250</xdr:colOff>
      <xdr:row>9</xdr:row>
      <xdr:rowOff>37542</xdr:rowOff>
    </xdr:from>
    <xdr:to>
      <xdr:col>33</xdr:col>
      <xdr:colOff>160684</xdr:colOff>
      <xdr:row>24</xdr:row>
      <xdr:rowOff>141983</xdr:rowOff>
    </xdr:to>
    <xdr:pic>
      <xdr:nvPicPr>
        <xdr:cNvPr id="2" name="Picture 1">
          <a:extLst>
            <a:ext uri="{FF2B5EF4-FFF2-40B4-BE49-F238E27FC236}">
              <a16:creationId xmlns:a16="http://schemas.microsoft.com/office/drawing/2014/main" id="{340C5EF1-45F9-4634-9BEB-C2511855308B}"/>
            </a:ext>
          </a:extLst>
        </xdr:cNvPr>
        <xdr:cNvPicPr>
          <a:picLocks noChangeAspect="1"/>
        </xdr:cNvPicPr>
      </xdr:nvPicPr>
      <xdr:blipFill>
        <a:blip xmlns:r="http://schemas.openxmlformats.org/officeDocument/2006/relationships" r:embed="rId1"/>
        <a:stretch>
          <a:fillRect/>
        </a:stretch>
      </xdr:blipFill>
      <xdr:spPr>
        <a:xfrm>
          <a:off x="19497675" y="2037792"/>
          <a:ext cx="4332634" cy="3114341"/>
        </a:xfrm>
        <a:prstGeom prst="rect">
          <a:avLst/>
        </a:prstGeom>
      </xdr:spPr>
    </xdr:pic>
    <xdr:clientData/>
  </xdr:twoCellAnchor>
  <xdr:twoCellAnchor>
    <xdr:from>
      <xdr:col>9</xdr:col>
      <xdr:colOff>123824</xdr:colOff>
      <xdr:row>15</xdr:row>
      <xdr:rowOff>47624</xdr:rowOff>
    </xdr:from>
    <xdr:to>
      <xdr:col>15</xdr:col>
      <xdr:colOff>447675</xdr:colOff>
      <xdr:row>26</xdr:row>
      <xdr:rowOff>142874</xdr:rowOff>
    </xdr:to>
    <xdr:graphicFrame macro="">
      <xdr:nvGraphicFramePr>
        <xdr:cNvPr id="4" name="Chart 3">
          <a:extLst>
            <a:ext uri="{FF2B5EF4-FFF2-40B4-BE49-F238E27FC236}">
              <a16:creationId xmlns:a16="http://schemas.microsoft.com/office/drawing/2014/main" id="{778F6DAA-1455-499B-BFF9-B8C053A4C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48</xdr:col>
      <xdr:colOff>419099</xdr:colOff>
      <xdr:row>0</xdr:row>
      <xdr:rowOff>89718</xdr:rowOff>
    </xdr:from>
    <xdr:to>
      <xdr:col>60</xdr:col>
      <xdr:colOff>46386</xdr:colOff>
      <xdr:row>13</xdr:row>
      <xdr:rowOff>142404</xdr:rowOff>
    </xdr:to>
    <xdr:pic>
      <xdr:nvPicPr>
        <xdr:cNvPr id="2" name="Picture 1">
          <a:extLst>
            <a:ext uri="{FF2B5EF4-FFF2-40B4-BE49-F238E27FC236}">
              <a16:creationId xmlns:a16="http://schemas.microsoft.com/office/drawing/2014/main" id="{107FF9BD-320C-471E-B3A3-030E93CDB2C5}"/>
            </a:ext>
          </a:extLst>
        </xdr:cNvPr>
        <xdr:cNvPicPr>
          <a:picLocks noChangeAspect="1"/>
        </xdr:cNvPicPr>
      </xdr:nvPicPr>
      <xdr:blipFill>
        <a:blip xmlns:r="http://schemas.openxmlformats.org/officeDocument/2006/relationships" r:embed="rId1"/>
        <a:stretch>
          <a:fillRect/>
        </a:stretch>
      </xdr:blipFill>
      <xdr:spPr>
        <a:xfrm>
          <a:off x="31442024" y="89718"/>
          <a:ext cx="6942487" cy="26434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53</xdr:col>
      <xdr:colOff>0</xdr:colOff>
      <xdr:row>1</xdr:row>
      <xdr:rowOff>0</xdr:rowOff>
    </xdr:from>
    <xdr:to>
      <xdr:col>69</xdr:col>
      <xdr:colOff>103543</xdr:colOff>
      <xdr:row>14</xdr:row>
      <xdr:rowOff>66357</xdr:rowOff>
    </xdr:to>
    <xdr:pic>
      <xdr:nvPicPr>
        <xdr:cNvPr id="2" name="Picture 1">
          <a:extLst>
            <a:ext uri="{FF2B5EF4-FFF2-40B4-BE49-F238E27FC236}">
              <a16:creationId xmlns:a16="http://schemas.microsoft.com/office/drawing/2014/main" id="{C917B2E9-8FB3-46CD-800B-A2CEF4B63A71}"/>
            </a:ext>
          </a:extLst>
        </xdr:cNvPr>
        <xdr:cNvPicPr>
          <a:picLocks noChangeAspect="1"/>
        </xdr:cNvPicPr>
      </xdr:nvPicPr>
      <xdr:blipFill>
        <a:blip xmlns:r="http://schemas.openxmlformats.org/officeDocument/2006/relationships" r:embed="rId1"/>
        <a:stretch>
          <a:fillRect/>
        </a:stretch>
      </xdr:blipFill>
      <xdr:spPr>
        <a:xfrm>
          <a:off x="10363200" y="952500"/>
          <a:ext cx="9857143" cy="2542857"/>
        </a:xfrm>
        <a:prstGeom prst="rect">
          <a:avLst/>
        </a:prstGeom>
      </xdr:spPr>
    </xdr:pic>
    <xdr:clientData/>
  </xdr:twoCellAnchor>
  <xdr:twoCellAnchor editAs="oneCell">
    <xdr:from>
      <xdr:col>56</xdr:col>
      <xdr:colOff>0</xdr:colOff>
      <xdr:row>17</xdr:row>
      <xdr:rowOff>0</xdr:rowOff>
    </xdr:from>
    <xdr:to>
      <xdr:col>63</xdr:col>
      <xdr:colOff>56609</xdr:colOff>
      <xdr:row>35</xdr:row>
      <xdr:rowOff>123381</xdr:rowOff>
    </xdr:to>
    <xdr:pic>
      <xdr:nvPicPr>
        <xdr:cNvPr id="3" name="Picture 2">
          <a:extLst>
            <a:ext uri="{FF2B5EF4-FFF2-40B4-BE49-F238E27FC236}">
              <a16:creationId xmlns:a16="http://schemas.microsoft.com/office/drawing/2014/main" id="{9A022A3A-BA98-45D0-B877-0D1F24126D31}"/>
            </a:ext>
          </a:extLst>
        </xdr:cNvPr>
        <xdr:cNvPicPr>
          <a:picLocks noChangeAspect="1"/>
        </xdr:cNvPicPr>
      </xdr:nvPicPr>
      <xdr:blipFill>
        <a:blip xmlns:r="http://schemas.openxmlformats.org/officeDocument/2006/relationships" r:embed="rId2"/>
        <a:stretch>
          <a:fillRect/>
        </a:stretch>
      </xdr:blipFill>
      <xdr:spPr>
        <a:xfrm>
          <a:off x="12192000" y="4000500"/>
          <a:ext cx="4323809" cy="35523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federnshop.com/en/products/compression_springs/calculation.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63D96-A74B-4549-AE13-86B7AC110C53}">
  <dimension ref="B1:AC204"/>
  <sheetViews>
    <sheetView tabSelected="1" workbookViewId="0">
      <selection activeCell="B23" sqref="B23"/>
    </sheetView>
  </sheetViews>
  <sheetFormatPr defaultRowHeight="15" x14ac:dyDescent="0.25"/>
  <cols>
    <col min="2" max="2" width="46.42578125" bestFit="1" customWidth="1"/>
    <col min="3" max="3" width="8.85546875" bestFit="1" customWidth="1"/>
    <col min="4" max="4" width="19.28515625" bestFit="1" customWidth="1"/>
    <col min="5" max="5" width="6.7109375" bestFit="1" customWidth="1"/>
    <col min="6" max="6" width="19.28515625" bestFit="1" customWidth="1"/>
    <col min="7" max="7" width="9" bestFit="1" customWidth="1"/>
  </cols>
  <sheetData>
    <row r="1" spans="2:29" ht="15.75" thickBot="1" x14ac:dyDescent="0.3">
      <c r="B1" s="33" t="s">
        <v>86</v>
      </c>
      <c r="C1" s="34" t="s">
        <v>87</v>
      </c>
      <c r="D1" s="34" t="s">
        <v>88</v>
      </c>
      <c r="E1" s="34" t="s">
        <v>89</v>
      </c>
      <c r="F1" s="34" t="s">
        <v>90</v>
      </c>
      <c r="G1" s="35" t="s">
        <v>91</v>
      </c>
      <c r="I1" s="112" t="s">
        <v>315</v>
      </c>
      <c r="J1" s="113"/>
      <c r="K1" s="113"/>
      <c r="L1" s="113"/>
      <c r="M1" s="113"/>
      <c r="N1" s="113"/>
      <c r="O1" s="113"/>
      <c r="AA1" t="s">
        <v>228</v>
      </c>
    </row>
    <row r="2" spans="2:29" ht="18" x14ac:dyDescent="0.35">
      <c r="B2" s="54" t="s">
        <v>184</v>
      </c>
      <c r="C2" s="59" t="s">
        <v>199</v>
      </c>
      <c r="D2" s="76">
        <v>275</v>
      </c>
      <c r="E2" s="59" t="s">
        <v>2</v>
      </c>
      <c r="F2" s="78">
        <f>CONVERT(D2,"N","lbf")</f>
        <v>61.822459352420381</v>
      </c>
      <c r="G2" s="55" t="s">
        <v>1</v>
      </c>
      <c r="I2" s="112" t="s">
        <v>314</v>
      </c>
      <c r="J2" s="113"/>
      <c r="K2" s="113"/>
      <c r="L2" s="113"/>
      <c r="M2" s="113"/>
      <c r="N2" s="113"/>
      <c r="O2" s="113"/>
      <c r="AA2" t="s">
        <v>229</v>
      </c>
    </row>
    <row r="3" spans="2:29" ht="18" x14ac:dyDescent="0.35">
      <c r="B3" s="15" t="s">
        <v>312</v>
      </c>
      <c r="C3" s="1" t="s">
        <v>104</v>
      </c>
      <c r="D3" s="77">
        <v>800</v>
      </c>
      <c r="E3" s="1" t="s">
        <v>2</v>
      </c>
      <c r="F3" s="79">
        <f>CONVERT(D3,"N","lbf")</f>
        <v>179.84715447976839</v>
      </c>
      <c r="G3" s="16" t="s">
        <v>1</v>
      </c>
      <c r="I3" s="112" t="s">
        <v>316</v>
      </c>
      <c r="J3" s="114"/>
      <c r="K3" s="114"/>
      <c r="L3" s="114"/>
      <c r="M3" s="114"/>
      <c r="N3" s="114"/>
      <c r="O3" s="113"/>
      <c r="AA3" t="s">
        <v>230</v>
      </c>
    </row>
    <row r="4" spans="2:29" x14ac:dyDescent="0.25">
      <c r="B4" s="15" t="s">
        <v>15</v>
      </c>
      <c r="C4" s="1" t="s">
        <v>13</v>
      </c>
      <c r="D4" s="67">
        <v>31.75</v>
      </c>
      <c r="E4" s="1" t="s">
        <v>4</v>
      </c>
      <c r="F4" s="38">
        <f>CONVERT(D4,"mm","in")</f>
        <v>1.25</v>
      </c>
      <c r="G4" s="16" t="s">
        <v>190</v>
      </c>
      <c r="I4" s="112" t="s">
        <v>317</v>
      </c>
      <c r="J4" s="113"/>
      <c r="K4" s="113"/>
      <c r="L4" s="113"/>
      <c r="M4" s="113"/>
      <c r="N4" s="113"/>
      <c r="O4" s="113"/>
      <c r="AA4" t="s">
        <v>232</v>
      </c>
      <c r="AB4" t="s">
        <v>233</v>
      </c>
      <c r="AC4" t="s">
        <v>234</v>
      </c>
    </row>
    <row r="5" spans="2:29" x14ac:dyDescent="0.25">
      <c r="B5" s="15" t="s">
        <v>185</v>
      </c>
      <c r="C5" s="1"/>
      <c r="D5" s="67" t="s">
        <v>35</v>
      </c>
      <c r="E5" s="1" t="s">
        <v>7</v>
      </c>
      <c r="F5" s="38" t="str">
        <f>D5</f>
        <v>Squared and Ground</v>
      </c>
      <c r="G5" s="16" t="s">
        <v>7</v>
      </c>
      <c r="I5" s="105" t="s">
        <v>318</v>
      </c>
      <c r="J5" s="113"/>
      <c r="K5" s="113"/>
      <c r="L5" s="113"/>
      <c r="M5" s="113"/>
      <c r="N5" s="113"/>
      <c r="O5" s="113"/>
      <c r="AA5">
        <v>0</v>
      </c>
      <c r="AB5" t="e">
        <f>0.56/$D$7*IF($D$11='Table 10-4 EstMin Tensile Strng'!$C$5,'Table 10-4 EstMin Tensile Strng'!$I$5/'Engine Valve Spring'!AA5^'Table 10-4 EstMin Tensile Strng'!$F$5,IF($D$11='Table 10-4 EstMin Tensile Strng'!$C$6,'Table 10-4 EstMin Tensile Strng'!$I$6/'Engine Valve Spring'!AA5^'Table 10-4 EstMin Tensile Strng'!$F$6,IF($D$11='Table 10-4 EstMin Tensile Strng'!$C$7,'Table 10-4 EstMin Tensile Strng'!$I$7/'Engine Valve Spring'!AA5^'Table 10-4 EstMin Tensile Strng'!$F$7,IF($D$11='Table 10-4 EstMin Tensile Strng'!$C$8,'Table 10-4 EstMin Tensile Strng'!$I$8/'Engine Valve Spring'!AA5^'Table 10-4 EstMin Tensile Strng'!$F$8,IF($D$11='Table 10-4 EstMin Tensile Strng'!$C$9,'Table 10-4 EstMin Tensile Strng'!$I$9/'Engine Valve Spring'!AA5^'Table 10-4 EstMin Tensile Strng'!$F$9,IF($D$11='Table 10-4 EstMin Tensile Strng'!$C$10,'Table 10-4 EstMin Tensile Strng'!$I$10/'Engine Valve Spring'!AA5^'Table 10-4 EstMin Tensile Strng'!$F$10,IF($D$11='Table 10-4 EstMin Tensile Strng'!$C$10,'Table 10-4 EstMin Tensile Strng'!$I$11/'Engine Valve Spring'!AA5^'Table 10-4 EstMin Tensile Strng'!$F$11,IF($D$11='Table 10-4 EstMin Tensile Strng'!$C$10,'Table 10-4 EstMin Tensile Strng'!$I$12/'Engine Valve Spring'!AA5^'Table 10-4 EstMin Tensile Strng'!$F$12,IF($D$11='Table 10-4 EstMin Tensile Strng'!$C$13,'Table 10-4 EstMin Tensile Strng'!$I$13/'Engine Valve Spring'!AA5^'Table 10-4 EstMin Tensile Strng'!$F$13,IF($D$11='Table 10-4 EstMin Tensile Strng'!$C$13,'Table 10-4 EstMin Tensile Strng'!$I$14/'Engine Valve Spring'!AA5^'Table 10-4 EstMin Tensile Strng'!$F$14,IF($D$11='Table 10-4 EstMin Tensile Strng'!$C$13,'Table 10-4 EstMin Tensile Strng'!$I$15/'Engine Valve Spring'!AA5^'Table 10-4 EstMin Tensile Strng'!$F$15)))))))))))</f>
        <v>#DIV/0!</v>
      </c>
      <c r="AC5" t="e">
        <f>(4*($D$4/AA5)+2)/(4*($D$4/AA5)-3)*8*$D$3*$D$4/(PI()*AA5^3)</f>
        <v>#DIV/0!</v>
      </c>
    </row>
    <row r="6" spans="2:29" x14ac:dyDescent="0.25">
      <c r="B6" s="15" t="s">
        <v>186</v>
      </c>
      <c r="C6" s="1"/>
      <c r="D6" s="67">
        <v>22.86</v>
      </c>
      <c r="E6" s="1"/>
      <c r="F6" s="38">
        <f>CONVERT(D6,"mm","in")</f>
        <v>0.9</v>
      </c>
      <c r="G6" s="16" t="s">
        <v>190</v>
      </c>
      <c r="I6" s="106" t="s">
        <v>313</v>
      </c>
      <c r="AA6">
        <v>0.1</v>
      </c>
      <c r="AB6">
        <f>0.56/$D$7*IF($D$11='Table 10-4 EstMin Tensile Strng'!$C$5,'Table 10-4 EstMin Tensile Strng'!$I$5/'Engine Valve Spring'!AA6^'Table 10-4 EstMin Tensile Strng'!$F$5,IF($D$11='Table 10-4 EstMin Tensile Strng'!$C$6,'Table 10-4 EstMin Tensile Strng'!$I$6/'Engine Valve Spring'!AA6^'Table 10-4 EstMin Tensile Strng'!$F$6,IF($D$11='Table 10-4 EstMin Tensile Strng'!$C$7,'Table 10-4 EstMin Tensile Strng'!$I$7/'Engine Valve Spring'!AA6^'Table 10-4 EstMin Tensile Strng'!$F$7,IF($D$11='Table 10-4 EstMin Tensile Strng'!$C$8,'Table 10-4 EstMin Tensile Strng'!$I$8/'Engine Valve Spring'!AA6^'Table 10-4 EstMin Tensile Strng'!$F$8,IF($D$11='Table 10-4 EstMin Tensile Strng'!$C$9,'Table 10-4 EstMin Tensile Strng'!$I$9/'Engine Valve Spring'!AA6^'Table 10-4 EstMin Tensile Strng'!$F$9,IF($D$11='Table 10-4 EstMin Tensile Strng'!$C$10,'Table 10-4 EstMin Tensile Strng'!$I$10/'Engine Valve Spring'!AA6^'Table 10-4 EstMin Tensile Strng'!$F$10,IF($D$11='Table 10-4 EstMin Tensile Strng'!$C$10,'Table 10-4 EstMin Tensile Strng'!$I$11/'Engine Valve Spring'!AA6^'Table 10-4 EstMin Tensile Strng'!$F$11,IF($D$11='Table 10-4 EstMin Tensile Strng'!$C$10,'Table 10-4 EstMin Tensile Strng'!$I$12/'Engine Valve Spring'!AA6^'Table 10-4 EstMin Tensile Strng'!$F$12,IF($D$11='Table 10-4 EstMin Tensile Strng'!$C$13,'Table 10-4 EstMin Tensile Strng'!$I$13/'Engine Valve Spring'!AA6^'Table 10-4 EstMin Tensile Strng'!$F$13,IF($D$11='Table 10-4 EstMin Tensile Strng'!$C$13,'Table 10-4 EstMin Tensile Strng'!$I$14/'Engine Valve Spring'!AA6^'Table 10-4 EstMin Tensile Strng'!$F$14,IF($D$11='Table 10-4 EstMin Tensile Strng'!$C$13,'Table 10-4 EstMin Tensile Strng'!$I$15/'Engine Valve Spring'!AA6^'Table 10-4 EstMin Tensile Strng'!$F$15)))))))))))</f>
        <v>1181.2829327427271</v>
      </c>
      <c r="AC6">
        <f t="shared" ref="AC6:AC68" si="0">(4*($D$4/AA6)+2)/(4*($D$4/AA6)-3)*8*$D$3*$D$4/(PI()*AA6^3)</f>
        <v>64935819.736289531</v>
      </c>
    </row>
    <row r="7" spans="2:29" x14ac:dyDescent="0.25">
      <c r="B7" s="15" t="s">
        <v>187</v>
      </c>
      <c r="C7" s="1" t="s">
        <v>202</v>
      </c>
      <c r="D7" s="67">
        <v>1.2</v>
      </c>
      <c r="E7" s="1" t="s">
        <v>7</v>
      </c>
      <c r="F7" s="38">
        <f>D7</f>
        <v>1.2</v>
      </c>
      <c r="G7" s="16" t="s">
        <v>7</v>
      </c>
      <c r="AA7">
        <v>0.2</v>
      </c>
      <c r="AB7">
        <f>0.56/$D$7*IF($D$11='Table 10-4 EstMin Tensile Strng'!$C$5,'Table 10-4 EstMin Tensile Strng'!$I$5/'Engine Valve Spring'!AA7^'Table 10-4 EstMin Tensile Strng'!$F$5,IF($D$11='Table 10-4 EstMin Tensile Strng'!$C$6,'Table 10-4 EstMin Tensile Strng'!$I$6/'Engine Valve Spring'!AA7^'Table 10-4 EstMin Tensile Strng'!$F$6,IF($D$11='Table 10-4 EstMin Tensile Strng'!$C$7,'Table 10-4 EstMin Tensile Strng'!$I$7/'Engine Valve Spring'!AA7^'Table 10-4 EstMin Tensile Strng'!$F$7,IF($D$11='Table 10-4 EstMin Tensile Strng'!$C$8,'Table 10-4 EstMin Tensile Strng'!$I$8/'Engine Valve Spring'!AA7^'Table 10-4 EstMin Tensile Strng'!$F$8,IF($D$11='Table 10-4 EstMin Tensile Strng'!$C$9,'Table 10-4 EstMin Tensile Strng'!$I$9/'Engine Valve Spring'!AA7^'Table 10-4 EstMin Tensile Strng'!$F$9,IF($D$11='Table 10-4 EstMin Tensile Strng'!$C$10,'Table 10-4 EstMin Tensile Strng'!$I$10/'Engine Valve Spring'!AA7^'Table 10-4 EstMin Tensile Strng'!$F$10,IF($D$11='Table 10-4 EstMin Tensile Strng'!$C$10,'Table 10-4 EstMin Tensile Strng'!$I$11/'Engine Valve Spring'!AA7^'Table 10-4 EstMin Tensile Strng'!$F$11,IF($D$11='Table 10-4 EstMin Tensile Strng'!$C$10,'Table 10-4 EstMin Tensile Strng'!$I$12/'Engine Valve Spring'!AA7^'Table 10-4 EstMin Tensile Strng'!$F$12,IF($D$11='Table 10-4 EstMin Tensile Strng'!$C$13,'Table 10-4 EstMin Tensile Strng'!$I$13/'Engine Valve Spring'!AA7^'Table 10-4 EstMin Tensile Strng'!$F$13,IF($D$11='Table 10-4 EstMin Tensile Strng'!$C$13,'Table 10-4 EstMin Tensile Strng'!$I$14/'Engine Valve Spring'!AA7^'Table 10-4 EstMin Tensile Strng'!$F$14,IF($D$11='Table 10-4 EstMin Tensile Strng'!$C$13,'Table 10-4 EstMin Tensile Strng'!$I$15/'Engine Valve Spring'!AA7^'Table 10-4 EstMin Tensile Strng'!$F$15)))))))))))</f>
        <v>1096.0811015001866</v>
      </c>
      <c r="AC7">
        <f t="shared" si="0"/>
        <v>8149035.2792349625</v>
      </c>
    </row>
    <row r="8" spans="2:29" x14ac:dyDescent="0.25">
      <c r="B8" s="15" t="s">
        <v>191</v>
      </c>
      <c r="C8" s="3" t="s">
        <v>43</v>
      </c>
      <c r="D8" s="67">
        <v>0.15</v>
      </c>
      <c r="E8" s="1" t="s">
        <v>7</v>
      </c>
      <c r="F8" s="38">
        <f>D8</f>
        <v>0.15</v>
      </c>
      <c r="G8" s="16" t="s">
        <v>7</v>
      </c>
      <c r="AA8">
        <v>0.3</v>
      </c>
      <c r="AB8">
        <f>0.56/$D$7*IF($D$11='Table 10-4 EstMin Tensile Strng'!$C$5,'Table 10-4 EstMin Tensile Strng'!$I$5/'Engine Valve Spring'!AA8^'Table 10-4 EstMin Tensile Strng'!$F$5,IF($D$11='Table 10-4 EstMin Tensile Strng'!$C$6,'Table 10-4 EstMin Tensile Strng'!$I$6/'Engine Valve Spring'!AA8^'Table 10-4 EstMin Tensile Strng'!$F$6,IF($D$11='Table 10-4 EstMin Tensile Strng'!$C$7,'Table 10-4 EstMin Tensile Strng'!$I$7/'Engine Valve Spring'!AA8^'Table 10-4 EstMin Tensile Strng'!$F$7,IF($D$11='Table 10-4 EstMin Tensile Strng'!$C$8,'Table 10-4 EstMin Tensile Strng'!$I$8/'Engine Valve Spring'!AA8^'Table 10-4 EstMin Tensile Strng'!$F$8,IF($D$11='Table 10-4 EstMin Tensile Strng'!$C$9,'Table 10-4 EstMin Tensile Strng'!$I$9/'Engine Valve Spring'!AA8^'Table 10-4 EstMin Tensile Strng'!$F$9,IF($D$11='Table 10-4 EstMin Tensile Strng'!$C$10,'Table 10-4 EstMin Tensile Strng'!$I$10/'Engine Valve Spring'!AA8^'Table 10-4 EstMin Tensile Strng'!$F$10,IF($D$11='Table 10-4 EstMin Tensile Strng'!$C$10,'Table 10-4 EstMin Tensile Strng'!$I$11/'Engine Valve Spring'!AA8^'Table 10-4 EstMin Tensile Strng'!$F$11,IF($D$11='Table 10-4 EstMin Tensile Strng'!$C$10,'Table 10-4 EstMin Tensile Strng'!$I$12/'Engine Valve Spring'!AA8^'Table 10-4 EstMin Tensile Strng'!$F$12,IF($D$11='Table 10-4 EstMin Tensile Strng'!$C$13,'Table 10-4 EstMin Tensile Strng'!$I$13/'Engine Valve Spring'!AA8^'Table 10-4 EstMin Tensile Strng'!$F$13,IF($D$11='Table 10-4 EstMin Tensile Strng'!$C$13,'Table 10-4 EstMin Tensile Strng'!$I$14/'Engine Valve Spring'!AA8^'Table 10-4 EstMin Tensile Strng'!$F$14,IF($D$11='Table 10-4 EstMin Tensile Strng'!$C$13,'Table 10-4 EstMin Tensile Strng'!$I$15/'Engine Valve Spring'!AA8^'Table 10-4 EstMin Tensile Strng'!$F$15)))))))))))</f>
        <v>1049.119196687468</v>
      </c>
      <c r="AC8">
        <f t="shared" si="0"/>
        <v>2424072.7782585556</v>
      </c>
    </row>
    <row r="9" spans="2:29" x14ac:dyDescent="0.25">
      <c r="B9" s="15" t="s">
        <v>188</v>
      </c>
      <c r="C9" s="1" t="s">
        <v>198</v>
      </c>
      <c r="D9" s="67" t="s">
        <v>194</v>
      </c>
      <c r="E9" s="1" t="s">
        <v>7</v>
      </c>
      <c r="F9" s="38" t="str">
        <f>D9</f>
        <v>Yes</v>
      </c>
      <c r="G9" s="16" t="s">
        <v>7</v>
      </c>
      <c r="AA9">
        <v>0.4</v>
      </c>
      <c r="AB9">
        <f>0.56/$D$7*IF($D$11='Table 10-4 EstMin Tensile Strng'!$C$5,'Table 10-4 EstMin Tensile Strng'!$I$5/'Engine Valve Spring'!AA9^'Table 10-4 EstMin Tensile Strng'!$F$5,IF($D$11='Table 10-4 EstMin Tensile Strng'!$C$6,'Table 10-4 EstMin Tensile Strng'!$I$6/'Engine Valve Spring'!AA9^'Table 10-4 EstMin Tensile Strng'!$F$6,IF($D$11='Table 10-4 EstMin Tensile Strng'!$C$7,'Table 10-4 EstMin Tensile Strng'!$I$7/'Engine Valve Spring'!AA9^'Table 10-4 EstMin Tensile Strng'!$F$7,IF($D$11='Table 10-4 EstMin Tensile Strng'!$C$8,'Table 10-4 EstMin Tensile Strng'!$I$8/'Engine Valve Spring'!AA9^'Table 10-4 EstMin Tensile Strng'!$F$8,IF($D$11='Table 10-4 EstMin Tensile Strng'!$C$9,'Table 10-4 EstMin Tensile Strng'!$I$9/'Engine Valve Spring'!AA9^'Table 10-4 EstMin Tensile Strng'!$F$9,IF($D$11='Table 10-4 EstMin Tensile Strng'!$C$10,'Table 10-4 EstMin Tensile Strng'!$I$10/'Engine Valve Spring'!AA9^'Table 10-4 EstMin Tensile Strng'!$F$10,IF($D$11='Table 10-4 EstMin Tensile Strng'!$C$10,'Table 10-4 EstMin Tensile Strng'!$I$11/'Engine Valve Spring'!AA9^'Table 10-4 EstMin Tensile Strng'!$F$11,IF($D$11='Table 10-4 EstMin Tensile Strng'!$C$10,'Table 10-4 EstMin Tensile Strng'!$I$12/'Engine Valve Spring'!AA9^'Table 10-4 EstMin Tensile Strng'!$F$12,IF($D$11='Table 10-4 EstMin Tensile Strng'!$C$13,'Table 10-4 EstMin Tensile Strng'!$I$13/'Engine Valve Spring'!AA9^'Table 10-4 EstMin Tensile Strng'!$F$13,IF($D$11='Table 10-4 EstMin Tensile Strng'!$C$13,'Table 10-4 EstMin Tensile Strng'!$I$14/'Engine Valve Spring'!AA9^'Table 10-4 EstMin Tensile Strng'!$F$14,IF($D$11='Table 10-4 EstMin Tensile Strng'!$C$13,'Table 10-4 EstMin Tensile Strng'!$I$15/'Engine Valve Spring'!AA9^'Table 10-4 EstMin Tensile Strng'!$F$15)))))))))))</f>
        <v>1017.0245821434511</v>
      </c>
      <c r="AC9">
        <f t="shared" si="0"/>
        <v>1026701.2000585517</v>
      </c>
    </row>
    <row r="10" spans="2:29" x14ac:dyDescent="0.25">
      <c r="B10" s="17" t="s">
        <v>192</v>
      </c>
      <c r="C10" s="1" t="s">
        <v>198</v>
      </c>
      <c r="D10" s="67" t="s">
        <v>194</v>
      </c>
      <c r="E10" s="1" t="s">
        <v>7</v>
      </c>
      <c r="F10" s="38" t="str">
        <f>D10</f>
        <v>Yes</v>
      </c>
      <c r="G10" s="16" t="s">
        <v>7</v>
      </c>
      <c r="AA10">
        <v>0.5</v>
      </c>
      <c r="AB10">
        <f>0.56/$D$7*IF($D$11='Table 10-4 EstMin Tensile Strng'!$C$5,'Table 10-4 EstMin Tensile Strng'!$I$5/'Engine Valve Spring'!AA10^'Table 10-4 EstMin Tensile Strng'!$F$5,IF($D$11='Table 10-4 EstMin Tensile Strng'!$C$6,'Table 10-4 EstMin Tensile Strng'!$I$6/'Engine Valve Spring'!AA10^'Table 10-4 EstMin Tensile Strng'!$F$6,IF($D$11='Table 10-4 EstMin Tensile Strng'!$C$7,'Table 10-4 EstMin Tensile Strng'!$I$7/'Engine Valve Spring'!AA10^'Table 10-4 EstMin Tensile Strng'!$F$7,IF($D$11='Table 10-4 EstMin Tensile Strng'!$C$8,'Table 10-4 EstMin Tensile Strng'!$I$8/'Engine Valve Spring'!AA10^'Table 10-4 EstMin Tensile Strng'!$F$8,IF($D$11='Table 10-4 EstMin Tensile Strng'!$C$9,'Table 10-4 EstMin Tensile Strng'!$I$9/'Engine Valve Spring'!AA10^'Table 10-4 EstMin Tensile Strng'!$F$9,IF($D$11='Table 10-4 EstMin Tensile Strng'!$C$10,'Table 10-4 EstMin Tensile Strng'!$I$10/'Engine Valve Spring'!AA10^'Table 10-4 EstMin Tensile Strng'!$F$10,IF($D$11='Table 10-4 EstMin Tensile Strng'!$C$10,'Table 10-4 EstMin Tensile Strng'!$I$11/'Engine Valve Spring'!AA10^'Table 10-4 EstMin Tensile Strng'!$F$11,IF($D$11='Table 10-4 EstMin Tensile Strng'!$C$10,'Table 10-4 EstMin Tensile Strng'!$I$12/'Engine Valve Spring'!AA10^'Table 10-4 EstMin Tensile Strng'!$F$12,IF($D$11='Table 10-4 EstMin Tensile Strng'!$C$13,'Table 10-4 EstMin Tensile Strng'!$I$13/'Engine Valve Spring'!AA10^'Table 10-4 EstMin Tensile Strng'!$F$13,IF($D$11='Table 10-4 EstMin Tensile Strng'!$C$13,'Table 10-4 EstMin Tensile Strng'!$I$14/'Engine Valve Spring'!AA10^'Table 10-4 EstMin Tensile Strng'!$F$14,IF($D$11='Table 10-4 EstMin Tensile Strng'!$C$13,'Table 10-4 EstMin Tensile Strng'!$I$15/'Engine Valve Spring'!AA10^'Table 10-4 EstMin Tensile Strng'!$F$15)))))))))))</f>
        <v>992.80777321422977</v>
      </c>
      <c r="AC10">
        <f t="shared" si="0"/>
        <v>527752.21135846514</v>
      </c>
    </row>
    <row r="11" spans="2:29" x14ac:dyDescent="0.25">
      <c r="B11" s="17" t="s">
        <v>226</v>
      </c>
      <c r="C11" s="1"/>
      <c r="D11" s="67" t="s">
        <v>209</v>
      </c>
      <c r="E11" s="1" t="s">
        <v>7</v>
      </c>
      <c r="F11" s="38" t="str">
        <f>D11</f>
        <v>Chrome-Silicon Wire</v>
      </c>
      <c r="G11" s="16" t="s">
        <v>7</v>
      </c>
      <c r="AA11">
        <v>0.6</v>
      </c>
      <c r="AB11">
        <f>0.56/$D$7*IF($D$11='Table 10-4 EstMin Tensile Strng'!$C$5,'Table 10-4 EstMin Tensile Strng'!$I$5/'Engine Valve Spring'!AA11^'Table 10-4 EstMin Tensile Strng'!$F$5,IF($D$11='Table 10-4 EstMin Tensile Strng'!$C$6,'Table 10-4 EstMin Tensile Strng'!$I$6/'Engine Valve Spring'!AA11^'Table 10-4 EstMin Tensile Strng'!$F$6,IF($D$11='Table 10-4 EstMin Tensile Strng'!$C$7,'Table 10-4 EstMin Tensile Strng'!$I$7/'Engine Valve Spring'!AA11^'Table 10-4 EstMin Tensile Strng'!$F$7,IF($D$11='Table 10-4 EstMin Tensile Strng'!$C$8,'Table 10-4 EstMin Tensile Strng'!$I$8/'Engine Valve Spring'!AA11^'Table 10-4 EstMin Tensile Strng'!$F$8,IF($D$11='Table 10-4 EstMin Tensile Strng'!$C$9,'Table 10-4 EstMin Tensile Strng'!$I$9/'Engine Valve Spring'!AA11^'Table 10-4 EstMin Tensile Strng'!$F$9,IF($D$11='Table 10-4 EstMin Tensile Strng'!$C$10,'Table 10-4 EstMin Tensile Strng'!$I$10/'Engine Valve Spring'!AA11^'Table 10-4 EstMin Tensile Strng'!$F$10,IF($D$11='Table 10-4 EstMin Tensile Strng'!$C$10,'Table 10-4 EstMin Tensile Strng'!$I$11/'Engine Valve Spring'!AA11^'Table 10-4 EstMin Tensile Strng'!$F$11,IF($D$11='Table 10-4 EstMin Tensile Strng'!$C$10,'Table 10-4 EstMin Tensile Strng'!$I$12/'Engine Valve Spring'!AA11^'Table 10-4 EstMin Tensile Strng'!$F$12,IF($D$11='Table 10-4 EstMin Tensile Strng'!$C$13,'Table 10-4 EstMin Tensile Strng'!$I$13/'Engine Valve Spring'!AA11^'Table 10-4 EstMin Tensile Strng'!$F$13,IF($D$11='Table 10-4 EstMin Tensile Strng'!$C$13,'Table 10-4 EstMin Tensile Strng'!$I$14/'Engine Valve Spring'!AA11^'Table 10-4 EstMin Tensile Strng'!$F$14,IF($D$11='Table 10-4 EstMin Tensile Strng'!$C$13,'Table 10-4 EstMin Tensile Strng'!$I$15/'Engine Valve Spring'!AA11^'Table 10-4 EstMin Tensile Strng'!$F$15)))))))))))</f>
        <v>973.44987626316038</v>
      </c>
      <c r="AC11">
        <f t="shared" si="0"/>
        <v>306622.32758920657</v>
      </c>
    </row>
    <row r="12" spans="2:29" x14ac:dyDescent="0.25">
      <c r="B12" s="17" t="s">
        <v>196</v>
      </c>
      <c r="C12" s="3" t="s">
        <v>197</v>
      </c>
      <c r="D12" s="79">
        <f>D3-D2</f>
        <v>525</v>
      </c>
      <c r="E12" s="1" t="s">
        <v>2</v>
      </c>
      <c r="F12" s="79">
        <f>CONVERT(D12,"N","lbf")</f>
        <v>118.024695127348</v>
      </c>
      <c r="G12" s="16" t="s">
        <v>1</v>
      </c>
      <c r="AA12">
        <v>0.7</v>
      </c>
      <c r="AB12">
        <f>0.56/$D$7*IF($D$11='Table 10-4 EstMin Tensile Strng'!$C$5,'Table 10-4 EstMin Tensile Strng'!$I$5/'Engine Valve Spring'!AA12^'Table 10-4 EstMin Tensile Strng'!$F$5,IF($D$11='Table 10-4 EstMin Tensile Strng'!$C$6,'Table 10-4 EstMin Tensile Strng'!$I$6/'Engine Valve Spring'!AA12^'Table 10-4 EstMin Tensile Strng'!$F$6,IF($D$11='Table 10-4 EstMin Tensile Strng'!$C$7,'Table 10-4 EstMin Tensile Strng'!$I$7/'Engine Valve Spring'!AA12^'Table 10-4 EstMin Tensile Strng'!$F$7,IF($D$11='Table 10-4 EstMin Tensile Strng'!$C$8,'Table 10-4 EstMin Tensile Strng'!$I$8/'Engine Valve Spring'!AA12^'Table 10-4 EstMin Tensile Strng'!$F$8,IF($D$11='Table 10-4 EstMin Tensile Strng'!$C$9,'Table 10-4 EstMin Tensile Strng'!$I$9/'Engine Valve Spring'!AA12^'Table 10-4 EstMin Tensile Strng'!$F$9,IF($D$11='Table 10-4 EstMin Tensile Strng'!$C$10,'Table 10-4 EstMin Tensile Strng'!$I$10/'Engine Valve Spring'!AA12^'Table 10-4 EstMin Tensile Strng'!$F$10,IF($D$11='Table 10-4 EstMin Tensile Strng'!$C$10,'Table 10-4 EstMin Tensile Strng'!$I$11/'Engine Valve Spring'!AA12^'Table 10-4 EstMin Tensile Strng'!$F$11,IF($D$11='Table 10-4 EstMin Tensile Strng'!$C$10,'Table 10-4 EstMin Tensile Strng'!$I$12/'Engine Valve Spring'!AA12^'Table 10-4 EstMin Tensile Strng'!$F$12,IF($D$11='Table 10-4 EstMin Tensile Strng'!$C$13,'Table 10-4 EstMin Tensile Strng'!$I$13/'Engine Valve Spring'!AA12^'Table 10-4 EstMin Tensile Strng'!$F$13,IF($D$11='Table 10-4 EstMin Tensile Strng'!$C$13,'Table 10-4 EstMin Tensile Strng'!$I$14/'Engine Valve Spring'!AA12^'Table 10-4 EstMin Tensile Strng'!$F$14,IF($D$11='Table 10-4 EstMin Tensile Strng'!$C$13,'Table 10-4 EstMin Tensile Strng'!$I$15/'Engine Valve Spring'!AA12^'Table 10-4 EstMin Tensile Strng'!$F$15)))))))))))</f>
        <v>957.37777415332584</v>
      </c>
      <c r="AC12">
        <f t="shared" si="0"/>
        <v>193857.360949633</v>
      </c>
    </row>
    <row r="13" spans="2:29" x14ac:dyDescent="0.25">
      <c r="B13" s="17" t="s">
        <v>195</v>
      </c>
      <c r="C13" s="1" t="s">
        <v>40</v>
      </c>
      <c r="D13" s="80">
        <f>D12/D6</f>
        <v>22.965879265091864</v>
      </c>
      <c r="E13" s="1" t="s">
        <v>30</v>
      </c>
      <c r="F13" s="79">
        <f>CONVERT(D13,"N","lbf")/CONVERT(1,"mm","in")</f>
        <v>131.1385501414978</v>
      </c>
      <c r="G13" s="16" t="s">
        <v>31</v>
      </c>
      <c r="AA13">
        <v>0.8</v>
      </c>
      <c r="AB13">
        <f>0.56/$D$7*IF($D$11='Table 10-4 EstMin Tensile Strng'!$C$5,'Table 10-4 EstMin Tensile Strng'!$I$5/'Engine Valve Spring'!AA13^'Table 10-4 EstMin Tensile Strng'!$F$5,IF($D$11='Table 10-4 EstMin Tensile Strng'!$C$6,'Table 10-4 EstMin Tensile Strng'!$I$6/'Engine Valve Spring'!AA13^'Table 10-4 EstMin Tensile Strng'!$F$6,IF($D$11='Table 10-4 EstMin Tensile Strng'!$C$7,'Table 10-4 EstMin Tensile Strng'!$I$7/'Engine Valve Spring'!AA13^'Table 10-4 EstMin Tensile Strng'!$F$7,IF($D$11='Table 10-4 EstMin Tensile Strng'!$C$8,'Table 10-4 EstMin Tensile Strng'!$I$8/'Engine Valve Spring'!AA13^'Table 10-4 EstMin Tensile Strng'!$F$8,IF($D$11='Table 10-4 EstMin Tensile Strng'!$C$9,'Table 10-4 EstMin Tensile Strng'!$I$9/'Engine Valve Spring'!AA13^'Table 10-4 EstMin Tensile Strng'!$F$9,IF($D$11='Table 10-4 EstMin Tensile Strng'!$C$10,'Table 10-4 EstMin Tensile Strng'!$I$10/'Engine Valve Spring'!AA13^'Table 10-4 EstMin Tensile Strng'!$F$10,IF($D$11='Table 10-4 EstMin Tensile Strng'!$C$10,'Table 10-4 EstMin Tensile Strng'!$I$11/'Engine Valve Spring'!AA13^'Table 10-4 EstMin Tensile Strng'!$F$11,IF($D$11='Table 10-4 EstMin Tensile Strng'!$C$10,'Table 10-4 EstMin Tensile Strng'!$I$12/'Engine Valve Spring'!AA13^'Table 10-4 EstMin Tensile Strng'!$F$12,IF($D$11='Table 10-4 EstMin Tensile Strng'!$C$13,'Table 10-4 EstMin Tensile Strng'!$I$13/'Engine Valve Spring'!AA13^'Table 10-4 EstMin Tensile Strng'!$F$13,IF($D$11='Table 10-4 EstMin Tensile Strng'!$C$13,'Table 10-4 EstMin Tensile Strng'!$I$14/'Engine Valve Spring'!AA13^'Table 10-4 EstMin Tensile Strng'!$F$14,IF($D$11='Table 10-4 EstMin Tensile Strng'!$C$13,'Table 10-4 EstMin Tensile Strng'!$I$15/'Engine Valve Spring'!AA13^'Table 10-4 EstMin Tensile Strng'!$F$15)))))))))))</f>
        <v>943.67013469019753</v>
      </c>
      <c r="AC13">
        <f t="shared" si="0"/>
        <v>130384.74927595569</v>
      </c>
    </row>
    <row r="14" spans="2:29" x14ac:dyDescent="0.25">
      <c r="B14" s="60" t="s">
        <v>231</v>
      </c>
      <c r="C14" s="1" t="s">
        <v>14</v>
      </c>
      <c r="D14" s="69">
        <v>4.3388030000000004</v>
      </c>
      <c r="E14" s="4" t="s">
        <v>4</v>
      </c>
      <c r="F14" s="74">
        <f>CONVERT(D14,"mm","in")</f>
        <v>0.17081901574803152</v>
      </c>
      <c r="G14" s="16" t="s">
        <v>190</v>
      </c>
      <c r="H14" t="s">
        <v>235</v>
      </c>
      <c r="AA14">
        <v>0.9</v>
      </c>
      <c r="AB14">
        <f>0.56/$D$7*IF($D$11='Table 10-4 EstMin Tensile Strng'!$C$5,'Table 10-4 EstMin Tensile Strng'!$I$5/'Engine Valve Spring'!AA14^'Table 10-4 EstMin Tensile Strng'!$F$5,IF($D$11='Table 10-4 EstMin Tensile Strng'!$C$6,'Table 10-4 EstMin Tensile Strng'!$I$6/'Engine Valve Spring'!AA14^'Table 10-4 EstMin Tensile Strng'!$F$6,IF($D$11='Table 10-4 EstMin Tensile Strng'!$C$7,'Table 10-4 EstMin Tensile Strng'!$I$7/'Engine Valve Spring'!AA14^'Table 10-4 EstMin Tensile Strng'!$F$7,IF($D$11='Table 10-4 EstMin Tensile Strng'!$C$8,'Table 10-4 EstMin Tensile Strng'!$I$8/'Engine Valve Spring'!AA14^'Table 10-4 EstMin Tensile Strng'!$F$8,IF($D$11='Table 10-4 EstMin Tensile Strng'!$C$9,'Table 10-4 EstMin Tensile Strng'!$I$9/'Engine Valve Spring'!AA14^'Table 10-4 EstMin Tensile Strng'!$F$9,IF($D$11='Table 10-4 EstMin Tensile Strng'!$C$10,'Table 10-4 EstMin Tensile Strng'!$I$10/'Engine Valve Spring'!AA14^'Table 10-4 EstMin Tensile Strng'!$F$10,IF($D$11='Table 10-4 EstMin Tensile Strng'!$C$10,'Table 10-4 EstMin Tensile Strng'!$I$11/'Engine Valve Spring'!AA14^'Table 10-4 EstMin Tensile Strng'!$F$11,IF($D$11='Table 10-4 EstMin Tensile Strng'!$C$10,'Table 10-4 EstMin Tensile Strng'!$I$12/'Engine Valve Spring'!AA14^'Table 10-4 EstMin Tensile Strng'!$F$12,IF($D$11='Table 10-4 EstMin Tensile Strng'!$C$13,'Table 10-4 EstMin Tensile Strng'!$I$13/'Engine Valve Spring'!AA14^'Table 10-4 EstMin Tensile Strng'!$F$13,IF($D$11='Table 10-4 EstMin Tensile Strng'!$C$13,'Table 10-4 EstMin Tensile Strng'!$I$14/'Engine Valve Spring'!AA14^'Table 10-4 EstMin Tensile Strng'!$F$14,IF($D$11='Table 10-4 EstMin Tensile Strng'!$C$13,'Table 10-4 EstMin Tensile Strng'!$I$15/'Engine Valve Spring'!AA14^'Table 10-4 EstMin Tensile Strng'!$F$15)))))))))))</f>
        <v>931.7421409811144</v>
      </c>
      <c r="AC14">
        <f t="shared" si="0"/>
        <v>91937.150051635763</v>
      </c>
    </row>
    <row r="15" spans="2:29" x14ac:dyDescent="0.25">
      <c r="B15" s="60" t="s">
        <v>236</v>
      </c>
      <c r="C15" s="1" t="s">
        <v>320</v>
      </c>
      <c r="D15" s="81">
        <f>D31/((4*($D$4/D14)+2)/(4*($D$4/D14)-3)*8*$D$3*$D$4/(PI()*D14^3))</f>
        <v>0.83404235176776287</v>
      </c>
      <c r="E15" s="4" t="s">
        <v>7</v>
      </c>
      <c r="F15" s="72">
        <f>D15</f>
        <v>0.83404235176776287</v>
      </c>
      <c r="G15" s="18" t="s">
        <v>7</v>
      </c>
      <c r="H15" t="s">
        <v>319</v>
      </c>
      <c r="AA15">
        <v>1</v>
      </c>
      <c r="AB15">
        <f>0.56/$D$7*IF($D$11='Table 10-4 EstMin Tensile Strng'!$C$5,'Table 10-4 EstMin Tensile Strng'!$I$5/'Engine Valve Spring'!AA15^'Table 10-4 EstMin Tensile Strng'!$F$5,IF($D$11='Table 10-4 EstMin Tensile Strng'!$C$6,'Table 10-4 EstMin Tensile Strng'!$I$6/'Engine Valve Spring'!AA15^'Table 10-4 EstMin Tensile Strng'!$F$6,IF($D$11='Table 10-4 EstMin Tensile Strng'!$C$7,'Table 10-4 EstMin Tensile Strng'!$I$7/'Engine Valve Spring'!AA15^'Table 10-4 EstMin Tensile Strng'!$F$7,IF($D$11='Table 10-4 EstMin Tensile Strng'!$C$8,'Table 10-4 EstMin Tensile Strng'!$I$8/'Engine Valve Spring'!AA15^'Table 10-4 EstMin Tensile Strng'!$F$8,IF($D$11='Table 10-4 EstMin Tensile Strng'!$C$9,'Table 10-4 EstMin Tensile Strng'!$I$9/'Engine Valve Spring'!AA15^'Table 10-4 EstMin Tensile Strng'!$F$9,IF($D$11='Table 10-4 EstMin Tensile Strng'!$C$10,'Table 10-4 EstMin Tensile Strng'!$I$10/'Engine Valve Spring'!AA15^'Table 10-4 EstMin Tensile Strng'!$F$10,IF($D$11='Table 10-4 EstMin Tensile Strng'!$C$10,'Table 10-4 EstMin Tensile Strng'!$I$11/'Engine Valve Spring'!AA15^'Table 10-4 EstMin Tensile Strng'!$F$11,IF($D$11='Table 10-4 EstMin Tensile Strng'!$C$10,'Table 10-4 EstMin Tensile Strng'!$I$12/'Engine Valve Spring'!AA15^'Table 10-4 EstMin Tensile Strng'!$F$12,IF($D$11='Table 10-4 EstMin Tensile Strng'!$C$13,'Table 10-4 EstMin Tensile Strng'!$I$13/'Engine Valve Spring'!AA15^'Table 10-4 EstMin Tensile Strng'!$F$13,IF($D$11='Table 10-4 EstMin Tensile Strng'!$C$13,'Table 10-4 EstMin Tensile Strng'!$I$14/'Engine Valve Spring'!AA15^'Table 10-4 EstMin Tensile Strng'!$F$14,IF($D$11='Table 10-4 EstMin Tensile Strng'!$C$13,'Table 10-4 EstMin Tensile Strng'!$I$15/'Engine Valve Spring'!AA15^'Table 10-4 EstMin Tensile Strng'!$F$15)))))))))))</f>
        <v>921.20000000000016</v>
      </c>
      <c r="AC15">
        <f t="shared" si="0"/>
        <v>67288.65632708442</v>
      </c>
    </row>
    <row r="16" spans="2:29" x14ac:dyDescent="0.25">
      <c r="B16" s="15" t="s">
        <v>11</v>
      </c>
      <c r="C16" s="1" t="s">
        <v>12</v>
      </c>
      <c r="D16" s="74">
        <f>D4/D14</f>
        <v>7.3176864679037044</v>
      </c>
      <c r="E16" s="4" t="s">
        <v>7</v>
      </c>
      <c r="F16" s="74">
        <f>D16</f>
        <v>7.3176864679037044</v>
      </c>
      <c r="G16" s="16" t="s">
        <v>7</v>
      </c>
      <c r="AA16">
        <v>1.1000000000000001</v>
      </c>
      <c r="AB16">
        <f>0.56/$D$7*IF($D$11='Table 10-4 EstMin Tensile Strng'!$C$5,'Table 10-4 EstMin Tensile Strng'!$I$5/'Engine Valve Spring'!AA16^'Table 10-4 EstMin Tensile Strng'!$F$5,IF($D$11='Table 10-4 EstMin Tensile Strng'!$C$6,'Table 10-4 EstMin Tensile Strng'!$I$6/'Engine Valve Spring'!AA16^'Table 10-4 EstMin Tensile Strng'!$F$6,IF($D$11='Table 10-4 EstMin Tensile Strng'!$C$7,'Table 10-4 EstMin Tensile Strng'!$I$7/'Engine Valve Spring'!AA16^'Table 10-4 EstMin Tensile Strng'!$F$7,IF($D$11='Table 10-4 EstMin Tensile Strng'!$C$8,'Table 10-4 EstMin Tensile Strng'!$I$8/'Engine Valve Spring'!AA16^'Table 10-4 EstMin Tensile Strng'!$F$8,IF($D$11='Table 10-4 EstMin Tensile Strng'!$C$9,'Table 10-4 EstMin Tensile Strng'!$I$9/'Engine Valve Spring'!AA16^'Table 10-4 EstMin Tensile Strng'!$F$9,IF($D$11='Table 10-4 EstMin Tensile Strng'!$C$10,'Table 10-4 EstMin Tensile Strng'!$I$10/'Engine Valve Spring'!AA16^'Table 10-4 EstMin Tensile Strng'!$F$10,IF($D$11='Table 10-4 EstMin Tensile Strng'!$C$10,'Table 10-4 EstMin Tensile Strng'!$I$11/'Engine Valve Spring'!AA16^'Table 10-4 EstMin Tensile Strng'!$F$11,IF($D$11='Table 10-4 EstMin Tensile Strng'!$C$10,'Table 10-4 EstMin Tensile Strng'!$I$12/'Engine Valve Spring'!AA16^'Table 10-4 EstMin Tensile Strng'!$F$12,IF($D$11='Table 10-4 EstMin Tensile Strng'!$C$13,'Table 10-4 EstMin Tensile Strng'!$I$13/'Engine Valve Spring'!AA16^'Table 10-4 EstMin Tensile Strng'!$F$13,IF($D$11='Table 10-4 EstMin Tensile Strng'!$C$13,'Table 10-4 EstMin Tensile Strng'!$I$14/'Engine Valve Spring'!AA16^'Table 10-4 EstMin Tensile Strng'!$F$14,IF($D$11='Table 10-4 EstMin Tensile Strng'!$C$13,'Table 10-4 EstMin Tensile Strng'!$I$15/'Engine Valve Spring'!AA16^'Table 10-4 EstMin Tensile Strng'!$F$15)))))))))))</f>
        <v>911.7662647064144</v>
      </c>
      <c r="AC16">
        <f t="shared" si="0"/>
        <v>50756.140333293297</v>
      </c>
    </row>
    <row r="17" spans="2:29" x14ac:dyDescent="0.25">
      <c r="B17" s="15" t="s">
        <v>16</v>
      </c>
      <c r="C17" s="1" t="s">
        <v>18</v>
      </c>
      <c r="D17" s="74">
        <f>(4*D16+2)/(4*D16-3)</f>
        <v>1.1903257724175405</v>
      </c>
      <c r="E17" s="4" t="s">
        <v>7</v>
      </c>
      <c r="F17" s="73">
        <f>D17</f>
        <v>1.1903257724175405</v>
      </c>
      <c r="G17" s="16"/>
      <c r="AA17">
        <v>1.2</v>
      </c>
      <c r="AB17">
        <f>0.56/$D$7*IF($D$11='Table 10-4 EstMin Tensile Strng'!$C$5,'Table 10-4 EstMin Tensile Strng'!$I$5/'Engine Valve Spring'!AA17^'Table 10-4 EstMin Tensile Strng'!$F$5,IF($D$11='Table 10-4 EstMin Tensile Strng'!$C$6,'Table 10-4 EstMin Tensile Strng'!$I$6/'Engine Valve Spring'!AA17^'Table 10-4 EstMin Tensile Strng'!$F$6,IF($D$11='Table 10-4 EstMin Tensile Strng'!$C$7,'Table 10-4 EstMin Tensile Strng'!$I$7/'Engine Valve Spring'!AA17^'Table 10-4 EstMin Tensile Strng'!$F$7,IF($D$11='Table 10-4 EstMin Tensile Strng'!$C$8,'Table 10-4 EstMin Tensile Strng'!$I$8/'Engine Valve Spring'!AA17^'Table 10-4 EstMin Tensile Strng'!$F$8,IF($D$11='Table 10-4 EstMin Tensile Strng'!$C$9,'Table 10-4 EstMin Tensile Strng'!$I$9/'Engine Valve Spring'!AA17^'Table 10-4 EstMin Tensile Strng'!$F$9,IF($D$11='Table 10-4 EstMin Tensile Strng'!$C$10,'Table 10-4 EstMin Tensile Strng'!$I$10/'Engine Valve Spring'!AA17^'Table 10-4 EstMin Tensile Strng'!$F$10,IF($D$11='Table 10-4 EstMin Tensile Strng'!$C$10,'Table 10-4 EstMin Tensile Strng'!$I$11/'Engine Valve Spring'!AA17^'Table 10-4 EstMin Tensile Strng'!$F$11,IF($D$11='Table 10-4 EstMin Tensile Strng'!$C$10,'Table 10-4 EstMin Tensile Strng'!$I$12/'Engine Valve Spring'!AA17^'Table 10-4 EstMin Tensile Strng'!$F$12,IF($D$11='Table 10-4 EstMin Tensile Strng'!$C$13,'Table 10-4 EstMin Tensile Strng'!$I$13/'Engine Valve Spring'!AA17^'Table 10-4 EstMin Tensile Strng'!$F$13,IF($D$11='Table 10-4 EstMin Tensile Strng'!$C$13,'Table 10-4 EstMin Tensile Strng'!$I$14/'Engine Valve Spring'!AA17^'Table 10-4 EstMin Tensile Strng'!$F$14,IF($D$11='Table 10-4 EstMin Tensile Strng'!$C$13,'Table 10-4 EstMin Tensile Strng'!$I$15/'Engine Valve Spring'!AA17^'Table 10-4 EstMin Tensile Strng'!$F$15)))))))))))</f>
        <v>903.23832085883851</v>
      </c>
      <c r="AC17">
        <f t="shared" si="0"/>
        <v>39250.862953712553</v>
      </c>
    </row>
    <row r="18" spans="2:29" x14ac:dyDescent="0.25">
      <c r="B18" s="15" t="s">
        <v>276</v>
      </c>
      <c r="C18" s="3" t="s">
        <v>277</v>
      </c>
      <c r="D18" s="38">
        <f>IF(D11='Table 10-4 EstMin Tensile Strng'!C5,'Table 10-4 EstMin Tensile Strng'!E5,IF(D11='Table 10-4 EstMin Tensile Strng'!C6,'Table 10-4 EstMin Tensile Strng'!E6,IF(D11='Table 10-4 EstMin Tensile Strng'!C7,'Table 10-4 EstMin Tensile Strng'!E7,IF(D11='Table 10-4 EstMin Tensile Strng'!C8,'Table 10-4 EstMin Tensile Strng'!E8,IF(D11='Table 10-4 EstMin Tensile Strng'!C9,'Table 10-4 EstMin Tensile Strng'!E9,IF(D11='Table 10-4 EstMin Tensile Strng'!C10,'Table 10-4 EstMin Tensile Strng'!E10,IF(D11='Table 10-4 EstMin Tensile Strng'!C13,'Table 10-4 EstMin Tensile Strng'!E13)))))))</f>
        <v>7.8609999999999998</v>
      </c>
      <c r="E18" s="4" t="s">
        <v>278</v>
      </c>
      <c r="F18" s="73">
        <f>CONVERT(D18,"g","lbm")/CONVERT(1,"cm^3","in^3")</f>
        <v>0.28399664241265782</v>
      </c>
      <c r="G18" s="16" t="s">
        <v>279</v>
      </c>
      <c r="AA18">
        <v>1.3</v>
      </c>
      <c r="AB18">
        <f>0.56/$D$7*IF($D$11='Table 10-4 EstMin Tensile Strng'!$C$5,'Table 10-4 EstMin Tensile Strng'!$I$5/'Engine Valve Spring'!AA18^'Table 10-4 EstMin Tensile Strng'!$F$5,IF($D$11='Table 10-4 EstMin Tensile Strng'!$C$6,'Table 10-4 EstMin Tensile Strng'!$I$6/'Engine Valve Spring'!AA18^'Table 10-4 EstMin Tensile Strng'!$F$6,IF($D$11='Table 10-4 EstMin Tensile Strng'!$C$7,'Table 10-4 EstMin Tensile Strng'!$I$7/'Engine Valve Spring'!AA18^'Table 10-4 EstMin Tensile Strng'!$F$7,IF($D$11='Table 10-4 EstMin Tensile Strng'!$C$8,'Table 10-4 EstMin Tensile Strng'!$I$8/'Engine Valve Spring'!AA18^'Table 10-4 EstMin Tensile Strng'!$F$8,IF($D$11='Table 10-4 EstMin Tensile Strng'!$C$9,'Table 10-4 EstMin Tensile Strng'!$I$9/'Engine Valve Spring'!AA18^'Table 10-4 EstMin Tensile Strng'!$F$9,IF($D$11='Table 10-4 EstMin Tensile Strng'!$C$10,'Table 10-4 EstMin Tensile Strng'!$I$10/'Engine Valve Spring'!AA18^'Table 10-4 EstMin Tensile Strng'!$F$10,IF($D$11='Table 10-4 EstMin Tensile Strng'!$C$10,'Table 10-4 EstMin Tensile Strng'!$I$11/'Engine Valve Spring'!AA18^'Table 10-4 EstMin Tensile Strng'!$F$11,IF($D$11='Table 10-4 EstMin Tensile Strng'!$C$10,'Table 10-4 EstMin Tensile Strng'!$I$12/'Engine Valve Spring'!AA18^'Table 10-4 EstMin Tensile Strng'!$F$12,IF($D$11='Table 10-4 EstMin Tensile Strng'!$C$13,'Table 10-4 EstMin Tensile Strng'!$I$13/'Engine Valve Spring'!AA18^'Table 10-4 EstMin Tensile Strng'!$F$13,IF($D$11='Table 10-4 EstMin Tensile Strng'!$C$13,'Table 10-4 EstMin Tensile Strng'!$I$14/'Engine Valve Spring'!AA18^'Table 10-4 EstMin Tensile Strng'!$F$14,IF($D$11='Table 10-4 EstMin Tensile Strng'!$C$13,'Table 10-4 EstMin Tensile Strng'!$I$15/'Engine Valve Spring'!AA18^'Table 10-4 EstMin Tensile Strng'!$F$15)))))))))))</f>
        <v>895.46382779904957</v>
      </c>
      <c r="AC18">
        <f t="shared" si="0"/>
        <v>30994.934477455572</v>
      </c>
    </row>
    <row r="19" spans="2:29" x14ac:dyDescent="0.25">
      <c r="B19" s="17" t="s">
        <v>171</v>
      </c>
      <c r="C19" s="58" t="s">
        <v>273</v>
      </c>
      <c r="D19" s="82">
        <f>-IF(D11='Table 10-4 EstMin Tensile Strng'!C5,'Table 10-4 EstMin Tensile Strng'!J5,IF(D11='Table 10-4 EstMin Tensile Strng'!C6,'Table 10-4 EstMin Tensile Strng'!J6,IF(D11='Table 10-4 EstMin Tensile Strng'!C7,'Table 10-4 EstMin Tensile Strng'!J7,IF(D11='Table 10-4 EstMin Tensile Strng'!C8,'Table 10-4 EstMin Tensile Strng'!J8,IF(D11='Table 10-4 EstMin Tensile Strng'!C9,'Table 10-4 EstMin Tensile Strng'!J9,IF(D11='Table 10-4 EstMin Tensile Strng'!C10,'Table 10-4 EstMin Tensile Strng'!K10,IF(D11='Table 10-4 EstMin Tensile Strng'!C13,'Table 10-4 EstMin Tensile Strng'!J13)))))))*PI()^2*D14^2*D22*D4*D18/4</f>
        <v>-308496.67579860607</v>
      </c>
      <c r="E19" s="4" t="s">
        <v>7</v>
      </c>
      <c r="F19" s="79">
        <f>D19</f>
        <v>-308496.67579860607</v>
      </c>
      <c r="G19" s="18" t="s">
        <v>7</v>
      </c>
      <c r="H19" t="s">
        <v>321</v>
      </c>
      <c r="AA19">
        <v>1.4</v>
      </c>
      <c r="AB19">
        <f>0.56/$D$7*IF($D$11='Table 10-4 EstMin Tensile Strng'!$C$5,'Table 10-4 EstMin Tensile Strng'!$I$5/'Engine Valve Spring'!AA19^'Table 10-4 EstMin Tensile Strng'!$F$5,IF($D$11='Table 10-4 EstMin Tensile Strng'!$C$6,'Table 10-4 EstMin Tensile Strng'!$I$6/'Engine Valve Spring'!AA19^'Table 10-4 EstMin Tensile Strng'!$F$6,IF($D$11='Table 10-4 EstMin Tensile Strng'!$C$7,'Table 10-4 EstMin Tensile Strng'!$I$7/'Engine Valve Spring'!AA19^'Table 10-4 EstMin Tensile Strng'!$F$7,IF($D$11='Table 10-4 EstMin Tensile Strng'!$C$8,'Table 10-4 EstMin Tensile Strng'!$I$8/'Engine Valve Spring'!AA19^'Table 10-4 EstMin Tensile Strng'!$F$8,IF($D$11='Table 10-4 EstMin Tensile Strng'!$C$9,'Table 10-4 EstMin Tensile Strng'!$I$9/'Engine Valve Spring'!AA19^'Table 10-4 EstMin Tensile Strng'!$F$9,IF($D$11='Table 10-4 EstMin Tensile Strng'!$C$10,'Table 10-4 EstMin Tensile Strng'!$I$10/'Engine Valve Spring'!AA19^'Table 10-4 EstMin Tensile Strng'!$F$10,IF($D$11='Table 10-4 EstMin Tensile Strng'!$C$10,'Table 10-4 EstMin Tensile Strng'!$I$11/'Engine Valve Spring'!AA19^'Table 10-4 EstMin Tensile Strng'!$F$11,IF($D$11='Table 10-4 EstMin Tensile Strng'!$C$10,'Table 10-4 EstMin Tensile Strng'!$I$12/'Engine Valve Spring'!AA19^'Table 10-4 EstMin Tensile Strng'!$F$12,IF($D$11='Table 10-4 EstMin Tensile Strng'!$C$13,'Table 10-4 EstMin Tensile Strng'!$I$13/'Engine Valve Spring'!AA19^'Table 10-4 EstMin Tensile Strng'!$F$13,IF($D$11='Table 10-4 EstMin Tensile Strng'!$C$13,'Table 10-4 EstMin Tensile Strng'!$I$14/'Engine Valve Spring'!AA19^'Table 10-4 EstMin Tensile Strng'!$F$14,IF($D$11='Table 10-4 EstMin Tensile Strng'!$C$13,'Table 10-4 EstMin Tensile Strng'!$I$15/'Engine Valve Spring'!AA19^'Table 10-4 EstMin Tensile Strng'!$F$15)))))))))))</f>
        <v>888.32544359998485</v>
      </c>
      <c r="AC19">
        <f t="shared" si="0"/>
        <v>24915.295912599675</v>
      </c>
    </row>
    <row r="20" spans="2:29" x14ac:dyDescent="0.25">
      <c r="B20" s="17" t="s">
        <v>24</v>
      </c>
      <c r="C20" s="58" t="s">
        <v>25</v>
      </c>
      <c r="D20" s="67">
        <v>77.2</v>
      </c>
      <c r="E20" s="1" t="s">
        <v>26</v>
      </c>
      <c r="F20" s="75">
        <f>CONVERT(D20,"GPa","psi")/10^6</f>
        <v>11.19691335277215</v>
      </c>
      <c r="G20" s="16" t="s">
        <v>238</v>
      </c>
      <c r="AA20">
        <v>1.5</v>
      </c>
      <c r="AB20">
        <f>0.56/$D$7*IF($D$11='Table 10-4 EstMin Tensile Strng'!$C$5,'Table 10-4 EstMin Tensile Strng'!$I$5/'Engine Valve Spring'!AA20^'Table 10-4 EstMin Tensile Strng'!$F$5,IF($D$11='Table 10-4 EstMin Tensile Strng'!$C$6,'Table 10-4 EstMin Tensile Strng'!$I$6/'Engine Valve Spring'!AA20^'Table 10-4 EstMin Tensile Strng'!$F$6,IF($D$11='Table 10-4 EstMin Tensile Strng'!$C$7,'Table 10-4 EstMin Tensile Strng'!$I$7/'Engine Valve Spring'!AA20^'Table 10-4 EstMin Tensile Strng'!$F$7,IF($D$11='Table 10-4 EstMin Tensile Strng'!$C$8,'Table 10-4 EstMin Tensile Strng'!$I$8/'Engine Valve Spring'!AA20^'Table 10-4 EstMin Tensile Strng'!$F$8,IF($D$11='Table 10-4 EstMin Tensile Strng'!$C$9,'Table 10-4 EstMin Tensile Strng'!$I$9/'Engine Valve Spring'!AA20^'Table 10-4 EstMin Tensile Strng'!$F$9,IF($D$11='Table 10-4 EstMin Tensile Strng'!$C$10,'Table 10-4 EstMin Tensile Strng'!$I$10/'Engine Valve Spring'!AA20^'Table 10-4 EstMin Tensile Strng'!$F$10,IF($D$11='Table 10-4 EstMin Tensile Strng'!$C$10,'Table 10-4 EstMin Tensile Strng'!$I$11/'Engine Valve Spring'!AA20^'Table 10-4 EstMin Tensile Strng'!$F$11,IF($D$11='Table 10-4 EstMin Tensile Strng'!$C$10,'Table 10-4 EstMin Tensile Strng'!$I$12/'Engine Valve Spring'!AA20^'Table 10-4 EstMin Tensile Strng'!$F$12,IF($D$11='Table 10-4 EstMin Tensile Strng'!$C$13,'Table 10-4 EstMin Tensile Strng'!$I$13/'Engine Valve Spring'!AA20^'Table 10-4 EstMin Tensile Strng'!$F$13,IF($D$11='Table 10-4 EstMin Tensile Strng'!$C$13,'Table 10-4 EstMin Tensile Strng'!$I$14/'Engine Valve Spring'!AA20^'Table 10-4 EstMin Tensile Strng'!$F$14,IF($D$11='Table 10-4 EstMin Tensile Strng'!$C$13,'Table 10-4 EstMin Tensile Strng'!$I$15/'Engine Valve Spring'!AA20^'Table 10-4 EstMin Tensile Strng'!$F$15)))))))))))</f>
        <v>881.73092544496456</v>
      </c>
      <c r="AC20">
        <f t="shared" si="0"/>
        <v>20337.956652289682</v>
      </c>
    </row>
    <row r="21" spans="2:29" ht="18" x14ac:dyDescent="0.35">
      <c r="B21" s="17" t="s">
        <v>133</v>
      </c>
      <c r="C21" s="58" t="s">
        <v>138</v>
      </c>
      <c r="D21" s="80">
        <f>D14^4*(D20*10^3)/(8*D4^3*D13)</f>
        <v>4.6525684808102605</v>
      </c>
      <c r="E21" s="1" t="s">
        <v>7</v>
      </c>
      <c r="F21" s="75">
        <f>D21</f>
        <v>4.6525684808102605</v>
      </c>
      <c r="G21" s="16" t="s">
        <v>7</v>
      </c>
      <c r="AA21">
        <v>1.6</v>
      </c>
      <c r="AB21">
        <f>0.56/$D$7*IF($D$11='Table 10-4 EstMin Tensile Strng'!$C$5,'Table 10-4 EstMin Tensile Strng'!$I$5/'Engine Valve Spring'!AA21^'Table 10-4 EstMin Tensile Strng'!$F$5,IF($D$11='Table 10-4 EstMin Tensile Strng'!$C$6,'Table 10-4 EstMin Tensile Strng'!$I$6/'Engine Valve Spring'!AA21^'Table 10-4 EstMin Tensile Strng'!$F$6,IF($D$11='Table 10-4 EstMin Tensile Strng'!$C$7,'Table 10-4 EstMin Tensile Strng'!$I$7/'Engine Valve Spring'!AA21^'Table 10-4 EstMin Tensile Strng'!$F$7,IF($D$11='Table 10-4 EstMin Tensile Strng'!$C$8,'Table 10-4 EstMin Tensile Strng'!$I$8/'Engine Valve Spring'!AA21^'Table 10-4 EstMin Tensile Strng'!$F$8,IF($D$11='Table 10-4 EstMin Tensile Strng'!$C$9,'Table 10-4 EstMin Tensile Strng'!$I$9/'Engine Valve Spring'!AA21^'Table 10-4 EstMin Tensile Strng'!$F$9,IF($D$11='Table 10-4 EstMin Tensile Strng'!$C$10,'Table 10-4 EstMin Tensile Strng'!$I$10/'Engine Valve Spring'!AA21^'Table 10-4 EstMin Tensile Strng'!$F$10,IF($D$11='Table 10-4 EstMin Tensile Strng'!$C$10,'Table 10-4 EstMin Tensile Strng'!$I$11/'Engine Valve Spring'!AA21^'Table 10-4 EstMin Tensile Strng'!$F$11,IF($D$11='Table 10-4 EstMin Tensile Strng'!$C$10,'Table 10-4 EstMin Tensile Strng'!$I$12/'Engine Valve Spring'!AA21^'Table 10-4 EstMin Tensile Strng'!$F$12,IF($D$11='Table 10-4 EstMin Tensile Strng'!$C$13,'Table 10-4 EstMin Tensile Strng'!$I$13/'Engine Valve Spring'!AA21^'Table 10-4 EstMin Tensile Strng'!$F$13,IF($D$11='Table 10-4 EstMin Tensile Strng'!$C$13,'Table 10-4 EstMin Tensile Strng'!$I$14/'Engine Valve Spring'!AA21^'Table 10-4 EstMin Tensile Strng'!$F$14,IF($D$11='Table 10-4 EstMin Tensile Strng'!$C$13,'Table 10-4 EstMin Tensile Strng'!$I$15/'Engine Valve Spring'!AA21^'Table 10-4 EstMin Tensile Strng'!$F$15)))))))))))</f>
        <v>875.60648851711721</v>
      </c>
      <c r="AC21">
        <f t="shared" si="0"/>
        <v>16824.945312511034</v>
      </c>
    </row>
    <row r="22" spans="2:29" ht="18" x14ac:dyDescent="0.35">
      <c r="B22" s="17" t="s">
        <v>239</v>
      </c>
      <c r="C22" s="58" t="s">
        <v>139</v>
      </c>
      <c r="D22" s="79">
        <f>IF(D5='Table 10-1 Type of Spring Ends'!D3,'Engine Valve Spring'!D21,IF(D5='Table 10-1 Type of Spring Ends'!E3,'Engine Valve Spring'!D21+1,IF(D5='Table 10-1 Type of Spring Ends'!F3,'Engine Valve Spring'!D21+2,IF(D5='Table 10-1 Type of Spring Ends'!G3,'Engine Valve Spring'!D21+2))))</f>
        <v>6.6525684808102605</v>
      </c>
      <c r="E22" s="1" t="s">
        <v>7</v>
      </c>
      <c r="F22" s="75">
        <f>D22</f>
        <v>6.6525684808102605</v>
      </c>
      <c r="G22" s="16" t="s">
        <v>7</v>
      </c>
      <c r="AA22">
        <v>1.7</v>
      </c>
      <c r="AB22">
        <f>0.56/$D$7*IF($D$11='Table 10-4 EstMin Tensile Strng'!$C$5,'Table 10-4 EstMin Tensile Strng'!$I$5/'Engine Valve Spring'!AA22^'Table 10-4 EstMin Tensile Strng'!$F$5,IF($D$11='Table 10-4 EstMin Tensile Strng'!$C$6,'Table 10-4 EstMin Tensile Strng'!$I$6/'Engine Valve Spring'!AA22^'Table 10-4 EstMin Tensile Strng'!$F$6,IF($D$11='Table 10-4 EstMin Tensile Strng'!$C$7,'Table 10-4 EstMin Tensile Strng'!$I$7/'Engine Valve Spring'!AA22^'Table 10-4 EstMin Tensile Strng'!$F$7,IF($D$11='Table 10-4 EstMin Tensile Strng'!$C$8,'Table 10-4 EstMin Tensile Strng'!$I$8/'Engine Valve Spring'!AA22^'Table 10-4 EstMin Tensile Strng'!$F$8,IF($D$11='Table 10-4 EstMin Tensile Strng'!$C$9,'Table 10-4 EstMin Tensile Strng'!$I$9/'Engine Valve Spring'!AA22^'Table 10-4 EstMin Tensile Strng'!$F$9,IF($D$11='Table 10-4 EstMin Tensile Strng'!$C$10,'Table 10-4 EstMin Tensile Strng'!$I$10/'Engine Valve Spring'!AA22^'Table 10-4 EstMin Tensile Strng'!$F$10,IF($D$11='Table 10-4 EstMin Tensile Strng'!$C$10,'Table 10-4 EstMin Tensile Strng'!$I$11/'Engine Valve Spring'!AA22^'Table 10-4 EstMin Tensile Strng'!$F$11,IF($D$11='Table 10-4 EstMin Tensile Strng'!$C$10,'Table 10-4 EstMin Tensile Strng'!$I$12/'Engine Valve Spring'!AA22^'Table 10-4 EstMin Tensile Strng'!$F$12,IF($D$11='Table 10-4 EstMin Tensile Strng'!$C$13,'Table 10-4 EstMin Tensile Strng'!$I$13/'Engine Valve Spring'!AA22^'Table 10-4 EstMin Tensile Strng'!$F$13,IF($D$11='Table 10-4 EstMin Tensile Strng'!$C$13,'Table 10-4 EstMin Tensile Strng'!$I$14/'Engine Valve Spring'!AA22^'Table 10-4 EstMin Tensile Strng'!$F$14,IF($D$11='Table 10-4 EstMin Tensile Strng'!$C$13,'Table 10-4 EstMin Tensile Strng'!$I$15/'Engine Valve Spring'!AA22^'Table 10-4 EstMin Tensile Strng'!$F$15)))))))))))</f>
        <v>869.89221818631427</v>
      </c>
      <c r="AC22">
        <f t="shared" si="0"/>
        <v>14083.18721301096</v>
      </c>
    </row>
    <row r="23" spans="2:29" ht="18" x14ac:dyDescent="0.35">
      <c r="B23" s="17" t="s">
        <v>269</v>
      </c>
      <c r="C23" s="58" t="s">
        <v>247</v>
      </c>
      <c r="D23" s="83">
        <f>IF(D5='Table 10-1 Type of Spring Ends'!D3,D14*(D22+1),IF(D5='Table 10-1 Type of Spring Ends'!E3,D14*D22,IF(D5='Table 10-1 Type of Spring Ends'!F3,D14*(D22+1),IF(D5='Table 10-1 Type of Spring Ends'!G3,D14*D22))))</f>
        <v>28.864184082245004</v>
      </c>
      <c r="E23" s="1" t="s">
        <v>4</v>
      </c>
      <c r="F23" s="75">
        <f>CONVERT(D23,"mm","in")</f>
        <v>1.1363852000883858</v>
      </c>
      <c r="G23" s="16" t="s">
        <v>190</v>
      </c>
      <c r="AA23">
        <v>1.8</v>
      </c>
      <c r="AB23">
        <f>0.56/$D$7*IF($D$11='Table 10-4 EstMin Tensile Strng'!$C$5,'Table 10-4 EstMin Tensile Strng'!$I$5/'Engine Valve Spring'!AA23^'Table 10-4 EstMin Tensile Strng'!$F$5,IF($D$11='Table 10-4 EstMin Tensile Strng'!$C$6,'Table 10-4 EstMin Tensile Strng'!$I$6/'Engine Valve Spring'!AA23^'Table 10-4 EstMin Tensile Strng'!$F$6,IF($D$11='Table 10-4 EstMin Tensile Strng'!$C$7,'Table 10-4 EstMin Tensile Strng'!$I$7/'Engine Valve Spring'!AA23^'Table 10-4 EstMin Tensile Strng'!$F$7,IF($D$11='Table 10-4 EstMin Tensile Strng'!$C$8,'Table 10-4 EstMin Tensile Strng'!$I$8/'Engine Valve Spring'!AA23^'Table 10-4 EstMin Tensile Strng'!$F$8,IF($D$11='Table 10-4 EstMin Tensile Strng'!$C$9,'Table 10-4 EstMin Tensile Strng'!$I$9/'Engine Valve Spring'!AA23^'Table 10-4 EstMin Tensile Strng'!$F$9,IF($D$11='Table 10-4 EstMin Tensile Strng'!$C$10,'Table 10-4 EstMin Tensile Strng'!$I$10/'Engine Valve Spring'!AA23^'Table 10-4 EstMin Tensile Strng'!$F$10,IF($D$11='Table 10-4 EstMin Tensile Strng'!$C$10,'Table 10-4 EstMin Tensile Strng'!$I$11/'Engine Valve Spring'!AA23^'Table 10-4 EstMin Tensile Strng'!$F$11,IF($D$11='Table 10-4 EstMin Tensile Strng'!$C$10,'Table 10-4 EstMin Tensile Strng'!$I$12/'Engine Valve Spring'!AA23^'Table 10-4 EstMin Tensile Strng'!$F$12,IF($D$11='Table 10-4 EstMin Tensile Strng'!$C$13,'Table 10-4 EstMin Tensile Strng'!$I$13/'Engine Valve Spring'!AA23^'Table 10-4 EstMin Tensile Strng'!$F$13,IF($D$11='Table 10-4 EstMin Tensile Strng'!$C$13,'Table 10-4 EstMin Tensile Strng'!$I$14/'Engine Valve Spring'!AA23^'Table 10-4 EstMin Tensile Strng'!$F$14,IF($D$11='Table 10-4 EstMin Tensile Strng'!$C$13,'Table 10-4 EstMin Tensile Strng'!$I$15/'Engine Valve Spring'!AA23^'Table 10-4 EstMin Tensile Strng'!$F$15)))))))))))</f>
        <v>864.53881952694258</v>
      </c>
      <c r="AC23">
        <f t="shared" si="0"/>
        <v>11911.485258784542</v>
      </c>
    </row>
    <row r="24" spans="2:29" ht="18" x14ac:dyDescent="0.35">
      <c r="B24" s="17" t="s">
        <v>270</v>
      </c>
      <c r="C24" s="58" t="s">
        <v>271</v>
      </c>
      <c r="D24" s="79">
        <f>(1+D8)*D3</f>
        <v>919.99999999999989</v>
      </c>
      <c r="E24" s="1" t="s">
        <v>2</v>
      </c>
      <c r="F24" s="79">
        <f>CONVERT(D24,"N","lbf")</f>
        <v>206.82422765173359</v>
      </c>
      <c r="G24" s="16" t="s">
        <v>1</v>
      </c>
      <c r="AA24">
        <v>1.9</v>
      </c>
      <c r="AB24">
        <f>0.56/$D$7*IF($D$11='Table 10-4 EstMin Tensile Strng'!$C$5,'Table 10-4 EstMin Tensile Strng'!$I$5/'Engine Valve Spring'!AA24^'Table 10-4 EstMin Tensile Strng'!$F$5,IF($D$11='Table 10-4 EstMin Tensile Strng'!$C$6,'Table 10-4 EstMin Tensile Strng'!$I$6/'Engine Valve Spring'!AA24^'Table 10-4 EstMin Tensile Strng'!$F$6,IF($D$11='Table 10-4 EstMin Tensile Strng'!$C$7,'Table 10-4 EstMin Tensile Strng'!$I$7/'Engine Valve Spring'!AA24^'Table 10-4 EstMin Tensile Strng'!$F$7,IF($D$11='Table 10-4 EstMin Tensile Strng'!$C$8,'Table 10-4 EstMin Tensile Strng'!$I$8/'Engine Valve Spring'!AA24^'Table 10-4 EstMin Tensile Strng'!$F$8,IF($D$11='Table 10-4 EstMin Tensile Strng'!$C$9,'Table 10-4 EstMin Tensile Strng'!$I$9/'Engine Valve Spring'!AA24^'Table 10-4 EstMin Tensile Strng'!$F$9,IF($D$11='Table 10-4 EstMin Tensile Strng'!$C$10,'Table 10-4 EstMin Tensile Strng'!$I$10/'Engine Valve Spring'!AA24^'Table 10-4 EstMin Tensile Strng'!$F$10,IF($D$11='Table 10-4 EstMin Tensile Strng'!$C$10,'Table 10-4 EstMin Tensile Strng'!$I$11/'Engine Valve Spring'!AA24^'Table 10-4 EstMin Tensile Strng'!$F$11,IF($D$11='Table 10-4 EstMin Tensile Strng'!$C$10,'Table 10-4 EstMin Tensile Strng'!$I$12/'Engine Valve Spring'!AA24^'Table 10-4 EstMin Tensile Strng'!$F$12,IF($D$11='Table 10-4 EstMin Tensile Strng'!$C$13,'Table 10-4 EstMin Tensile Strng'!$I$13/'Engine Valve Spring'!AA24^'Table 10-4 EstMin Tensile Strng'!$F$13,IF($D$11='Table 10-4 EstMin Tensile Strng'!$C$13,'Table 10-4 EstMin Tensile Strng'!$I$14/'Engine Valve Spring'!AA24^'Table 10-4 EstMin Tensile Strng'!$F$14,IF($D$11='Table 10-4 EstMin Tensile Strng'!$C$13,'Table 10-4 EstMin Tensile Strng'!$I$15/'Engine Valve Spring'!AA24^'Table 10-4 EstMin Tensile Strng'!$F$15)))))))))))</f>
        <v>859.50526309303211</v>
      </c>
      <c r="AC24">
        <f t="shared" si="0"/>
        <v>10168.572073097228</v>
      </c>
    </row>
    <row r="25" spans="2:29" ht="18" x14ac:dyDescent="0.35">
      <c r="B25" s="61" t="s">
        <v>268</v>
      </c>
      <c r="C25" s="9" t="s">
        <v>272</v>
      </c>
      <c r="D25" s="88">
        <f>D24/D13+D23</f>
        <v>68.923612653673558</v>
      </c>
      <c r="E25" s="2" t="s">
        <v>4</v>
      </c>
      <c r="F25" s="84">
        <f>CONVERT(D25,"mm","in")</f>
        <v>2.7135280572312426</v>
      </c>
      <c r="G25" s="62" t="s">
        <v>190</v>
      </c>
      <c r="AA25">
        <v>2</v>
      </c>
      <c r="AB25">
        <f>0.56/$D$7*IF($D$11='Table 10-4 EstMin Tensile Strng'!$C$5,'Table 10-4 EstMin Tensile Strng'!$I$5/'Engine Valve Spring'!AA25^'Table 10-4 EstMin Tensile Strng'!$F$5,IF($D$11='Table 10-4 EstMin Tensile Strng'!$C$6,'Table 10-4 EstMin Tensile Strng'!$I$6/'Engine Valve Spring'!AA25^'Table 10-4 EstMin Tensile Strng'!$F$6,IF($D$11='Table 10-4 EstMin Tensile Strng'!$C$7,'Table 10-4 EstMin Tensile Strng'!$I$7/'Engine Valve Spring'!AA25^'Table 10-4 EstMin Tensile Strng'!$F$7,IF($D$11='Table 10-4 EstMin Tensile Strng'!$C$8,'Table 10-4 EstMin Tensile Strng'!$I$8/'Engine Valve Spring'!AA25^'Table 10-4 EstMin Tensile Strng'!$F$8,IF($D$11='Table 10-4 EstMin Tensile Strng'!$C$9,'Table 10-4 EstMin Tensile Strng'!$I$9/'Engine Valve Spring'!AA25^'Table 10-4 EstMin Tensile Strng'!$F$9,IF($D$11='Table 10-4 EstMin Tensile Strng'!$C$10,'Table 10-4 EstMin Tensile Strng'!$I$10/'Engine Valve Spring'!AA25^'Table 10-4 EstMin Tensile Strng'!$F$10,IF($D$11='Table 10-4 EstMin Tensile Strng'!$C$10,'Table 10-4 EstMin Tensile Strng'!$I$11/'Engine Valve Spring'!AA25^'Table 10-4 EstMin Tensile Strng'!$F$11,IF($D$11='Table 10-4 EstMin Tensile Strng'!$C$10,'Table 10-4 EstMin Tensile Strng'!$I$12/'Engine Valve Spring'!AA25^'Table 10-4 EstMin Tensile Strng'!$F$12,IF($D$11='Table 10-4 EstMin Tensile Strng'!$C$13,'Table 10-4 EstMin Tensile Strng'!$I$13/'Engine Valve Spring'!AA25^'Table 10-4 EstMin Tensile Strng'!$F$13,IF($D$11='Table 10-4 EstMin Tensile Strng'!$C$13,'Table 10-4 EstMin Tensile Strng'!$I$14/'Engine Valve Spring'!AA25^'Table 10-4 EstMin Tensile Strng'!$F$14,IF($D$11='Table 10-4 EstMin Tensile Strng'!$C$13,'Table 10-4 EstMin Tensile Strng'!$I$15/'Engine Valve Spring'!AA25^'Table 10-4 EstMin Tensile Strng'!$F$15)))))))))))</f>
        <v>854.75704652534569</v>
      </c>
      <c r="AC25">
        <f t="shared" si="0"/>
        <v>8753.2588040326045</v>
      </c>
    </row>
    <row r="26" spans="2:29" ht="15.75" thickBot="1" x14ac:dyDescent="0.3">
      <c r="B26" s="63" t="s">
        <v>73</v>
      </c>
      <c r="C26" s="64" t="s">
        <v>74</v>
      </c>
      <c r="D26" s="87">
        <f>IF(D5='Table 10-1 Type of Spring Ends'!D3,(D25-D14)/D21,IF(D5='Table 10-1 Type of Spring Ends'!E3,D25/(D21+1),IF(D5='Table 10-1 Type of Spring Ends'!F3,(D25-3*D14)/D21,IF(D5='Table 10-1 Type of Spring Ends'!G3,(D25-2*D14)/D21))))</f>
        <v>12.948977946732235</v>
      </c>
      <c r="E26" s="65" t="s">
        <v>4</v>
      </c>
      <c r="F26" s="85">
        <f>CONVERT(D26,"mm","in")</f>
        <v>0.5098022813674109</v>
      </c>
      <c r="G26" s="66" t="s">
        <v>190</v>
      </c>
      <c r="AA26">
        <v>2.1</v>
      </c>
      <c r="AB26">
        <f>0.56/$D$7*IF($D$11='Table 10-4 EstMin Tensile Strng'!$C$5,'Table 10-4 EstMin Tensile Strng'!$I$5/'Engine Valve Spring'!AA26^'Table 10-4 EstMin Tensile Strng'!$F$5,IF($D$11='Table 10-4 EstMin Tensile Strng'!$C$6,'Table 10-4 EstMin Tensile Strng'!$I$6/'Engine Valve Spring'!AA26^'Table 10-4 EstMin Tensile Strng'!$F$6,IF($D$11='Table 10-4 EstMin Tensile Strng'!$C$7,'Table 10-4 EstMin Tensile Strng'!$I$7/'Engine Valve Spring'!AA26^'Table 10-4 EstMin Tensile Strng'!$F$7,IF($D$11='Table 10-4 EstMin Tensile Strng'!$C$8,'Table 10-4 EstMin Tensile Strng'!$I$8/'Engine Valve Spring'!AA26^'Table 10-4 EstMin Tensile Strng'!$F$8,IF($D$11='Table 10-4 EstMin Tensile Strng'!$C$9,'Table 10-4 EstMin Tensile Strng'!$I$9/'Engine Valve Spring'!AA26^'Table 10-4 EstMin Tensile Strng'!$F$9,IF($D$11='Table 10-4 EstMin Tensile Strng'!$C$10,'Table 10-4 EstMin Tensile Strng'!$I$10/'Engine Valve Spring'!AA26^'Table 10-4 EstMin Tensile Strng'!$F$10,IF($D$11='Table 10-4 EstMin Tensile Strng'!$C$10,'Table 10-4 EstMin Tensile Strng'!$I$11/'Engine Valve Spring'!AA26^'Table 10-4 EstMin Tensile Strng'!$F$11,IF($D$11='Table 10-4 EstMin Tensile Strng'!$C$10,'Table 10-4 EstMin Tensile Strng'!$I$12/'Engine Valve Spring'!AA26^'Table 10-4 EstMin Tensile Strng'!$F$12,IF($D$11='Table 10-4 EstMin Tensile Strng'!$C$13,'Table 10-4 EstMin Tensile Strng'!$I$13/'Engine Valve Spring'!AA26^'Table 10-4 EstMin Tensile Strng'!$F$13,IF($D$11='Table 10-4 EstMin Tensile Strng'!$C$13,'Table 10-4 EstMin Tensile Strng'!$I$14/'Engine Valve Spring'!AA26^'Table 10-4 EstMin Tensile Strng'!$F$14,IF($D$11='Table 10-4 EstMin Tensile Strng'!$C$13,'Table 10-4 EstMin Tensile Strng'!$I$15/'Engine Valve Spring'!AA26^'Table 10-4 EstMin Tensile Strng'!$F$15)))))))))))</f>
        <v>850.26488871224831</v>
      </c>
      <c r="AC26">
        <f t="shared" si="0"/>
        <v>7591.7607249276361</v>
      </c>
    </row>
    <row r="27" spans="2:29" ht="18" x14ac:dyDescent="0.35">
      <c r="B27" s="107" t="s">
        <v>297</v>
      </c>
      <c r="C27" s="108" t="s">
        <v>299</v>
      </c>
      <c r="D27" s="109">
        <f>(D2+D3)/2</f>
        <v>537.5</v>
      </c>
      <c r="E27" s="110" t="s">
        <v>2</v>
      </c>
      <c r="F27" s="78">
        <f>CONVERT(D27,"N","lbf")</f>
        <v>120.83480691609438</v>
      </c>
      <c r="G27" s="55" t="s">
        <v>1</v>
      </c>
      <c r="AA27">
        <v>2.2000000000000002</v>
      </c>
      <c r="AB27">
        <f>0.56/$D$7*IF($D$11='Table 10-4 EstMin Tensile Strng'!$C$5,'Table 10-4 EstMin Tensile Strng'!$I$5/'Engine Valve Spring'!AA27^'Table 10-4 EstMin Tensile Strng'!$F$5,IF($D$11='Table 10-4 EstMin Tensile Strng'!$C$6,'Table 10-4 EstMin Tensile Strng'!$I$6/'Engine Valve Spring'!AA27^'Table 10-4 EstMin Tensile Strng'!$F$6,IF($D$11='Table 10-4 EstMin Tensile Strng'!$C$7,'Table 10-4 EstMin Tensile Strng'!$I$7/'Engine Valve Spring'!AA27^'Table 10-4 EstMin Tensile Strng'!$F$7,IF($D$11='Table 10-4 EstMin Tensile Strng'!$C$8,'Table 10-4 EstMin Tensile Strng'!$I$8/'Engine Valve Spring'!AA27^'Table 10-4 EstMin Tensile Strng'!$F$8,IF($D$11='Table 10-4 EstMin Tensile Strng'!$C$9,'Table 10-4 EstMin Tensile Strng'!$I$9/'Engine Valve Spring'!AA27^'Table 10-4 EstMin Tensile Strng'!$F$9,IF($D$11='Table 10-4 EstMin Tensile Strng'!$C$10,'Table 10-4 EstMin Tensile Strng'!$I$10/'Engine Valve Spring'!AA27^'Table 10-4 EstMin Tensile Strng'!$F$10,IF($D$11='Table 10-4 EstMin Tensile Strng'!$C$10,'Table 10-4 EstMin Tensile Strng'!$I$11/'Engine Valve Spring'!AA27^'Table 10-4 EstMin Tensile Strng'!$F$11,IF($D$11='Table 10-4 EstMin Tensile Strng'!$C$10,'Table 10-4 EstMin Tensile Strng'!$I$12/'Engine Valve Spring'!AA27^'Table 10-4 EstMin Tensile Strng'!$F$12,IF($D$11='Table 10-4 EstMin Tensile Strng'!$C$13,'Table 10-4 EstMin Tensile Strng'!$I$13/'Engine Valve Spring'!AA27^'Table 10-4 EstMin Tensile Strng'!$F$13,IF($D$11='Table 10-4 EstMin Tensile Strng'!$C$13,'Table 10-4 EstMin Tensile Strng'!$I$14/'Engine Valve Spring'!AA27^'Table 10-4 EstMin Tensile Strng'!$F$14,IF($D$11='Table 10-4 EstMin Tensile Strng'!$C$13,'Table 10-4 EstMin Tensile Strng'!$I$15/'Engine Valve Spring'!AA27^'Table 10-4 EstMin Tensile Strng'!$F$15)))))))))))</f>
        <v>846.00373376237644</v>
      </c>
      <c r="AC27">
        <f t="shared" si="0"/>
        <v>6629.4067591597523</v>
      </c>
    </row>
    <row r="28" spans="2:29" ht="18" x14ac:dyDescent="0.35">
      <c r="B28" s="61" t="s">
        <v>298</v>
      </c>
      <c r="C28" s="9" t="s">
        <v>300</v>
      </c>
      <c r="D28" s="86">
        <f>(D3-D2)/2</f>
        <v>262.5</v>
      </c>
      <c r="E28" s="2" t="s">
        <v>2</v>
      </c>
      <c r="F28" s="79">
        <f>CONVERT(D28,"N","lbf")</f>
        <v>59.012347563673998</v>
      </c>
      <c r="G28" s="16" t="s">
        <v>1</v>
      </c>
      <c r="AA28">
        <v>2.2999999999999998</v>
      </c>
      <c r="AB28">
        <f>0.56/$D$7*IF($D$11='Table 10-4 EstMin Tensile Strng'!$C$5,'Table 10-4 EstMin Tensile Strng'!$I$5/'Engine Valve Spring'!AA28^'Table 10-4 EstMin Tensile Strng'!$F$5,IF($D$11='Table 10-4 EstMin Tensile Strng'!$C$6,'Table 10-4 EstMin Tensile Strng'!$I$6/'Engine Valve Spring'!AA28^'Table 10-4 EstMin Tensile Strng'!$F$6,IF($D$11='Table 10-4 EstMin Tensile Strng'!$C$7,'Table 10-4 EstMin Tensile Strng'!$I$7/'Engine Valve Spring'!AA28^'Table 10-4 EstMin Tensile Strng'!$F$7,IF($D$11='Table 10-4 EstMin Tensile Strng'!$C$8,'Table 10-4 EstMin Tensile Strng'!$I$8/'Engine Valve Spring'!AA28^'Table 10-4 EstMin Tensile Strng'!$F$8,IF($D$11='Table 10-4 EstMin Tensile Strng'!$C$9,'Table 10-4 EstMin Tensile Strng'!$I$9/'Engine Valve Spring'!AA28^'Table 10-4 EstMin Tensile Strng'!$F$9,IF($D$11='Table 10-4 EstMin Tensile Strng'!$C$10,'Table 10-4 EstMin Tensile Strng'!$I$10/'Engine Valve Spring'!AA28^'Table 10-4 EstMin Tensile Strng'!$F$10,IF($D$11='Table 10-4 EstMin Tensile Strng'!$C$10,'Table 10-4 EstMin Tensile Strng'!$I$11/'Engine Valve Spring'!AA28^'Table 10-4 EstMin Tensile Strng'!$F$11,IF($D$11='Table 10-4 EstMin Tensile Strng'!$C$10,'Table 10-4 EstMin Tensile Strng'!$I$12/'Engine Valve Spring'!AA28^'Table 10-4 EstMin Tensile Strng'!$F$12,IF($D$11='Table 10-4 EstMin Tensile Strng'!$C$13,'Table 10-4 EstMin Tensile Strng'!$I$13/'Engine Valve Spring'!AA28^'Table 10-4 EstMin Tensile Strng'!$F$13,IF($D$11='Table 10-4 EstMin Tensile Strng'!$C$13,'Table 10-4 EstMin Tensile Strng'!$I$14/'Engine Valve Spring'!AA28^'Table 10-4 EstMin Tensile Strng'!$F$14,IF($D$11='Table 10-4 EstMin Tensile Strng'!$C$13,'Table 10-4 EstMin Tensile Strng'!$I$15/'Engine Valve Spring'!AA28^'Table 10-4 EstMin Tensile Strng'!$F$15)))))))))))</f>
        <v>841.95198078503154</v>
      </c>
      <c r="AC28">
        <f t="shared" si="0"/>
        <v>5825.097577740511</v>
      </c>
    </row>
    <row r="29" spans="2:29" ht="18" x14ac:dyDescent="0.35">
      <c r="B29" s="17" t="s">
        <v>301</v>
      </c>
      <c r="C29" s="1" t="s">
        <v>132</v>
      </c>
      <c r="D29" s="89">
        <f>IF(D11='Table 10-4 EstMin Tensile Strng'!C5,'Table 10-4 EstMin Tensile Strng'!I5/'Engine Valve Spring'!D14^'Table 10-4 EstMin Tensile Strng'!F5,IF(D11='Table 10-4 EstMin Tensile Strng'!C6,'Table 10-4 EstMin Tensile Strng'!I6/'Engine Valve Spring'!D14^'Table 10-4 EstMin Tensile Strng'!F6,IF(D11='Table 10-4 EstMin Tensile Strng'!C7,'Table 10-4 EstMin Tensile Strng'!I7/'Engine Valve Spring'!D14^'Table 10-4 EstMin Tensile Strng'!F7,IF(D11='Table 10-4 EstMin Tensile Strng'!C8,'Table 10-4 EstMin Tensile Strng'!I8/'Engine Valve Spring'!D14^'Table 10-4 EstMin Tensile Strng'!F8,IF(D11='Table 10-4 EstMin Tensile Strng'!C9,'Table 10-4 EstMin Tensile Strng'!I9/'Engine Valve Spring'!D14^'Table 10-4 EstMin Tensile Strng'!F9,IF(D11='Table 10-4 EstMin Tensile Strng'!C10,'Table 10-4 EstMin Tensile Strng'!I10/'Engine Valve Spring'!D14^'Table 10-4 EstMin Tensile Strng'!F10,IF(D11='Table 10-4 EstMin Tensile Strng'!C10,'Table 10-4 EstMin Tensile Strng'!I11/'Engine Valve Spring'!D14^'Table 10-4 EstMin Tensile Strng'!F11,IF(D11='Table 10-4 EstMin Tensile Strng'!C10,'Table 10-4 EstMin Tensile Strng'!I12/'Engine Valve Spring'!D14^'Table 10-4 EstMin Tensile Strng'!F12,IF(D11='Table 10-4 EstMin Tensile Strng'!C13,'Table 10-4 EstMin Tensile Strng'!I13/'Engine Valve Spring'!D14^'Table 10-4 EstMin Tensile Strng'!F13,IF(D11='Table 10-4 EstMin Tensile Strng'!C13,'Table 10-4 EstMin Tensile Strng'!I14/'Engine Valve Spring'!D14^'Table 10-4 EstMin Tensile Strng'!F14,IF(D11='Table 10-4 EstMin Tensile Strng'!C13,'Table 10-4 EstMin Tensile Strng'!I15/'Engine Valve Spring'!D14^'Table 10-4 EstMin Tensile Strng'!F15)))))))))))</f>
        <v>1684.6558550540542</v>
      </c>
      <c r="E29" s="4" t="s">
        <v>21</v>
      </c>
      <c r="F29" s="75">
        <f>CONVERT(D29,"Pa","psi")*10^3</f>
        <v>244.33867407099126</v>
      </c>
      <c r="G29" s="16" t="s">
        <v>20</v>
      </c>
      <c r="AA29">
        <v>2.4</v>
      </c>
      <c r="AB29">
        <f>0.56/$D$7*IF($D$11='Table 10-4 EstMin Tensile Strng'!$C$5,'Table 10-4 EstMin Tensile Strng'!$I$5/'Engine Valve Spring'!AA29^'Table 10-4 EstMin Tensile Strng'!$F$5,IF($D$11='Table 10-4 EstMin Tensile Strng'!$C$6,'Table 10-4 EstMin Tensile Strng'!$I$6/'Engine Valve Spring'!AA29^'Table 10-4 EstMin Tensile Strng'!$F$6,IF($D$11='Table 10-4 EstMin Tensile Strng'!$C$7,'Table 10-4 EstMin Tensile Strng'!$I$7/'Engine Valve Spring'!AA29^'Table 10-4 EstMin Tensile Strng'!$F$7,IF($D$11='Table 10-4 EstMin Tensile Strng'!$C$8,'Table 10-4 EstMin Tensile Strng'!$I$8/'Engine Valve Spring'!AA29^'Table 10-4 EstMin Tensile Strng'!$F$8,IF($D$11='Table 10-4 EstMin Tensile Strng'!$C$9,'Table 10-4 EstMin Tensile Strng'!$I$9/'Engine Valve Spring'!AA29^'Table 10-4 EstMin Tensile Strng'!$F$9,IF($D$11='Table 10-4 EstMin Tensile Strng'!$C$10,'Table 10-4 EstMin Tensile Strng'!$I$10/'Engine Valve Spring'!AA29^'Table 10-4 EstMin Tensile Strng'!$F$10,IF($D$11='Table 10-4 EstMin Tensile Strng'!$C$10,'Table 10-4 EstMin Tensile Strng'!$I$11/'Engine Valve Spring'!AA29^'Table 10-4 EstMin Tensile Strng'!$F$11,IF($D$11='Table 10-4 EstMin Tensile Strng'!$C$10,'Table 10-4 EstMin Tensile Strng'!$I$12/'Engine Valve Spring'!AA29^'Table 10-4 EstMin Tensile Strng'!$F$12,IF($D$11='Table 10-4 EstMin Tensile Strng'!$C$13,'Table 10-4 EstMin Tensile Strng'!$I$13/'Engine Valve Spring'!AA29^'Table 10-4 EstMin Tensile Strng'!$F$13,IF($D$11='Table 10-4 EstMin Tensile Strng'!$C$13,'Table 10-4 EstMin Tensile Strng'!$I$14/'Engine Valve Spring'!AA29^'Table 10-4 EstMin Tensile Strng'!$F$14,IF($D$11='Table 10-4 EstMin Tensile Strng'!$C$13,'Table 10-4 EstMin Tensile Strng'!$I$15/'Engine Valve Spring'!AA29^'Table 10-4 EstMin Tensile Strng'!$F$15)))))))))))</f>
        <v>838.0908808573746</v>
      </c>
      <c r="AC29">
        <f t="shared" si="0"/>
        <v>5147.5277670306987</v>
      </c>
    </row>
    <row r="30" spans="2:29" ht="18" x14ac:dyDescent="0.35">
      <c r="B30" s="17" t="s">
        <v>201</v>
      </c>
      <c r="C30" s="4" t="s">
        <v>200</v>
      </c>
      <c r="D30" s="79">
        <f>0.56*D29</f>
        <v>943.40727883027046</v>
      </c>
      <c r="E30" s="4" t="s">
        <v>21</v>
      </c>
      <c r="F30" s="75">
        <f>CONVERT(D30,"Pa","psi")*10^3</f>
        <v>136.82965747975513</v>
      </c>
      <c r="G30" s="16" t="s">
        <v>20</v>
      </c>
      <c r="AA30">
        <v>2.5</v>
      </c>
      <c r="AB30">
        <f>0.56/$D$7*IF($D$11='Table 10-4 EstMin Tensile Strng'!$C$5,'Table 10-4 EstMin Tensile Strng'!$I$5/'Engine Valve Spring'!AA30^'Table 10-4 EstMin Tensile Strng'!$F$5,IF($D$11='Table 10-4 EstMin Tensile Strng'!$C$6,'Table 10-4 EstMin Tensile Strng'!$I$6/'Engine Valve Spring'!AA30^'Table 10-4 EstMin Tensile Strng'!$F$6,IF($D$11='Table 10-4 EstMin Tensile Strng'!$C$7,'Table 10-4 EstMin Tensile Strng'!$I$7/'Engine Valve Spring'!AA30^'Table 10-4 EstMin Tensile Strng'!$F$7,IF($D$11='Table 10-4 EstMin Tensile Strng'!$C$8,'Table 10-4 EstMin Tensile Strng'!$I$8/'Engine Valve Spring'!AA30^'Table 10-4 EstMin Tensile Strng'!$F$8,IF($D$11='Table 10-4 EstMin Tensile Strng'!$C$9,'Table 10-4 EstMin Tensile Strng'!$I$9/'Engine Valve Spring'!AA30^'Table 10-4 EstMin Tensile Strng'!$F$9,IF($D$11='Table 10-4 EstMin Tensile Strng'!$C$10,'Table 10-4 EstMin Tensile Strng'!$I$10/'Engine Valve Spring'!AA30^'Table 10-4 EstMin Tensile Strng'!$F$10,IF($D$11='Table 10-4 EstMin Tensile Strng'!$C$10,'Table 10-4 EstMin Tensile Strng'!$I$11/'Engine Valve Spring'!AA30^'Table 10-4 EstMin Tensile Strng'!$F$11,IF($D$11='Table 10-4 EstMin Tensile Strng'!$C$10,'Table 10-4 EstMin Tensile Strng'!$I$12/'Engine Valve Spring'!AA30^'Table 10-4 EstMin Tensile Strng'!$F$12,IF($D$11='Table 10-4 EstMin Tensile Strng'!$C$13,'Table 10-4 EstMin Tensile Strng'!$I$13/'Engine Valve Spring'!AA30^'Table 10-4 EstMin Tensile Strng'!$F$13,IF($D$11='Table 10-4 EstMin Tensile Strng'!$C$13,'Table 10-4 EstMin Tensile Strng'!$I$14/'Engine Valve Spring'!AA30^'Table 10-4 EstMin Tensile Strng'!$F$14,IF($D$11='Table 10-4 EstMin Tensile Strng'!$C$13,'Table 10-4 EstMin Tensile Strng'!$I$15/'Engine Valve Spring'!AA30^'Table 10-4 EstMin Tensile Strng'!$F$15)))))))))))</f>
        <v>834.4040595474064</v>
      </c>
      <c r="AC30">
        <f t="shared" si="0"/>
        <v>4572.564400295154</v>
      </c>
    </row>
    <row r="31" spans="2:29" ht="18" x14ac:dyDescent="0.35">
      <c r="B31" s="17" t="s">
        <v>287</v>
      </c>
      <c r="C31" s="58" t="s">
        <v>286</v>
      </c>
      <c r="D31" s="79">
        <f>D30/D7</f>
        <v>786.17273235855873</v>
      </c>
      <c r="E31" s="4" t="s">
        <v>21</v>
      </c>
      <c r="F31" s="75">
        <f>CONVERT(D31,"Pa","psi")*10^3</f>
        <v>114.02471456646259</v>
      </c>
      <c r="G31" s="16" t="s">
        <v>20</v>
      </c>
      <c r="AA31">
        <v>2.6</v>
      </c>
      <c r="AB31">
        <f>0.56/$D$7*IF($D$11='Table 10-4 EstMin Tensile Strng'!$C$5,'Table 10-4 EstMin Tensile Strng'!$I$5/'Engine Valve Spring'!AA31^'Table 10-4 EstMin Tensile Strng'!$F$5,IF($D$11='Table 10-4 EstMin Tensile Strng'!$C$6,'Table 10-4 EstMin Tensile Strng'!$I$6/'Engine Valve Spring'!AA31^'Table 10-4 EstMin Tensile Strng'!$F$6,IF($D$11='Table 10-4 EstMin Tensile Strng'!$C$7,'Table 10-4 EstMin Tensile Strng'!$I$7/'Engine Valve Spring'!AA31^'Table 10-4 EstMin Tensile Strng'!$F$7,IF($D$11='Table 10-4 EstMin Tensile Strng'!$C$8,'Table 10-4 EstMin Tensile Strng'!$I$8/'Engine Valve Spring'!AA31^'Table 10-4 EstMin Tensile Strng'!$F$8,IF($D$11='Table 10-4 EstMin Tensile Strng'!$C$9,'Table 10-4 EstMin Tensile Strng'!$I$9/'Engine Valve Spring'!AA31^'Table 10-4 EstMin Tensile Strng'!$F$9,IF($D$11='Table 10-4 EstMin Tensile Strng'!$C$10,'Table 10-4 EstMin Tensile Strng'!$I$10/'Engine Valve Spring'!AA31^'Table 10-4 EstMin Tensile Strng'!$F$10,IF($D$11='Table 10-4 EstMin Tensile Strng'!$C$10,'Table 10-4 EstMin Tensile Strng'!$I$11/'Engine Valve Spring'!AA31^'Table 10-4 EstMin Tensile Strng'!$F$11,IF($D$11='Table 10-4 EstMin Tensile Strng'!$C$10,'Table 10-4 EstMin Tensile Strng'!$I$12/'Engine Valve Spring'!AA31^'Table 10-4 EstMin Tensile Strng'!$F$12,IF($D$11='Table 10-4 EstMin Tensile Strng'!$C$13,'Table 10-4 EstMin Tensile Strng'!$I$13/'Engine Valve Spring'!AA31^'Table 10-4 EstMin Tensile Strng'!$F$13,IF($D$11='Table 10-4 EstMin Tensile Strng'!$C$13,'Table 10-4 EstMin Tensile Strng'!$I$14/'Engine Valve Spring'!AA31^'Table 10-4 EstMin Tensile Strng'!$F$14,IF($D$11='Table 10-4 EstMin Tensile Strng'!$C$13,'Table 10-4 EstMin Tensile Strng'!$I$15/'Engine Valve Spring'!AA31^'Table 10-4 EstMin Tensile Strng'!$F$15)))))))))))</f>
        <v>830.87713495418609</v>
      </c>
      <c r="AC31">
        <f t="shared" si="0"/>
        <v>4081.3983704854804</v>
      </c>
    </row>
    <row r="32" spans="2:29" ht="18" x14ac:dyDescent="0.35">
      <c r="B32" s="17" t="s">
        <v>302</v>
      </c>
      <c r="C32" s="58" t="s">
        <v>304</v>
      </c>
      <c r="D32" s="80">
        <f>D17*8*D3*D4/(PI()*D14^3)</f>
        <v>942.60528939838139</v>
      </c>
      <c r="E32" s="4" t="s">
        <v>21</v>
      </c>
      <c r="F32" s="75">
        <f>CONVERT(D32,"Pa","psi")*10^3</f>
        <v>136.71333874687039</v>
      </c>
      <c r="G32" s="16" t="s">
        <v>20</v>
      </c>
      <c r="AA32">
        <v>2.8</v>
      </c>
      <c r="AB32">
        <f>0.56/$D$7*IF($D$11='Table 10-4 EstMin Tensile Strng'!$C$5,'Table 10-4 EstMin Tensile Strng'!$I$5/'Engine Valve Spring'!AA32^'Table 10-4 EstMin Tensile Strng'!$F$5,IF($D$11='Table 10-4 EstMin Tensile Strng'!$C$6,'Table 10-4 EstMin Tensile Strng'!$I$6/'Engine Valve Spring'!AA32^'Table 10-4 EstMin Tensile Strng'!$F$6,IF($D$11='Table 10-4 EstMin Tensile Strng'!$C$7,'Table 10-4 EstMin Tensile Strng'!$I$7/'Engine Valve Spring'!AA32^'Table 10-4 EstMin Tensile Strng'!$F$7,IF($D$11='Table 10-4 EstMin Tensile Strng'!$C$8,'Table 10-4 EstMin Tensile Strng'!$I$8/'Engine Valve Spring'!AA32^'Table 10-4 EstMin Tensile Strng'!$F$8,IF($D$11='Table 10-4 EstMin Tensile Strng'!$C$9,'Table 10-4 EstMin Tensile Strng'!$I$9/'Engine Valve Spring'!AA32^'Table 10-4 EstMin Tensile Strng'!$F$9,IF($D$11='Table 10-4 EstMin Tensile Strng'!$C$10,'Table 10-4 EstMin Tensile Strng'!$I$10/'Engine Valve Spring'!AA32^'Table 10-4 EstMin Tensile Strng'!$F$10,IF($D$11='Table 10-4 EstMin Tensile Strng'!$C$10,'Table 10-4 EstMin Tensile Strng'!$I$11/'Engine Valve Spring'!AA32^'Table 10-4 EstMin Tensile Strng'!$F$11,IF($D$11='Table 10-4 EstMin Tensile Strng'!$C$10,'Table 10-4 EstMin Tensile Strng'!$I$12/'Engine Valve Spring'!AA32^'Table 10-4 EstMin Tensile Strng'!$F$12,IF($D$11='Table 10-4 EstMin Tensile Strng'!$C$13,'Table 10-4 EstMin Tensile Strng'!$I$13/'Engine Valve Spring'!AA32^'Table 10-4 EstMin Tensile Strng'!$F$13,IF($D$11='Table 10-4 EstMin Tensile Strng'!$C$13,'Table 10-4 EstMin Tensile Strng'!$I$14/'Engine Valve Spring'!AA32^'Table 10-4 EstMin Tensile Strng'!$F$14,IF($D$11='Table 10-4 EstMin Tensile Strng'!$C$13,'Table 10-4 EstMin Tensile Strng'!$I$15/'Engine Valve Spring'!AA32^'Table 10-4 EstMin Tensile Strng'!$F$15)))))))))))</f>
        <v>824.25361759101224</v>
      </c>
      <c r="AC32">
        <f t="shared" si="0"/>
        <v>3294.2653020124685</v>
      </c>
    </row>
    <row r="33" spans="2:29" x14ac:dyDescent="0.25">
      <c r="B33" s="17" t="s">
        <v>303</v>
      </c>
      <c r="C33" s="58" t="s">
        <v>198</v>
      </c>
      <c r="D33" s="38" t="str">
        <f>IF(ABS(D31/D32)-1&gt;0.01,"No","Yes")</f>
        <v>Yes</v>
      </c>
      <c r="E33" s="4" t="s">
        <v>7</v>
      </c>
      <c r="F33" s="38" t="str">
        <f>D33</f>
        <v>Yes</v>
      </c>
      <c r="G33" s="16" t="s">
        <v>7</v>
      </c>
      <c r="AA33">
        <v>2.9</v>
      </c>
      <c r="AB33">
        <f>0.56/$D$7*IF($D$11='Table 10-4 EstMin Tensile Strng'!$C$5,'Table 10-4 EstMin Tensile Strng'!$I$5/'Engine Valve Spring'!AA33^'Table 10-4 EstMin Tensile Strng'!$F$5,IF($D$11='Table 10-4 EstMin Tensile Strng'!$C$6,'Table 10-4 EstMin Tensile Strng'!$I$6/'Engine Valve Spring'!AA33^'Table 10-4 EstMin Tensile Strng'!$F$6,IF($D$11='Table 10-4 EstMin Tensile Strng'!$C$7,'Table 10-4 EstMin Tensile Strng'!$I$7/'Engine Valve Spring'!AA33^'Table 10-4 EstMin Tensile Strng'!$F$7,IF($D$11='Table 10-4 EstMin Tensile Strng'!$C$8,'Table 10-4 EstMin Tensile Strng'!$I$8/'Engine Valve Spring'!AA33^'Table 10-4 EstMin Tensile Strng'!$F$8,IF($D$11='Table 10-4 EstMin Tensile Strng'!$C$9,'Table 10-4 EstMin Tensile Strng'!$I$9/'Engine Valve Spring'!AA33^'Table 10-4 EstMin Tensile Strng'!$F$9,IF($D$11='Table 10-4 EstMin Tensile Strng'!$C$10,'Table 10-4 EstMin Tensile Strng'!$I$10/'Engine Valve Spring'!AA33^'Table 10-4 EstMin Tensile Strng'!$F$10,IF($D$11='Table 10-4 EstMin Tensile Strng'!$C$10,'Table 10-4 EstMin Tensile Strng'!$I$11/'Engine Valve Spring'!AA33^'Table 10-4 EstMin Tensile Strng'!$F$11,IF($D$11='Table 10-4 EstMin Tensile Strng'!$C$10,'Table 10-4 EstMin Tensile Strng'!$I$12/'Engine Valve Spring'!AA33^'Table 10-4 EstMin Tensile Strng'!$F$12,IF($D$11='Table 10-4 EstMin Tensile Strng'!$C$13,'Table 10-4 EstMin Tensile Strng'!$I$13/'Engine Valve Spring'!AA33^'Table 10-4 EstMin Tensile Strng'!$F$13,IF($D$11='Table 10-4 EstMin Tensile Strng'!$C$13,'Table 10-4 EstMin Tensile Strng'!$I$14/'Engine Valve Spring'!AA33^'Table 10-4 EstMin Tensile Strng'!$F$14,IF($D$11='Table 10-4 EstMin Tensile Strng'!$C$13,'Table 10-4 EstMin Tensile Strng'!$I$15/'Engine Valve Spring'!AA33^'Table 10-4 EstMin Tensile Strng'!$F$15)))))))))))</f>
        <v>821.13572161302068</v>
      </c>
      <c r="AC33">
        <f t="shared" si="0"/>
        <v>2977.0982512605174</v>
      </c>
    </row>
    <row r="34" spans="2:29" ht="18" x14ac:dyDescent="0.35">
      <c r="B34" s="17" t="s">
        <v>288</v>
      </c>
      <c r="C34" s="58" t="s">
        <v>289</v>
      </c>
      <c r="D34" s="89">
        <f>D17*8*D2*D4/(PI()*D14^3)</f>
        <v>324.02056823069358</v>
      </c>
      <c r="E34" s="4" t="s">
        <v>21</v>
      </c>
      <c r="F34" s="75">
        <f>CONVERT(D34,"Pa","psi")*10^3</f>
        <v>46.995210194236691</v>
      </c>
      <c r="G34" s="16" t="s">
        <v>20</v>
      </c>
      <c r="AA34">
        <v>3</v>
      </c>
      <c r="AB34">
        <f>0.56/$D$7*IF($D$11='Table 10-4 EstMin Tensile Strng'!$C$5,'Table 10-4 EstMin Tensile Strng'!$I$5/'Engine Valve Spring'!AA34^'Table 10-4 EstMin Tensile Strng'!$F$5,IF($D$11='Table 10-4 EstMin Tensile Strng'!$C$6,'Table 10-4 EstMin Tensile Strng'!$I$6/'Engine Valve Spring'!AA34^'Table 10-4 EstMin Tensile Strng'!$F$6,IF($D$11='Table 10-4 EstMin Tensile Strng'!$C$7,'Table 10-4 EstMin Tensile Strng'!$I$7/'Engine Valve Spring'!AA34^'Table 10-4 EstMin Tensile Strng'!$F$7,IF($D$11='Table 10-4 EstMin Tensile Strng'!$C$8,'Table 10-4 EstMin Tensile Strng'!$I$8/'Engine Valve Spring'!AA34^'Table 10-4 EstMin Tensile Strng'!$F$8,IF($D$11='Table 10-4 EstMin Tensile Strng'!$C$9,'Table 10-4 EstMin Tensile Strng'!$I$9/'Engine Valve Spring'!AA34^'Table 10-4 EstMin Tensile Strng'!$F$9,IF($D$11='Table 10-4 EstMin Tensile Strng'!$C$10,'Table 10-4 EstMin Tensile Strng'!$I$10/'Engine Valve Spring'!AA34^'Table 10-4 EstMin Tensile Strng'!$F$10,IF($D$11='Table 10-4 EstMin Tensile Strng'!$C$10,'Table 10-4 EstMin Tensile Strng'!$I$11/'Engine Valve Spring'!AA34^'Table 10-4 EstMin Tensile Strng'!$F$11,IF($D$11='Table 10-4 EstMin Tensile Strng'!$C$10,'Table 10-4 EstMin Tensile Strng'!$I$12/'Engine Valve Spring'!AA34^'Table 10-4 EstMin Tensile Strng'!$F$12,IF($D$11='Table 10-4 EstMin Tensile Strng'!$C$13,'Table 10-4 EstMin Tensile Strng'!$I$13/'Engine Valve Spring'!AA34^'Table 10-4 EstMin Tensile Strng'!$F$13,IF($D$11='Table 10-4 EstMin Tensile Strng'!$C$13,'Table 10-4 EstMin Tensile Strng'!$I$14/'Engine Valve Spring'!AA34^'Table 10-4 EstMin Tensile Strng'!$F$14,IF($D$11='Table 10-4 EstMin Tensile Strng'!$C$13,'Table 10-4 EstMin Tensile Strng'!$I$15/'Engine Valve Spring'!AA34^'Table 10-4 EstMin Tensile Strng'!$F$15)))))))))))</f>
        <v>818.13473910486073</v>
      </c>
      <c r="AC34">
        <f t="shared" si="0"/>
        <v>2700.099077228077</v>
      </c>
    </row>
    <row r="35" spans="2:29" ht="18" x14ac:dyDescent="0.35">
      <c r="B35" s="17" t="s">
        <v>292</v>
      </c>
      <c r="C35" s="58" t="s">
        <v>290</v>
      </c>
      <c r="D35" s="80">
        <f>(D31+D34)/2</f>
        <v>555.09665029462622</v>
      </c>
      <c r="E35" s="4" t="s">
        <v>21</v>
      </c>
      <c r="F35" s="75">
        <f>CONVERT(D35,"Pa","psi")*10^3</f>
        <v>80.509962380349663</v>
      </c>
      <c r="G35" s="16" t="s">
        <v>20</v>
      </c>
      <c r="AA35">
        <v>3.1</v>
      </c>
      <c r="AB35">
        <f>0.56/$D$7*IF($D$11='Table 10-4 EstMin Tensile Strng'!$C$5,'Table 10-4 EstMin Tensile Strng'!$I$5/'Engine Valve Spring'!AA35^'Table 10-4 EstMin Tensile Strng'!$F$5,IF($D$11='Table 10-4 EstMin Tensile Strng'!$C$6,'Table 10-4 EstMin Tensile Strng'!$I$6/'Engine Valve Spring'!AA35^'Table 10-4 EstMin Tensile Strng'!$F$6,IF($D$11='Table 10-4 EstMin Tensile Strng'!$C$7,'Table 10-4 EstMin Tensile Strng'!$I$7/'Engine Valve Spring'!AA35^'Table 10-4 EstMin Tensile Strng'!$F$7,IF($D$11='Table 10-4 EstMin Tensile Strng'!$C$8,'Table 10-4 EstMin Tensile Strng'!$I$8/'Engine Valve Spring'!AA35^'Table 10-4 EstMin Tensile Strng'!$F$8,IF($D$11='Table 10-4 EstMin Tensile Strng'!$C$9,'Table 10-4 EstMin Tensile Strng'!$I$9/'Engine Valve Spring'!AA35^'Table 10-4 EstMin Tensile Strng'!$F$9,IF($D$11='Table 10-4 EstMin Tensile Strng'!$C$10,'Table 10-4 EstMin Tensile Strng'!$I$10/'Engine Valve Spring'!AA35^'Table 10-4 EstMin Tensile Strng'!$F$10,IF($D$11='Table 10-4 EstMin Tensile Strng'!$C$10,'Table 10-4 EstMin Tensile Strng'!$I$11/'Engine Valve Spring'!AA35^'Table 10-4 EstMin Tensile Strng'!$F$11,IF($D$11='Table 10-4 EstMin Tensile Strng'!$C$10,'Table 10-4 EstMin Tensile Strng'!$I$12/'Engine Valve Spring'!AA35^'Table 10-4 EstMin Tensile Strng'!$F$12,IF($D$11='Table 10-4 EstMin Tensile Strng'!$C$13,'Table 10-4 EstMin Tensile Strng'!$I$13/'Engine Valve Spring'!AA35^'Table 10-4 EstMin Tensile Strng'!$F$13,IF($D$11='Table 10-4 EstMin Tensile Strng'!$C$13,'Table 10-4 EstMin Tensile Strng'!$I$14/'Engine Valve Spring'!AA35^'Table 10-4 EstMin Tensile Strng'!$F$14,IF($D$11='Table 10-4 EstMin Tensile Strng'!$C$13,'Table 10-4 EstMin Tensile Strng'!$I$15/'Engine Valve Spring'!AA35^'Table 10-4 EstMin Tensile Strng'!$F$15)))))))))))</f>
        <v>815.24260183226863</v>
      </c>
      <c r="AC35">
        <f t="shared" si="0"/>
        <v>2457.0642407820537</v>
      </c>
    </row>
    <row r="36" spans="2:29" ht="18" x14ac:dyDescent="0.35">
      <c r="B36" s="17" t="s">
        <v>293</v>
      </c>
      <c r="C36" s="58" t="s">
        <v>291</v>
      </c>
      <c r="D36" s="80">
        <f>(D31-D34)/2</f>
        <v>231.07608206393257</v>
      </c>
      <c r="E36" s="4" t="s">
        <v>21</v>
      </c>
      <c r="F36" s="75">
        <f>CONVERT(D36,"Pa","psi")*10^3</f>
        <v>33.51475218611295</v>
      </c>
      <c r="G36" s="16" t="s">
        <v>20</v>
      </c>
      <c r="AA36">
        <v>3.2</v>
      </c>
      <c r="AB36">
        <f>0.56/$D$7*IF($D$11='Table 10-4 EstMin Tensile Strng'!$C$5,'Table 10-4 EstMin Tensile Strng'!$I$5/'Engine Valve Spring'!AA36^'Table 10-4 EstMin Tensile Strng'!$F$5,IF($D$11='Table 10-4 EstMin Tensile Strng'!$C$6,'Table 10-4 EstMin Tensile Strng'!$I$6/'Engine Valve Spring'!AA36^'Table 10-4 EstMin Tensile Strng'!$F$6,IF($D$11='Table 10-4 EstMin Tensile Strng'!$C$7,'Table 10-4 EstMin Tensile Strng'!$I$7/'Engine Valve Spring'!AA36^'Table 10-4 EstMin Tensile Strng'!$F$7,IF($D$11='Table 10-4 EstMin Tensile Strng'!$C$8,'Table 10-4 EstMin Tensile Strng'!$I$8/'Engine Valve Spring'!AA36^'Table 10-4 EstMin Tensile Strng'!$F$8,IF($D$11='Table 10-4 EstMin Tensile Strng'!$C$9,'Table 10-4 EstMin Tensile Strng'!$I$9/'Engine Valve Spring'!AA36^'Table 10-4 EstMin Tensile Strng'!$F$9,IF($D$11='Table 10-4 EstMin Tensile Strng'!$C$10,'Table 10-4 EstMin Tensile Strng'!$I$10/'Engine Valve Spring'!AA36^'Table 10-4 EstMin Tensile Strng'!$F$10,IF($D$11='Table 10-4 EstMin Tensile Strng'!$C$10,'Table 10-4 EstMin Tensile Strng'!$I$11/'Engine Valve Spring'!AA36^'Table 10-4 EstMin Tensile Strng'!$F$11,IF($D$11='Table 10-4 EstMin Tensile Strng'!$C$10,'Table 10-4 EstMin Tensile Strng'!$I$12/'Engine Valve Spring'!AA36^'Table 10-4 EstMin Tensile Strng'!$F$12,IF($D$11='Table 10-4 EstMin Tensile Strng'!$C$13,'Table 10-4 EstMin Tensile Strng'!$I$13/'Engine Valve Spring'!AA36^'Table 10-4 EstMin Tensile Strng'!$F$13,IF($D$11='Table 10-4 EstMin Tensile Strng'!$C$13,'Table 10-4 EstMin Tensile Strng'!$I$14/'Engine Valve Spring'!AA36^'Table 10-4 EstMin Tensile Strng'!$F$14,IF($D$11='Table 10-4 EstMin Tensile Strng'!$C$13,'Table 10-4 EstMin Tensile Strng'!$I$15/'Engine Valve Spring'!AA36^'Table 10-4 EstMin Tensile Strng'!$F$15)))))))))))</f>
        <v>812.45203652118971</v>
      </c>
      <c r="AC36">
        <f t="shared" si="0"/>
        <v>2242.9088709758571</v>
      </c>
    </row>
    <row r="37" spans="2:29" ht="18" x14ac:dyDescent="0.35">
      <c r="B37" s="17" t="s">
        <v>305</v>
      </c>
      <c r="C37" s="58" t="s">
        <v>307</v>
      </c>
      <c r="D37" s="70">
        <f>D17*8*D27*D4/(PI()*D14^3)</f>
        <v>633.31292881453749</v>
      </c>
      <c r="E37" s="4" t="s">
        <v>21</v>
      </c>
      <c r="F37" s="75">
        <f>CONVERT(D37,"Pa","psi")*10^3</f>
        <v>91.854274470553534</v>
      </c>
      <c r="G37" s="16" t="s">
        <v>20</v>
      </c>
      <c r="AA37">
        <v>3.3</v>
      </c>
      <c r="AB37">
        <f>0.56/$D$7*IF($D$11='Table 10-4 EstMin Tensile Strng'!$C$5,'Table 10-4 EstMin Tensile Strng'!$I$5/'Engine Valve Spring'!AA37^'Table 10-4 EstMin Tensile Strng'!$F$5,IF($D$11='Table 10-4 EstMin Tensile Strng'!$C$6,'Table 10-4 EstMin Tensile Strng'!$I$6/'Engine Valve Spring'!AA37^'Table 10-4 EstMin Tensile Strng'!$F$6,IF($D$11='Table 10-4 EstMin Tensile Strng'!$C$7,'Table 10-4 EstMin Tensile Strng'!$I$7/'Engine Valve Spring'!AA37^'Table 10-4 EstMin Tensile Strng'!$F$7,IF($D$11='Table 10-4 EstMin Tensile Strng'!$C$8,'Table 10-4 EstMin Tensile Strng'!$I$8/'Engine Valve Spring'!AA37^'Table 10-4 EstMin Tensile Strng'!$F$8,IF($D$11='Table 10-4 EstMin Tensile Strng'!$C$9,'Table 10-4 EstMin Tensile Strng'!$I$9/'Engine Valve Spring'!AA37^'Table 10-4 EstMin Tensile Strng'!$F$9,IF($D$11='Table 10-4 EstMin Tensile Strng'!$C$10,'Table 10-4 EstMin Tensile Strng'!$I$10/'Engine Valve Spring'!AA37^'Table 10-4 EstMin Tensile Strng'!$F$10,IF($D$11='Table 10-4 EstMin Tensile Strng'!$C$10,'Table 10-4 EstMin Tensile Strng'!$I$11/'Engine Valve Spring'!AA37^'Table 10-4 EstMin Tensile Strng'!$F$11,IF($D$11='Table 10-4 EstMin Tensile Strng'!$C$10,'Table 10-4 EstMin Tensile Strng'!$I$12/'Engine Valve Spring'!AA37^'Table 10-4 EstMin Tensile Strng'!$F$12,IF($D$11='Table 10-4 EstMin Tensile Strng'!$C$13,'Table 10-4 EstMin Tensile Strng'!$I$13/'Engine Valve Spring'!AA37^'Table 10-4 EstMin Tensile Strng'!$F$13,IF($D$11='Table 10-4 EstMin Tensile Strng'!$C$13,'Table 10-4 EstMin Tensile Strng'!$I$14/'Engine Valve Spring'!AA37^'Table 10-4 EstMin Tensile Strng'!$F$14,IF($D$11='Table 10-4 EstMin Tensile Strng'!$C$13,'Table 10-4 EstMin Tensile Strng'!$I$15/'Engine Valve Spring'!AA37^'Table 10-4 EstMin Tensile Strng'!$F$15)))))))))))</f>
        <v>809.75646450303464</v>
      </c>
      <c r="AC37">
        <f t="shared" si="0"/>
        <v>2053.4379041708467</v>
      </c>
    </row>
    <row r="38" spans="2:29" ht="18" x14ac:dyDescent="0.35">
      <c r="B38" s="17" t="s">
        <v>306</v>
      </c>
      <c r="C38" s="58" t="s">
        <v>310</v>
      </c>
      <c r="D38" s="70">
        <f>D17*8*D28*D4/(PI()*D14^3)</f>
        <v>309.2923605838439</v>
      </c>
      <c r="E38" s="4" t="s">
        <v>21</v>
      </c>
      <c r="F38" s="75">
        <f>CONVERT(D38,"Pa","psi")*10^3</f>
        <v>44.85906427631685</v>
      </c>
      <c r="G38" s="16" t="s">
        <v>20</v>
      </c>
      <c r="AA38">
        <v>3.4</v>
      </c>
      <c r="AB38">
        <f>0.56/$D$7*IF($D$11='Table 10-4 EstMin Tensile Strng'!$C$5,'Table 10-4 EstMin Tensile Strng'!$I$5/'Engine Valve Spring'!AA38^'Table 10-4 EstMin Tensile Strng'!$F$5,IF($D$11='Table 10-4 EstMin Tensile Strng'!$C$6,'Table 10-4 EstMin Tensile Strng'!$I$6/'Engine Valve Spring'!AA38^'Table 10-4 EstMin Tensile Strng'!$F$6,IF($D$11='Table 10-4 EstMin Tensile Strng'!$C$7,'Table 10-4 EstMin Tensile Strng'!$I$7/'Engine Valve Spring'!AA38^'Table 10-4 EstMin Tensile Strng'!$F$7,IF($D$11='Table 10-4 EstMin Tensile Strng'!$C$8,'Table 10-4 EstMin Tensile Strng'!$I$8/'Engine Valve Spring'!AA38^'Table 10-4 EstMin Tensile Strng'!$F$8,IF($D$11='Table 10-4 EstMin Tensile Strng'!$C$9,'Table 10-4 EstMin Tensile Strng'!$I$9/'Engine Valve Spring'!AA38^'Table 10-4 EstMin Tensile Strng'!$F$9,IF($D$11='Table 10-4 EstMin Tensile Strng'!$C$10,'Table 10-4 EstMin Tensile Strng'!$I$10/'Engine Valve Spring'!AA38^'Table 10-4 EstMin Tensile Strng'!$F$10,IF($D$11='Table 10-4 EstMin Tensile Strng'!$C$10,'Table 10-4 EstMin Tensile Strng'!$I$11/'Engine Valve Spring'!AA38^'Table 10-4 EstMin Tensile Strng'!$F$11,IF($D$11='Table 10-4 EstMin Tensile Strng'!$C$10,'Table 10-4 EstMin Tensile Strng'!$I$12/'Engine Valve Spring'!AA38^'Table 10-4 EstMin Tensile Strng'!$F$12,IF($D$11='Table 10-4 EstMin Tensile Strng'!$C$13,'Table 10-4 EstMin Tensile Strng'!$I$13/'Engine Valve Spring'!AA38^'Table 10-4 EstMin Tensile Strng'!$F$13,IF($D$11='Table 10-4 EstMin Tensile Strng'!$C$13,'Table 10-4 EstMin Tensile Strng'!$I$14/'Engine Valve Spring'!AA38^'Table 10-4 EstMin Tensile Strng'!$F$14,IF($D$11='Table 10-4 EstMin Tensile Strng'!$C$13,'Table 10-4 EstMin Tensile Strng'!$I$15/'Engine Valve Spring'!AA38^'Table 10-4 EstMin Tensile Strng'!$F$15)))))))))))</f>
        <v>807.14991664385093</v>
      </c>
      <c r="AC38">
        <f t="shared" si="0"/>
        <v>1885.1692643666522</v>
      </c>
    </row>
    <row r="39" spans="2:29" x14ac:dyDescent="0.25">
      <c r="B39" s="17" t="s">
        <v>308</v>
      </c>
      <c r="C39" s="58" t="s">
        <v>198</v>
      </c>
      <c r="D39" s="68" t="str">
        <f>IF(ABS(D37/D35)-1&lt;0.01,"Yes","No")</f>
        <v>No</v>
      </c>
      <c r="E39" s="4" t="s">
        <v>7</v>
      </c>
      <c r="F39" s="38" t="str">
        <f>D39</f>
        <v>No</v>
      </c>
      <c r="G39" s="16" t="s">
        <v>7</v>
      </c>
      <c r="AA39">
        <v>3.5</v>
      </c>
      <c r="AB39">
        <f>0.56/$D$7*IF($D$11='Table 10-4 EstMin Tensile Strng'!$C$5,'Table 10-4 EstMin Tensile Strng'!$I$5/'Engine Valve Spring'!AA39^'Table 10-4 EstMin Tensile Strng'!$F$5,IF($D$11='Table 10-4 EstMin Tensile Strng'!$C$6,'Table 10-4 EstMin Tensile Strng'!$I$6/'Engine Valve Spring'!AA39^'Table 10-4 EstMin Tensile Strng'!$F$6,IF($D$11='Table 10-4 EstMin Tensile Strng'!$C$7,'Table 10-4 EstMin Tensile Strng'!$I$7/'Engine Valve Spring'!AA39^'Table 10-4 EstMin Tensile Strng'!$F$7,IF($D$11='Table 10-4 EstMin Tensile Strng'!$C$8,'Table 10-4 EstMin Tensile Strng'!$I$8/'Engine Valve Spring'!AA39^'Table 10-4 EstMin Tensile Strng'!$F$8,IF($D$11='Table 10-4 EstMin Tensile Strng'!$C$9,'Table 10-4 EstMin Tensile Strng'!$I$9/'Engine Valve Spring'!AA39^'Table 10-4 EstMin Tensile Strng'!$F$9,IF($D$11='Table 10-4 EstMin Tensile Strng'!$C$10,'Table 10-4 EstMin Tensile Strng'!$I$10/'Engine Valve Spring'!AA39^'Table 10-4 EstMin Tensile Strng'!$F$10,IF($D$11='Table 10-4 EstMin Tensile Strng'!$C$10,'Table 10-4 EstMin Tensile Strng'!$I$11/'Engine Valve Spring'!AA39^'Table 10-4 EstMin Tensile Strng'!$F$11,IF($D$11='Table 10-4 EstMin Tensile Strng'!$C$10,'Table 10-4 EstMin Tensile Strng'!$I$12/'Engine Valve Spring'!AA39^'Table 10-4 EstMin Tensile Strng'!$F$12,IF($D$11='Table 10-4 EstMin Tensile Strng'!$C$13,'Table 10-4 EstMin Tensile Strng'!$I$13/'Engine Valve Spring'!AA39^'Table 10-4 EstMin Tensile Strng'!$F$13,IF($D$11='Table 10-4 EstMin Tensile Strng'!$C$13,'Table 10-4 EstMin Tensile Strng'!$I$14/'Engine Valve Spring'!AA39^'Table 10-4 EstMin Tensile Strng'!$F$14,IF($D$11='Table 10-4 EstMin Tensile Strng'!$C$13,'Table 10-4 EstMin Tensile Strng'!$I$15/'Engine Valve Spring'!AA39^'Table 10-4 EstMin Tensile Strng'!$F$15)))))))))))</f>
        <v>804.62696085440484</v>
      </c>
      <c r="AC39">
        <f t="shared" si="0"/>
        <v>1735.1961318677556</v>
      </c>
    </row>
    <row r="40" spans="2:29" x14ac:dyDescent="0.25">
      <c r="B40" s="17" t="s">
        <v>309</v>
      </c>
      <c r="C40" s="58" t="s">
        <v>198</v>
      </c>
      <c r="D40" s="68" t="str">
        <f>IF(ABS(D38/D36)-1&lt;0.01,"Yes","No")</f>
        <v>No</v>
      </c>
      <c r="E40" s="4" t="s">
        <v>7</v>
      </c>
      <c r="F40" s="38" t="str">
        <f>D40</f>
        <v>No</v>
      </c>
      <c r="G40" s="16" t="s">
        <v>7</v>
      </c>
      <c r="AA40">
        <v>3.6</v>
      </c>
      <c r="AB40">
        <f>0.56/$D$7*IF($D$11='Table 10-4 EstMin Tensile Strng'!$C$5,'Table 10-4 EstMin Tensile Strng'!$I$5/'Engine Valve Spring'!AA40^'Table 10-4 EstMin Tensile Strng'!$F$5,IF($D$11='Table 10-4 EstMin Tensile Strng'!$C$6,'Table 10-4 EstMin Tensile Strng'!$I$6/'Engine Valve Spring'!AA40^'Table 10-4 EstMin Tensile Strng'!$F$6,IF($D$11='Table 10-4 EstMin Tensile Strng'!$C$7,'Table 10-4 EstMin Tensile Strng'!$I$7/'Engine Valve Spring'!AA40^'Table 10-4 EstMin Tensile Strng'!$F$7,IF($D$11='Table 10-4 EstMin Tensile Strng'!$C$8,'Table 10-4 EstMin Tensile Strng'!$I$8/'Engine Valve Spring'!AA40^'Table 10-4 EstMin Tensile Strng'!$F$8,IF($D$11='Table 10-4 EstMin Tensile Strng'!$C$9,'Table 10-4 EstMin Tensile Strng'!$I$9/'Engine Valve Spring'!AA40^'Table 10-4 EstMin Tensile Strng'!$F$9,IF($D$11='Table 10-4 EstMin Tensile Strng'!$C$10,'Table 10-4 EstMin Tensile Strng'!$I$10/'Engine Valve Spring'!AA40^'Table 10-4 EstMin Tensile Strng'!$F$10,IF($D$11='Table 10-4 EstMin Tensile Strng'!$C$10,'Table 10-4 EstMin Tensile Strng'!$I$11/'Engine Valve Spring'!AA40^'Table 10-4 EstMin Tensile Strng'!$F$11,IF($D$11='Table 10-4 EstMin Tensile Strng'!$C$10,'Table 10-4 EstMin Tensile Strng'!$I$12/'Engine Valve Spring'!AA40^'Table 10-4 EstMin Tensile Strng'!$F$12,IF($D$11='Table 10-4 EstMin Tensile Strng'!$C$13,'Table 10-4 EstMin Tensile Strng'!$I$13/'Engine Valve Spring'!AA40^'Table 10-4 EstMin Tensile Strng'!$F$13,IF($D$11='Table 10-4 EstMin Tensile Strng'!$C$13,'Table 10-4 EstMin Tensile Strng'!$I$14/'Engine Valve Spring'!AA40^'Table 10-4 EstMin Tensile Strng'!$F$14,IF($D$11='Table 10-4 EstMin Tensile Strng'!$C$13,'Table 10-4 EstMin Tensile Strng'!$I$15/'Engine Valve Spring'!AA40^'Table 10-4 EstMin Tensile Strng'!$F$15)))))))))))</f>
        <v>802.18264001884302</v>
      </c>
      <c r="AC40">
        <f t="shared" si="0"/>
        <v>1601.0788344987293</v>
      </c>
    </row>
    <row r="41" spans="2:29" ht="18" x14ac:dyDescent="0.35">
      <c r="B41" s="17" t="s">
        <v>284</v>
      </c>
      <c r="C41" s="58" t="s">
        <v>283</v>
      </c>
      <c r="D41" s="83">
        <f>IF(D10="Yes",398,241)</f>
        <v>398</v>
      </c>
      <c r="E41" s="1" t="s">
        <v>21</v>
      </c>
      <c r="F41" s="38">
        <f>CONVERT(D41,"MPa","psi")/1000</f>
        <v>57.725019616623264</v>
      </c>
      <c r="G41" s="16" t="s">
        <v>20</v>
      </c>
      <c r="AA41">
        <v>3.7</v>
      </c>
      <c r="AB41">
        <f>0.56/$D$7*IF($D$11='Table 10-4 EstMin Tensile Strng'!$C$5,'Table 10-4 EstMin Tensile Strng'!$I$5/'Engine Valve Spring'!AA41^'Table 10-4 EstMin Tensile Strng'!$F$5,IF($D$11='Table 10-4 EstMin Tensile Strng'!$C$6,'Table 10-4 EstMin Tensile Strng'!$I$6/'Engine Valve Spring'!AA41^'Table 10-4 EstMin Tensile Strng'!$F$6,IF($D$11='Table 10-4 EstMin Tensile Strng'!$C$7,'Table 10-4 EstMin Tensile Strng'!$I$7/'Engine Valve Spring'!AA41^'Table 10-4 EstMin Tensile Strng'!$F$7,IF($D$11='Table 10-4 EstMin Tensile Strng'!$C$8,'Table 10-4 EstMin Tensile Strng'!$I$8/'Engine Valve Spring'!AA41^'Table 10-4 EstMin Tensile Strng'!$F$8,IF($D$11='Table 10-4 EstMin Tensile Strng'!$C$9,'Table 10-4 EstMin Tensile Strng'!$I$9/'Engine Valve Spring'!AA41^'Table 10-4 EstMin Tensile Strng'!$F$9,IF($D$11='Table 10-4 EstMin Tensile Strng'!$C$10,'Table 10-4 EstMin Tensile Strng'!$I$10/'Engine Valve Spring'!AA41^'Table 10-4 EstMin Tensile Strng'!$F$10,IF($D$11='Table 10-4 EstMin Tensile Strng'!$C$10,'Table 10-4 EstMin Tensile Strng'!$I$11/'Engine Valve Spring'!AA41^'Table 10-4 EstMin Tensile Strng'!$F$11,IF($D$11='Table 10-4 EstMin Tensile Strng'!$C$10,'Table 10-4 EstMin Tensile Strng'!$I$12/'Engine Valve Spring'!AA41^'Table 10-4 EstMin Tensile Strng'!$F$12,IF($D$11='Table 10-4 EstMin Tensile Strng'!$C$13,'Table 10-4 EstMin Tensile Strng'!$I$13/'Engine Valve Spring'!AA41^'Table 10-4 EstMin Tensile Strng'!$F$13,IF($D$11='Table 10-4 EstMin Tensile Strng'!$C$13,'Table 10-4 EstMin Tensile Strng'!$I$14/'Engine Valve Spring'!AA41^'Table 10-4 EstMin Tensile Strng'!$F$14,IF($D$11='Table 10-4 EstMin Tensile Strng'!$C$13,'Table 10-4 EstMin Tensile Strng'!$I$15/'Engine Valve Spring'!AA41^'Table 10-4 EstMin Tensile Strng'!$F$15)))))))))))</f>
        <v>799.81241860028376</v>
      </c>
      <c r="AC41">
        <f t="shared" si="0"/>
        <v>1480.7593768387817</v>
      </c>
    </row>
    <row r="42" spans="2:29" ht="18" x14ac:dyDescent="0.35">
      <c r="B42" s="17" t="s">
        <v>285</v>
      </c>
      <c r="C42" s="58" t="s">
        <v>282</v>
      </c>
      <c r="D42" s="83">
        <f>IF(D10="Yes",534,379)</f>
        <v>534</v>
      </c>
      <c r="E42" s="1" t="s">
        <v>21</v>
      </c>
      <c r="F42" s="38">
        <f>CONVERT(D42,"MPa","psi")/1000</f>
        <v>77.450151947931715</v>
      </c>
      <c r="G42" s="16" t="s">
        <v>20</v>
      </c>
      <c r="AA42">
        <v>3.8</v>
      </c>
      <c r="AB42">
        <f>0.56/$D$7*IF($D$11='Table 10-4 EstMin Tensile Strng'!$C$5,'Table 10-4 EstMin Tensile Strng'!$I$5/'Engine Valve Spring'!AA42^'Table 10-4 EstMin Tensile Strng'!$F$5,IF($D$11='Table 10-4 EstMin Tensile Strng'!$C$6,'Table 10-4 EstMin Tensile Strng'!$I$6/'Engine Valve Spring'!AA42^'Table 10-4 EstMin Tensile Strng'!$F$6,IF($D$11='Table 10-4 EstMin Tensile Strng'!$C$7,'Table 10-4 EstMin Tensile Strng'!$I$7/'Engine Valve Spring'!AA42^'Table 10-4 EstMin Tensile Strng'!$F$7,IF($D$11='Table 10-4 EstMin Tensile Strng'!$C$8,'Table 10-4 EstMin Tensile Strng'!$I$8/'Engine Valve Spring'!AA42^'Table 10-4 EstMin Tensile Strng'!$F$8,IF($D$11='Table 10-4 EstMin Tensile Strng'!$C$9,'Table 10-4 EstMin Tensile Strng'!$I$9/'Engine Valve Spring'!AA42^'Table 10-4 EstMin Tensile Strng'!$F$9,IF($D$11='Table 10-4 EstMin Tensile Strng'!$C$10,'Table 10-4 EstMin Tensile Strng'!$I$10/'Engine Valve Spring'!AA42^'Table 10-4 EstMin Tensile Strng'!$F$10,IF($D$11='Table 10-4 EstMin Tensile Strng'!$C$10,'Table 10-4 EstMin Tensile Strng'!$I$11/'Engine Valve Spring'!AA42^'Table 10-4 EstMin Tensile Strng'!$F$11,IF($D$11='Table 10-4 EstMin Tensile Strng'!$C$10,'Table 10-4 EstMin Tensile Strng'!$I$12/'Engine Valve Spring'!AA42^'Table 10-4 EstMin Tensile Strng'!$F$12,IF($D$11='Table 10-4 EstMin Tensile Strng'!$C$13,'Table 10-4 EstMin Tensile Strng'!$I$13/'Engine Valve Spring'!AA42^'Table 10-4 EstMin Tensile Strng'!$F$13,IF($D$11='Table 10-4 EstMin Tensile Strng'!$C$13,'Table 10-4 EstMin Tensile Strng'!$I$14/'Engine Valve Spring'!AA42^'Table 10-4 EstMin Tensile Strng'!$F$14,IF($D$11='Table 10-4 EstMin Tensile Strng'!$C$13,'Table 10-4 EstMin Tensile Strng'!$I$15/'Engine Valve Spring'!AA42^'Table 10-4 EstMin Tensile Strng'!$F$15)))))))))))</f>
        <v>797.51213651149624</v>
      </c>
      <c r="AC42">
        <f t="shared" si="0"/>
        <v>1372.4934068397381</v>
      </c>
    </row>
    <row r="43" spans="2:29" ht="18" x14ac:dyDescent="0.35">
      <c r="B43" s="15" t="s">
        <v>280</v>
      </c>
      <c r="C43" s="58" t="s">
        <v>281</v>
      </c>
      <c r="D43" s="83">
        <f>D41/SQRT(1-(D42/D30)^2)</f>
        <v>482.7856998261783</v>
      </c>
      <c r="E43" s="1" t="s">
        <v>21</v>
      </c>
      <c r="F43" s="38">
        <f>CONVERT(D43,"MPa","psi")/1000</f>
        <v>70.02214571128475</v>
      </c>
      <c r="G43" s="16" t="s">
        <v>20</v>
      </c>
      <c r="AA43">
        <v>3.9</v>
      </c>
      <c r="AB43">
        <f>0.56/$D$7*IF($D$11='Table 10-4 EstMin Tensile Strng'!$C$5,'Table 10-4 EstMin Tensile Strng'!$I$5/'Engine Valve Spring'!AA43^'Table 10-4 EstMin Tensile Strng'!$F$5,IF($D$11='Table 10-4 EstMin Tensile Strng'!$C$6,'Table 10-4 EstMin Tensile Strng'!$I$6/'Engine Valve Spring'!AA43^'Table 10-4 EstMin Tensile Strng'!$F$6,IF($D$11='Table 10-4 EstMin Tensile Strng'!$C$7,'Table 10-4 EstMin Tensile Strng'!$I$7/'Engine Valve Spring'!AA43^'Table 10-4 EstMin Tensile Strng'!$F$7,IF($D$11='Table 10-4 EstMin Tensile Strng'!$C$8,'Table 10-4 EstMin Tensile Strng'!$I$8/'Engine Valve Spring'!AA43^'Table 10-4 EstMin Tensile Strng'!$F$8,IF($D$11='Table 10-4 EstMin Tensile Strng'!$C$9,'Table 10-4 EstMin Tensile Strng'!$I$9/'Engine Valve Spring'!AA43^'Table 10-4 EstMin Tensile Strng'!$F$9,IF($D$11='Table 10-4 EstMin Tensile Strng'!$C$10,'Table 10-4 EstMin Tensile Strng'!$I$10/'Engine Valve Spring'!AA43^'Table 10-4 EstMin Tensile Strng'!$F$10,IF($D$11='Table 10-4 EstMin Tensile Strng'!$C$10,'Table 10-4 EstMin Tensile Strng'!$I$11/'Engine Valve Spring'!AA43^'Table 10-4 EstMin Tensile Strng'!$F$11,IF($D$11='Table 10-4 EstMin Tensile Strng'!$C$10,'Table 10-4 EstMin Tensile Strng'!$I$12/'Engine Valve Spring'!AA43^'Table 10-4 EstMin Tensile Strng'!$F$12,IF($D$11='Table 10-4 EstMin Tensile Strng'!$C$13,'Table 10-4 EstMin Tensile Strng'!$I$13/'Engine Valve Spring'!AA43^'Table 10-4 EstMin Tensile Strng'!$F$13,IF($D$11='Table 10-4 EstMin Tensile Strng'!$C$13,'Table 10-4 EstMin Tensile Strng'!$I$14/'Engine Valve Spring'!AA43^'Table 10-4 EstMin Tensile Strng'!$F$14,IF($D$11='Table 10-4 EstMin Tensile Strng'!$C$13,'Table 10-4 EstMin Tensile Strng'!$I$15/'Engine Valve Spring'!AA43^'Table 10-4 EstMin Tensile Strng'!$F$15)))))))))))</f>
        <v>795.27796909923484</v>
      </c>
      <c r="AC43">
        <f t="shared" si="0"/>
        <v>1274.7957142446851</v>
      </c>
    </row>
    <row r="44" spans="2:29" ht="18" x14ac:dyDescent="0.35">
      <c r="B44" s="15" t="s">
        <v>294</v>
      </c>
      <c r="C44" s="58" t="s">
        <v>296</v>
      </c>
      <c r="D44" s="68">
        <f>1/SQRT((D34/D43)^2+(D35/D30)^2)</f>
        <v>1.1203831488783944</v>
      </c>
      <c r="E44" s="1" t="s">
        <v>7</v>
      </c>
      <c r="F44" s="68">
        <f>D44</f>
        <v>1.1203831488783944</v>
      </c>
      <c r="G44" s="16" t="s">
        <v>7</v>
      </c>
      <c r="AA44">
        <v>4</v>
      </c>
      <c r="AB44">
        <f>0.56/$D$7*IF($D$11='Table 10-4 EstMin Tensile Strng'!$C$5,'Table 10-4 EstMin Tensile Strng'!$I$5/'Engine Valve Spring'!AA44^'Table 10-4 EstMin Tensile Strng'!$F$5,IF($D$11='Table 10-4 EstMin Tensile Strng'!$C$6,'Table 10-4 EstMin Tensile Strng'!$I$6/'Engine Valve Spring'!AA44^'Table 10-4 EstMin Tensile Strng'!$F$6,IF($D$11='Table 10-4 EstMin Tensile Strng'!$C$7,'Table 10-4 EstMin Tensile Strng'!$I$7/'Engine Valve Spring'!AA44^'Table 10-4 EstMin Tensile Strng'!$F$7,IF($D$11='Table 10-4 EstMin Tensile Strng'!$C$8,'Table 10-4 EstMin Tensile Strng'!$I$8/'Engine Valve Spring'!AA44^'Table 10-4 EstMin Tensile Strng'!$F$8,IF($D$11='Table 10-4 EstMin Tensile Strng'!$C$9,'Table 10-4 EstMin Tensile Strng'!$I$9/'Engine Valve Spring'!AA44^'Table 10-4 EstMin Tensile Strng'!$F$9,IF($D$11='Table 10-4 EstMin Tensile Strng'!$C$10,'Table 10-4 EstMin Tensile Strng'!$I$10/'Engine Valve Spring'!AA44^'Table 10-4 EstMin Tensile Strng'!$F$10,IF($D$11='Table 10-4 EstMin Tensile Strng'!$C$10,'Table 10-4 EstMin Tensile Strng'!$I$11/'Engine Valve Spring'!AA44^'Table 10-4 EstMin Tensile Strng'!$F$11,IF($D$11='Table 10-4 EstMin Tensile Strng'!$C$10,'Table 10-4 EstMin Tensile Strng'!$I$12/'Engine Valve Spring'!AA44^'Table 10-4 EstMin Tensile Strng'!$F$12,IF($D$11='Table 10-4 EstMin Tensile Strng'!$C$13,'Table 10-4 EstMin Tensile Strng'!$I$13/'Engine Valve Spring'!AA44^'Table 10-4 EstMin Tensile Strng'!$F$13,IF($D$11='Table 10-4 EstMin Tensile Strng'!$C$13,'Table 10-4 EstMin Tensile Strng'!$I$14/'Engine Valve Spring'!AA44^'Table 10-4 EstMin Tensile Strng'!$F$14,IF($D$11='Table 10-4 EstMin Tensile Strng'!$C$13,'Table 10-4 EstMin Tensile Strng'!$I$15/'Engine Valve Spring'!AA44^'Table 10-4 EstMin Tensile Strng'!$F$15)))))))))))</f>
        <v>793.10639229779838</v>
      </c>
      <c r="AC44">
        <f t="shared" si="0"/>
        <v>1186.3963040480635</v>
      </c>
    </row>
    <row r="45" spans="2:29" ht="18.75" thickBot="1" x14ac:dyDescent="0.4">
      <c r="B45" s="42" t="s">
        <v>295</v>
      </c>
      <c r="C45" s="111" t="s">
        <v>311</v>
      </c>
      <c r="D45" s="71">
        <f>D41/D36</f>
        <v>1.7223764417551619</v>
      </c>
      <c r="E45" s="22" t="s">
        <v>7</v>
      </c>
      <c r="F45" s="71">
        <f>D45</f>
        <v>1.7223764417551619</v>
      </c>
      <c r="G45" s="24" t="s">
        <v>7</v>
      </c>
      <c r="AA45">
        <v>4.0999999999999996</v>
      </c>
      <c r="AB45">
        <f>0.56/$D$7*IF($D$11='Table 10-4 EstMin Tensile Strng'!$C$5,'Table 10-4 EstMin Tensile Strng'!$I$5/'Engine Valve Spring'!AA45^'Table 10-4 EstMin Tensile Strng'!$F$5,IF($D$11='Table 10-4 EstMin Tensile Strng'!$C$6,'Table 10-4 EstMin Tensile Strng'!$I$6/'Engine Valve Spring'!AA45^'Table 10-4 EstMin Tensile Strng'!$F$6,IF($D$11='Table 10-4 EstMin Tensile Strng'!$C$7,'Table 10-4 EstMin Tensile Strng'!$I$7/'Engine Valve Spring'!AA45^'Table 10-4 EstMin Tensile Strng'!$F$7,IF($D$11='Table 10-4 EstMin Tensile Strng'!$C$8,'Table 10-4 EstMin Tensile Strng'!$I$8/'Engine Valve Spring'!AA45^'Table 10-4 EstMin Tensile Strng'!$F$8,IF($D$11='Table 10-4 EstMin Tensile Strng'!$C$9,'Table 10-4 EstMin Tensile Strng'!$I$9/'Engine Valve Spring'!AA45^'Table 10-4 EstMin Tensile Strng'!$F$9,IF($D$11='Table 10-4 EstMin Tensile Strng'!$C$10,'Table 10-4 EstMin Tensile Strng'!$I$10/'Engine Valve Spring'!AA45^'Table 10-4 EstMin Tensile Strng'!$F$10,IF($D$11='Table 10-4 EstMin Tensile Strng'!$C$10,'Table 10-4 EstMin Tensile Strng'!$I$11/'Engine Valve Spring'!AA45^'Table 10-4 EstMin Tensile Strng'!$F$11,IF($D$11='Table 10-4 EstMin Tensile Strng'!$C$10,'Table 10-4 EstMin Tensile Strng'!$I$12/'Engine Valve Spring'!AA45^'Table 10-4 EstMin Tensile Strng'!$F$12,IF($D$11='Table 10-4 EstMin Tensile Strng'!$C$13,'Table 10-4 EstMin Tensile Strng'!$I$13/'Engine Valve Spring'!AA45^'Table 10-4 EstMin Tensile Strng'!$F$13,IF($D$11='Table 10-4 EstMin Tensile Strng'!$C$13,'Table 10-4 EstMin Tensile Strng'!$I$14/'Engine Valve Spring'!AA45^'Table 10-4 EstMin Tensile Strng'!$F$14,IF($D$11='Table 10-4 EstMin Tensile Strng'!$C$13,'Table 10-4 EstMin Tensile Strng'!$I$15/'Engine Valve Spring'!AA45^'Table 10-4 EstMin Tensile Strng'!$F$15)))))))))))</f>
        <v>790.99415217298736</v>
      </c>
      <c r="AC45">
        <f t="shared" si="0"/>
        <v>1106.2047894351699</v>
      </c>
    </row>
    <row r="46" spans="2:29" x14ac:dyDescent="0.25">
      <c r="AA46">
        <v>4.2</v>
      </c>
      <c r="AB46">
        <f>0.56/$D$7*IF($D$11='Table 10-4 EstMin Tensile Strng'!$C$5,'Table 10-4 EstMin Tensile Strng'!$I$5/'Engine Valve Spring'!AA46^'Table 10-4 EstMin Tensile Strng'!$F$5,IF($D$11='Table 10-4 EstMin Tensile Strng'!$C$6,'Table 10-4 EstMin Tensile Strng'!$I$6/'Engine Valve Spring'!AA46^'Table 10-4 EstMin Tensile Strng'!$F$6,IF($D$11='Table 10-4 EstMin Tensile Strng'!$C$7,'Table 10-4 EstMin Tensile Strng'!$I$7/'Engine Valve Spring'!AA46^'Table 10-4 EstMin Tensile Strng'!$F$7,IF($D$11='Table 10-4 EstMin Tensile Strng'!$C$8,'Table 10-4 EstMin Tensile Strng'!$I$8/'Engine Valve Spring'!AA46^'Table 10-4 EstMin Tensile Strng'!$F$8,IF($D$11='Table 10-4 EstMin Tensile Strng'!$C$9,'Table 10-4 EstMin Tensile Strng'!$I$9/'Engine Valve Spring'!AA46^'Table 10-4 EstMin Tensile Strng'!$F$9,IF($D$11='Table 10-4 EstMin Tensile Strng'!$C$10,'Table 10-4 EstMin Tensile Strng'!$I$10/'Engine Valve Spring'!AA46^'Table 10-4 EstMin Tensile Strng'!$F$10,IF($D$11='Table 10-4 EstMin Tensile Strng'!$C$10,'Table 10-4 EstMin Tensile Strng'!$I$11/'Engine Valve Spring'!AA46^'Table 10-4 EstMin Tensile Strng'!$F$11,IF($D$11='Table 10-4 EstMin Tensile Strng'!$C$10,'Table 10-4 EstMin Tensile Strng'!$I$12/'Engine Valve Spring'!AA46^'Table 10-4 EstMin Tensile Strng'!$F$12,IF($D$11='Table 10-4 EstMin Tensile Strng'!$C$13,'Table 10-4 EstMin Tensile Strng'!$I$13/'Engine Valve Spring'!AA46^'Table 10-4 EstMin Tensile Strng'!$F$13,IF($D$11='Table 10-4 EstMin Tensile Strng'!$C$13,'Table 10-4 EstMin Tensile Strng'!$I$14/'Engine Valve Spring'!AA46^'Table 10-4 EstMin Tensile Strng'!$F$14,IF($D$11='Table 10-4 EstMin Tensile Strng'!$C$13,'Table 10-4 EstMin Tensile Strng'!$I$15/'Engine Valve Spring'!AA46^'Table 10-4 EstMin Tensile Strng'!$F$15)))))))))))</f>
        <v>788.93823821090211</v>
      </c>
      <c r="AC46">
        <f t="shared" si="0"/>
        <v>1033.2813710928581</v>
      </c>
    </row>
    <row r="47" spans="2:29" x14ac:dyDescent="0.25">
      <c r="AA47">
        <v>4.3</v>
      </c>
      <c r="AB47">
        <f>0.56/$D$7*IF($D$11='Table 10-4 EstMin Tensile Strng'!$C$5,'Table 10-4 EstMin Tensile Strng'!$I$5/'Engine Valve Spring'!AA47^'Table 10-4 EstMin Tensile Strng'!$F$5,IF($D$11='Table 10-4 EstMin Tensile Strng'!$C$6,'Table 10-4 EstMin Tensile Strng'!$I$6/'Engine Valve Spring'!AA47^'Table 10-4 EstMin Tensile Strng'!$F$6,IF($D$11='Table 10-4 EstMin Tensile Strng'!$C$7,'Table 10-4 EstMin Tensile Strng'!$I$7/'Engine Valve Spring'!AA47^'Table 10-4 EstMin Tensile Strng'!$F$7,IF($D$11='Table 10-4 EstMin Tensile Strng'!$C$8,'Table 10-4 EstMin Tensile Strng'!$I$8/'Engine Valve Spring'!AA47^'Table 10-4 EstMin Tensile Strng'!$F$8,IF($D$11='Table 10-4 EstMin Tensile Strng'!$C$9,'Table 10-4 EstMin Tensile Strng'!$I$9/'Engine Valve Spring'!AA47^'Table 10-4 EstMin Tensile Strng'!$F$9,IF($D$11='Table 10-4 EstMin Tensile Strng'!$C$10,'Table 10-4 EstMin Tensile Strng'!$I$10/'Engine Valve Spring'!AA47^'Table 10-4 EstMin Tensile Strng'!$F$10,IF($D$11='Table 10-4 EstMin Tensile Strng'!$C$10,'Table 10-4 EstMin Tensile Strng'!$I$11/'Engine Valve Spring'!AA47^'Table 10-4 EstMin Tensile Strng'!$F$11,IF($D$11='Table 10-4 EstMin Tensile Strng'!$C$10,'Table 10-4 EstMin Tensile Strng'!$I$12/'Engine Valve Spring'!AA47^'Table 10-4 EstMin Tensile Strng'!$F$12,IF($D$11='Table 10-4 EstMin Tensile Strng'!$C$13,'Table 10-4 EstMin Tensile Strng'!$I$13/'Engine Valve Spring'!AA47^'Table 10-4 EstMin Tensile Strng'!$F$13,IF($D$11='Table 10-4 EstMin Tensile Strng'!$C$13,'Table 10-4 EstMin Tensile Strng'!$I$14/'Engine Valve Spring'!AA47^'Table 10-4 EstMin Tensile Strng'!$F$14,IF($D$11='Table 10-4 EstMin Tensile Strng'!$C$13,'Table 10-4 EstMin Tensile Strng'!$I$15/'Engine Valve Spring'!AA47^'Table 10-4 EstMin Tensile Strng'!$F$15)))))))))))</f>
        <v>786.93585981389663</v>
      </c>
      <c r="AC47">
        <f t="shared" si="0"/>
        <v>966.81306208551325</v>
      </c>
    </row>
    <row r="48" spans="2:29" x14ac:dyDescent="0.25">
      <c r="AA48">
        <v>4.4000000000000004</v>
      </c>
      <c r="AB48">
        <f>0.56/$D$7*IF($D$11='Table 10-4 EstMin Tensile Strng'!$C$5,'Table 10-4 EstMin Tensile Strng'!$I$5/'Engine Valve Spring'!AA48^'Table 10-4 EstMin Tensile Strng'!$F$5,IF($D$11='Table 10-4 EstMin Tensile Strng'!$C$6,'Table 10-4 EstMin Tensile Strng'!$I$6/'Engine Valve Spring'!AA48^'Table 10-4 EstMin Tensile Strng'!$F$6,IF($D$11='Table 10-4 EstMin Tensile Strng'!$C$7,'Table 10-4 EstMin Tensile Strng'!$I$7/'Engine Valve Spring'!AA48^'Table 10-4 EstMin Tensile Strng'!$F$7,IF($D$11='Table 10-4 EstMin Tensile Strng'!$C$8,'Table 10-4 EstMin Tensile Strng'!$I$8/'Engine Valve Spring'!AA48^'Table 10-4 EstMin Tensile Strng'!$F$8,IF($D$11='Table 10-4 EstMin Tensile Strng'!$C$9,'Table 10-4 EstMin Tensile Strng'!$I$9/'Engine Valve Spring'!AA48^'Table 10-4 EstMin Tensile Strng'!$F$9,IF($D$11='Table 10-4 EstMin Tensile Strng'!$C$10,'Table 10-4 EstMin Tensile Strng'!$I$10/'Engine Valve Spring'!AA48^'Table 10-4 EstMin Tensile Strng'!$F$10,IF($D$11='Table 10-4 EstMin Tensile Strng'!$C$10,'Table 10-4 EstMin Tensile Strng'!$I$11/'Engine Valve Spring'!AA48^'Table 10-4 EstMin Tensile Strng'!$F$11,IF($D$11='Table 10-4 EstMin Tensile Strng'!$C$10,'Table 10-4 EstMin Tensile Strng'!$I$12/'Engine Valve Spring'!AA48^'Table 10-4 EstMin Tensile Strng'!$F$12,IF($D$11='Table 10-4 EstMin Tensile Strng'!$C$13,'Table 10-4 EstMin Tensile Strng'!$I$13/'Engine Valve Spring'!AA48^'Table 10-4 EstMin Tensile Strng'!$F$13,IF($D$11='Table 10-4 EstMin Tensile Strng'!$C$13,'Table 10-4 EstMin Tensile Strng'!$I$14/'Engine Valve Spring'!AA48^'Table 10-4 EstMin Tensile Strng'!$F$14,IF($D$11='Table 10-4 EstMin Tensile Strng'!$C$13,'Table 10-4 EstMin Tensile Strng'!$I$15/'Engine Valve Spring'!AA48^'Table 10-4 EstMin Tensile Strng'!$F$15)))))))))))</f>
        <v>784.98442555378165</v>
      </c>
      <c r="AC48">
        <f t="shared" si="0"/>
        <v>906.09411423704626</v>
      </c>
    </row>
    <row r="49" spans="27:29" x14ac:dyDescent="0.25">
      <c r="AA49">
        <v>4.5</v>
      </c>
      <c r="AB49">
        <f>0.56/$D$7*IF($D$11='Table 10-4 EstMin Tensile Strng'!$C$5,'Table 10-4 EstMin Tensile Strng'!$I$5/'Engine Valve Spring'!AA49^'Table 10-4 EstMin Tensile Strng'!$F$5,IF($D$11='Table 10-4 EstMin Tensile Strng'!$C$6,'Table 10-4 EstMin Tensile Strng'!$I$6/'Engine Valve Spring'!AA49^'Table 10-4 EstMin Tensile Strng'!$F$6,IF($D$11='Table 10-4 EstMin Tensile Strng'!$C$7,'Table 10-4 EstMin Tensile Strng'!$I$7/'Engine Valve Spring'!AA49^'Table 10-4 EstMin Tensile Strng'!$F$7,IF($D$11='Table 10-4 EstMin Tensile Strng'!$C$8,'Table 10-4 EstMin Tensile Strng'!$I$8/'Engine Valve Spring'!AA49^'Table 10-4 EstMin Tensile Strng'!$F$8,IF($D$11='Table 10-4 EstMin Tensile Strng'!$C$9,'Table 10-4 EstMin Tensile Strng'!$I$9/'Engine Valve Spring'!AA49^'Table 10-4 EstMin Tensile Strng'!$F$9,IF($D$11='Table 10-4 EstMin Tensile Strng'!$C$10,'Table 10-4 EstMin Tensile Strng'!$I$10/'Engine Valve Spring'!AA49^'Table 10-4 EstMin Tensile Strng'!$F$10,IF($D$11='Table 10-4 EstMin Tensile Strng'!$C$10,'Table 10-4 EstMin Tensile Strng'!$I$11/'Engine Valve Spring'!AA49^'Table 10-4 EstMin Tensile Strng'!$F$11,IF($D$11='Table 10-4 EstMin Tensile Strng'!$C$10,'Table 10-4 EstMin Tensile Strng'!$I$12/'Engine Valve Spring'!AA49^'Table 10-4 EstMin Tensile Strng'!$F$12,IF($D$11='Table 10-4 EstMin Tensile Strng'!$C$13,'Table 10-4 EstMin Tensile Strng'!$I$13/'Engine Valve Spring'!AA49^'Table 10-4 EstMin Tensile Strng'!$F$13,IF($D$11='Table 10-4 EstMin Tensile Strng'!$C$13,'Table 10-4 EstMin Tensile Strng'!$I$14/'Engine Valve Spring'!AA49^'Table 10-4 EstMin Tensile Strng'!$F$14,IF($D$11='Table 10-4 EstMin Tensile Strng'!$C$13,'Table 10-4 EstMin Tensile Strng'!$I$15/'Engine Valve Spring'!AA49^'Table 10-4 EstMin Tensile Strng'!$F$15)))))))))))</f>
        <v>783.08152480417198</v>
      </c>
      <c r="AC49">
        <f t="shared" si="0"/>
        <v>850.50982799840881</v>
      </c>
    </row>
    <row r="50" spans="27:29" x14ac:dyDescent="0.25">
      <c r="AA50">
        <v>4.5999999999999996</v>
      </c>
      <c r="AB50">
        <f>0.56/$D$7*IF($D$11='Table 10-4 EstMin Tensile Strng'!$C$5,'Table 10-4 EstMin Tensile Strng'!$I$5/'Engine Valve Spring'!AA50^'Table 10-4 EstMin Tensile Strng'!$F$5,IF($D$11='Table 10-4 EstMin Tensile Strng'!$C$6,'Table 10-4 EstMin Tensile Strng'!$I$6/'Engine Valve Spring'!AA50^'Table 10-4 EstMin Tensile Strng'!$F$6,IF($D$11='Table 10-4 EstMin Tensile Strng'!$C$7,'Table 10-4 EstMin Tensile Strng'!$I$7/'Engine Valve Spring'!AA50^'Table 10-4 EstMin Tensile Strng'!$F$7,IF($D$11='Table 10-4 EstMin Tensile Strng'!$C$8,'Table 10-4 EstMin Tensile Strng'!$I$8/'Engine Valve Spring'!AA50^'Table 10-4 EstMin Tensile Strng'!$F$8,IF($D$11='Table 10-4 EstMin Tensile Strng'!$C$9,'Table 10-4 EstMin Tensile Strng'!$I$9/'Engine Valve Spring'!AA50^'Table 10-4 EstMin Tensile Strng'!$F$9,IF($D$11='Table 10-4 EstMin Tensile Strng'!$C$10,'Table 10-4 EstMin Tensile Strng'!$I$10/'Engine Valve Spring'!AA50^'Table 10-4 EstMin Tensile Strng'!$F$10,IF($D$11='Table 10-4 EstMin Tensile Strng'!$C$10,'Table 10-4 EstMin Tensile Strng'!$I$11/'Engine Valve Spring'!AA50^'Table 10-4 EstMin Tensile Strng'!$F$11,IF($D$11='Table 10-4 EstMin Tensile Strng'!$C$10,'Table 10-4 EstMin Tensile Strng'!$I$12/'Engine Valve Spring'!AA50^'Table 10-4 EstMin Tensile Strng'!$F$12,IF($D$11='Table 10-4 EstMin Tensile Strng'!$C$13,'Table 10-4 EstMin Tensile Strng'!$I$13/'Engine Valve Spring'!AA50^'Table 10-4 EstMin Tensile Strng'!$F$13,IF($D$11='Table 10-4 EstMin Tensile Strng'!$C$13,'Table 10-4 EstMin Tensile Strng'!$I$14/'Engine Valve Spring'!AA50^'Table 10-4 EstMin Tensile Strng'!$F$14,IF($D$11='Table 10-4 EstMin Tensile Strng'!$C$13,'Table 10-4 EstMin Tensile Strng'!$I$15/'Engine Valve Spring'!AA50^'Table 10-4 EstMin Tensile Strng'!$F$15)))))))))))</f>
        <v>781.22491143288983</v>
      </c>
      <c r="AC50">
        <f t="shared" si="0"/>
        <v>799.52310110611745</v>
      </c>
    </row>
    <row r="51" spans="27:29" x14ac:dyDescent="0.25">
      <c r="AA51">
        <v>4.7</v>
      </c>
      <c r="AB51">
        <f>0.56/$D$7*IF($D$11='Table 10-4 EstMin Tensile Strng'!$C$5,'Table 10-4 EstMin Tensile Strng'!$I$5/'Engine Valve Spring'!AA51^'Table 10-4 EstMin Tensile Strng'!$F$5,IF($D$11='Table 10-4 EstMin Tensile Strng'!$C$6,'Table 10-4 EstMin Tensile Strng'!$I$6/'Engine Valve Spring'!AA51^'Table 10-4 EstMin Tensile Strng'!$F$6,IF($D$11='Table 10-4 EstMin Tensile Strng'!$C$7,'Table 10-4 EstMin Tensile Strng'!$I$7/'Engine Valve Spring'!AA51^'Table 10-4 EstMin Tensile Strng'!$F$7,IF($D$11='Table 10-4 EstMin Tensile Strng'!$C$8,'Table 10-4 EstMin Tensile Strng'!$I$8/'Engine Valve Spring'!AA51^'Table 10-4 EstMin Tensile Strng'!$F$8,IF($D$11='Table 10-4 EstMin Tensile Strng'!$C$9,'Table 10-4 EstMin Tensile Strng'!$I$9/'Engine Valve Spring'!AA51^'Table 10-4 EstMin Tensile Strng'!$F$9,IF($D$11='Table 10-4 EstMin Tensile Strng'!$C$10,'Table 10-4 EstMin Tensile Strng'!$I$10/'Engine Valve Spring'!AA51^'Table 10-4 EstMin Tensile Strng'!$F$10,IF($D$11='Table 10-4 EstMin Tensile Strng'!$C$10,'Table 10-4 EstMin Tensile Strng'!$I$11/'Engine Valve Spring'!AA51^'Table 10-4 EstMin Tensile Strng'!$F$11,IF($D$11='Table 10-4 EstMin Tensile Strng'!$C$10,'Table 10-4 EstMin Tensile Strng'!$I$12/'Engine Valve Spring'!AA51^'Table 10-4 EstMin Tensile Strng'!$F$12,IF($D$11='Table 10-4 EstMin Tensile Strng'!$C$13,'Table 10-4 EstMin Tensile Strng'!$I$13/'Engine Valve Spring'!AA51^'Table 10-4 EstMin Tensile Strng'!$F$13,IF($D$11='Table 10-4 EstMin Tensile Strng'!$C$13,'Table 10-4 EstMin Tensile Strng'!$I$14/'Engine Valve Spring'!AA51^'Table 10-4 EstMin Tensile Strng'!$F$14,IF($D$11='Table 10-4 EstMin Tensile Strng'!$C$13,'Table 10-4 EstMin Tensile Strng'!$I$15/'Engine Valve Spring'!AA51^'Table 10-4 EstMin Tensile Strng'!$F$15)))))))))))</f>
        <v>779.41248928406583</v>
      </c>
      <c r="AC51">
        <f t="shared" si="0"/>
        <v>752.66320508631793</v>
      </c>
    </row>
    <row r="52" spans="27:29" x14ac:dyDescent="0.25">
      <c r="AA52">
        <v>4.8</v>
      </c>
      <c r="AB52">
        <f>0.56/$D$7*IF($D$11='Table 10-4 EstMin Tensile Strng'!$C$5,'Table 10-4 EstMin Tensile Strng'!$I$5/'Engine Valve Spring'!AA52^'Table 10-4 EstMin Tensile Strng'!$F$5,IF($D$11='Table 10-4 EstMin Tensile Strng'!$C$6,'Table 10-4 EstMin Tensile Strng'!$I$6/'Engine Valve Spring'!AA52^'Table 10-4 EstMin Tensile Strng'!$F$6,IF($D$11='Table 10-4 EstMin Tensile Strng'!$C$7,'Table 10-4 EstMin Tensile Strng'!$I$7/'Engine Valve Spring'!AA52^'Table 10-4 EstMin Tensile Strng'!$F$7,IF($D$11='Table 10-4 EstMin Tensile Strng'!$C$8,'Table 10-4 EstMin Tensile Strng'!$I$8/'Engine Valve Spring'!AA52^'Table 10-4 EstMin Tensile Strng'!$F$8,IF($D$11='Table 10-4 EstMin Tensile Strng'!$C$9,'Table 10-4 EstMin Tensile Strng'!$I$9/'Engine Valve Spring'!AA52^'Table 10-4 EstMin Tensile Strng'!$F$9,IF($D$11='Table 10-4 EstMin Tensile Strng'!$C$10,'Table 10-4 EstMin Tensile Strng'!$I$10/'Engine Valve Spring'!AA52^'Table 10-4 EstMin Tensile Strng'!$F$10,IF($D$11='Table 10-4 EstMin Tensile Strng'!$C$10,'Table 10-4 EstMin Tensile Strng'!$I$11/'Engine Valve Spring'!AA52^'Table 10-4 EstMin Tensile Strng'!$F$11,IF($D$11='Table 10-4 EstMin Tensile Strng'!$C$10,'Table 10-4 EstMin Tensile Strng'!$I$12/'Engine Valve Spring'!AA52^'Table 10-4 EstMin Tensile Strng'!$F$12,IF($D$11='Table 10-4 EstMin Tensile Strng'!$C$13,'Table 10-4 EstMin Tensile Strng'!$I$13/'Engine Valve Spring'!AA52^'Table 10-4 EstMin Tensile Strng'!$F$13,IF($D$11='Table 10-4 EstMin Tensile Strng'!$C$13,'Table 10-4 EstMin Tensile Strng'!$I$14/'Engine Valve Spring'!AA52^'Table 10-4 EstMin Tensile Strng'!$F$14,IF($D$11='Table 10-4 EstMin Tensile Strng'!$C$13,'Table 10-4 EstMin Tensile Strng'!$I$15/'Engine Valve Spring'!AA52^'Table 10-4 EstMin Tensile Strng'!$F$15)))))))))))</f>
        <v>777.64229922001164</v>
      </c>
      <c r="AC52">
        <f t="shared" si="0"/>
        <v>709.51638249200789</v>
      </c>
    </row>
    <row r="53" spans="27:29" x14ac:dyDescent="0.25">
      <c r="AA53">
        <v>4.9000000000000004</v>
      </c>
      <c r="AB53">
        <f>0.56/$D$7*IF($D$11='Table 10-4 EstMin Tensile Strng'!$C$5,'Table 10-4 EstMin Tensile Strng'!$I$5/'Engine Valve Spring'!AA53^'Table 10-4 EstMin Tensile Strng'!$F$5,IF($D$11='Table 10-4 EstMin Tensile Strng'!$C$6,'Table 10-4 EstMin Tensile Strng'!$I$6/'Engine Valve Spring'!AA53^'Table 10-4 EstMin Tensile Strng'!$F$6,IF($D$11='Table 10-4 EstMin Tensile Strng'!$C$7,'Table 10-4 EstMin Tensile Strng'!$I$7/'Engine Valve Spring'!AA53^'Table 10-4 EstMin Tensile Strng'!$F$7,IF($D$11='Table 10-4 EstMin Tensile Strng'!$C$8,'Table 10-4 EstMin Tensile Strng'!$I$8/'Engine Valve Spring'!AA53^'Table 10-4 EstMin Tensile Strng'!$F$8,IF($D$11='Table 10-4 EstMin Tensile Strng'!$C$9,'Table 10-4 EstMin Tensile Strng'!$I$9/'Engine Valve Spring'!AA53^'Table 10-4 EstMin Tensile Strng'!$F$9,IF($D$11='Table 10-4 EstMin Tensile Strng'!$C$10,'Table 10-4 EstMin Tensile Strng'!$I$10/'Engine Valve Spring'!AA53^'Table 10-4 EstMin Tensile Strng'!$F$10,IF($D$11='Table 10-4 EstMin Tensile Strng'!$C$10,'Table 10-4 EstMin Tensile Strng'!$I$11/'Engine Valve Spring'!AA53^'Table 10-4 EstMin Tensile Strng'!$F$11,IF($D$11='Table 10-4 EstMin Tensile Strng'!$C$10,'Table 10-4 EstMin Tensile Strng'!$I$12/'Engine Valve Spring'!AA53^'Table 10-4 EstMin Tensile Strng'!$F$12,IF($D$11='Table 10-4 EstMin Tensile Strng'!$C$13,'Table 10-4 EstMin Tensile Strng'!$I$13/'Engine Valve Spring'!AA53^'Table 10-4 EstMin Tensile Strng'!$F$13,IF($D$11='Table 10-4 EstMin Tensile Strng'!$C$13,'Table 10-4 EstMin Tensile Strng'!$I$14/'Engine Valve Spring'!AA53^'Table 10-4 EstMin Tensile Strng'!$F$14,IF($D$11='Table 10-4 EstMin Tensile Strng'!$C$13,'Table 10-4 EstMin Tensile Strng'!$I$15/'Engine Valve Spring'!AA53^'Table 10-4 EstMin Tensile Strng'!$F$15)))))))))))</f>
        <v>775.91250752659232</v>
      </c>
      <c r="AC53">
        <f t="shared" si="0"/>
        <v>669.71793883474641</v>
      </c>
    </row>
    <row r="54" spans="27:29" x14ac:dyDescent="0.25">
      <c r="AA54">
        <v>5</v>
      </c>
      <c r="AB54">
        <f>0.56/$D$7*IF($D$11='Table 10-4 EstMin Tensile Strng'!$C$5,'Table 10-4 EstMin Tensile Strng'!$I$5/'Engine Valve Spring'!AA54^'Table 10-4 EstMin Tensile Strng'!$F$5,IF($D$11='Table 10-4 EstMin Tensile Strng'!$C$6,'Table 10-4 EstMin Tensile Strng'!$I$6/'Engine Valve Spring'!AA54^'Table 10-4 EstMin Tensile Strng'!$F$6,IF($D$11='Table 10-4 EstMin Tensile Strng'!$C$7,'Table 10-4 EstMin Tensile Strng'!$I$7/'Engine Valve Spring'!AA54^'Table 10-4 EstMin Tensile Strng'!$F$7,IF($D$11='Table 10-4 EstMin Tensile Strng'!$C$8,'Table 10-4 EstMin Tensile Strng'!$I$8/'Engine Valve Spring'!AA54^'Table 10-4 EstMin Tensile Strng'!$F$8,IF($D$11='Table 10-4 EstMin Tensile Strng'!$C$9,'Table 10-4 EstMin Tensile Strng'!$I$9/'Engine Valve Spring'!AA54^'Table 10-4 EstMin Tensile Strng'!$F$9,IF($D$11='Table 10-4 EstMin Tensile Strng'!$C$10,'Table 10-4 EstMin Tensile Strng'!$I$10/'Engine Valve Spring'!AA54^'Table 10-4 EstMin Tensile Strng'!$F$10,IF($D$11='Table 10-4 EstMin Tensile Strng'!$C$10,'Table 10-4 EstMin Tensile Strng'!$I$11/'Engine Valve Spring'!AA54^'Table 10-4 EstMin Tensile Strng'!$F$11,IF($D$11='Table 10-4 EstMin Tensile Strng'!$C$10,'Table 10-4 EstMin Tensile Strng'!$I$12/'Engine Valve Spring'!AA54^'Table 10-4 EstMin Tensile Strng'!$F$12,IF($D$11='Table 10-4 EstMin Tensile Strng'!$C$13,'Table 10-4 EstMin Tensile Strng'!$I$13/'Engine Valve Spring'!AA54^'Table 10-4 EstMin Tensile Strng'!$F$13,IF($D$11='Table 10-4 EstMin Tensile Strng'!$C$13,'Table 10-4 EstMin Tensile Strng'!$I$14/'Engine Valve Spring'!AA54^'Table 10-4 EstMin Tensile Strng'!$F$14,IF($D$11='Table 10-4 EstMin Tensile Strng'!$C$13,'Table 10-4 EstMin Tensile Strng'!$I$15/'Engine Valve Spring'!AA54^'Table 10-4 EstMin Tensile Strng'!$F$15)))))))))))</f>
        <v>774.22139551400312</v>
      </c>
      <c r="AC54">
        <f t="shared" si="0"/>
        <v>632.94556682420284</v>
      </c>
    </row>
    <row r="55" spans="27:29" x14ac:dyDescent="0.25">
      <c r="AA55">
        <v>5.0999999999999996</v>
      </c>
      <c r="AB55">
        <f>0.56/$D$7*IF($D$11='Table 10-4 EstMin Tensile Strng'!$C$5,'Table 10-4 EstMin Tensile Strng'!$I$5/'Engine Valve Spring'!AA55^'Table 10-4 EstMin Tensile Strng'!$F$5,IF($D$11='Table 10-4 EstMin Tensile Strng'!$C$6,'Table 10-4 EstMin Tensile Strng'!$I$6/'Engine Valve Spring'!AA55^'Table 10-4 EstMin Tensile Strng'!$F$6,IF($D$11='Table 10-4 EstMin Tensile Strng'!$C$7,'Table 10-4 EstMin Tensile Strng'!$I$7/'Engine Valve Spring'!AA55^'Table 10-4 EstMin Tensile Strng'!$F$7,IF($D$11='Table 10-4 EstMin Tensile Strng'!$C$8,'Table 10-4 EstMin Tensile Strng'!$I$8/'Engine Valve Spring'!AA55^'Table 10-4 EstMin Tensile Strng'!$F$8,IF($D$11='Table 10-4 EstMin Tensile Strng'!$C$9,'Table 10-4 EstMin Tensile Strng'!$I$9/'Engine Valve Spring'!AA55^'Table 10-4 EstMin Tensile Strng'!$F$9,IF($D$11='Table 10-4 EstMin Tensile Strng'!$C$10,'Table 10-4 EstMin Tensile Strng'!$I$10/'Engine Valve Spring'!AA55^'Table 10-4 EstMin Tensile Strng'!$F$10,IF($D$11='Table 10-4 EstMin Tensile Strng'!$C$10,'Table 10-4 EstMin Tensile Strng'!$I$11/'Engine Valve Spring'!AA55^'Table 10-4 EstMin Tensile Strng'!$F$11,IF($D$11='Table 10-4 EstMin Tensile Strng'!$C$10,'Table 10-4 EstMin Tensile Strng'!$I$12/'Engine Valve Spring'!AA55^'Table 10-4 EstMin Tensile Strng'!$F$12,IF($D$11='Table 10-4 EstMin Tensile Strng'!$C$13,'Table 10-4 EstMin Tensile Strng'!$I$13/'Engine Valve Spring'!AA55^'Table 10-4 EstMin Tensile Strng'!$F$13,IF($D$11='Table 10-4 EstMin Tensile Strng'!$C$13,'Table 10-4 EstMin Tensile Strng'!$I$14/'Engine Valve Spring'!AA55^'Table 10-4 EstMin Tensile Strng'!$F$14,IF($D$11='Table 10-4 EstMin Tensile Strng'!$C$13,'Table 10-4 EstMin Tensile Strng'!$I$15/'Engine Valve Spring'!AA55^'Table 10-4 EstMin Tensile Strng'!$F$15)))))))))))</f>
        <v>772.56735016848518</v>
      </c>
      <c r="AC55">
        <f t="shared" si="0"/>
        <v>598.91369076639251</v>
      </c>
    </row>
    <row r="56" spans="27:29" x14ac:dyDescent="0.25">
      <c r="AA56">
        <v>5.2</v>
      </c>
      <c r="AB56">
        <f>0.56/$D$7*IF($D$11='Table 10-4 EstMin Tensile Strng'!$C$5,'Table 10-4 EstMin Tensile Strng'!$I$5/'Engine Valve Spring'!AA56^'Table 10-4 EstMin Tensile Strng'!$F$5,IF($D$11='Table 10-4 EstMin Tensile Strng'!$C$6,'Table 10-4 EstMin Tensile Strng'!$I$6/'Engine Valve Spring'!AA56^'Table 10-4 EstMin Tensile Strng'!$F$6,IF($D$11='Table 10-4 EstMin Tensile Strng'!$C$7,'Table 10-4 EstMin Tensile Strng'!$I$7/'Engine Valve Spring'!AA56^'Table 10-4 EstMin Tensile Strng'!$F$7,IF($D$11='Table 10-4 EstMin Tensile Strng'!$C$8,'Table 10-4 EstMin Tensile Strng'!$I$8/'Engine Valve Spring'!AA56^'Table 10-4 EstMin Tensile Strng'!$F$8,IF($D$11='Table 10-4 EstMin Tensile Strng'!$C$9,'Table 10-4 EstMin Tensile Strng'!$I$9/'Engine Valve Spring'!AA56^'Table 10-4 EstMin Tensile Strng'!$F$9,IF($D$11='Table 10-4 EstMin Tensile Strng'!$C$10,'Table 10-4 EstMin Tensile Strng'!$I$10/'Engine Valve Spring'!AA56^'Table 10-4 EstMin Tensile Strng'!$F$10,IF($D$11='Table 10-4 EstMin Tensile Strng'!$C$10,'Table 10-4 EstMin Tensile Strng'!$I$11/'Engine Valve Spring'!AA56^'Table 10-4 EstMin Tensile Strng'!$F$11,IF($D$11='Table 10-4 EstMin Tensile Strng'!$C$10,'Table 10-4 EstMin Tensile Strng'!$I$12/'Engine Valve Spring'!AA56^'Table 10-4 EstMin Tensile Strng'!$F$12,IF($D$11='Table 10-4 EstMin Tensile Strng'!$C$13,'Table 10-4 EstMin Tensile Strng'!$I$13/'Engine Valve Spring'!AA56^'Table 10-4 EstMin Tensile Strng'!$F$13,IF($D$11='Table 10-4 EstMin Tensile Strng'!$C$13,'Table 10-4 EstMin Tensile Strng'!$I$14/'Engine Valve Spring'!AA56^'Table 10-4 EstMin Tensile Strng'!$F$14,IF($D$11='Table 10-4 EstMin Tensile Strng'!$C$13,'Table 10-4 EstMin Tensile Strng'!$I$15/'Engine Valve Spring'!AA56^'Table 10-4 EstMin Tensile Strng'!$F$15)))))))))))</f>
        <v>770.94885573043973</v>
      </c>
      <c r="AC56">
        <f t="shared" si="0"/>
        <v>567.36865882171514</v>
      </c>
    </row>
    <row r="57" spans="27:29" x14ac:dyDescent="0.25">
      <c r="AA57">
        <v>5.3</v>
      </c>
      <c r="AB57">
        <f>0.56/$D$7*IF($D$11='Table 10-4 EstMin Tensile Strng'!$C$5,'Table 10-4 EstMin Tensile Strng'!$I$5/'Engine Valve Spring'!AA57^'Table 10-4 EstMin Tensile Strng'!$F$5,IF($D$11='Table 10-4 EstMin Tensile Strng'!$C$6,'Table 10-4 EstMin Tensile Strng'!$I$6/'Engine Valve Spring'!AA57^'Table 10-4 EstMin Tensile Strng'!$F$6,IF($D$11='Table 10-4 EstMin Tensile Strng'!$C$7,'Table 10-4 EstMin Tensile Strng'!$I$7/'Engine Valve Spring'!AA57^'Table 10-4 EstMin Tensile Strng'!$F$7,IF($D$11='Table 10-4 EstMin Tensile Strng'!$C$8,'Table 10-4 EstMin Tensile Strng'!$I$8/'Engine Valve Spring'!AA57^'Table 10-4 EstMin Tensile Strng'!$F$8,IF($D$11='Table 10-4 EstMin Tensile Strng'!$C$9,'Table 10-4 EstMin Tensile Strng'!$I$9/'Engine Valve Spring'!AA57^'Table 10-4 EstMin Tensile Strng'!$F$9,IF($D$11='Table 10-4 EstMin Tensile Strng'!$C$10,'Table 10-4 EstMin Tensile Strng'!$I$10/'Engine Valve Spring'!AA57^'Table 10-4 EstMin Tensile Strng'!$F$10,IF($D$11='Table 10-4 EstMin Tensile Strng'!$C$10,'Table 10-4 EstMin Tensile Strng'!$I$11/'Engine Valve Spring'!AA57^'Table 10-4 EstMin Tensile Strng'!$F$11,IF($D$11='Table 10-4 EstMin Tensile Strng'!$C$10,'Table 10-4 EstMin Tensile Strng'!$I$12/'Engine Valve Spring'!AA57^'Table 10-4 EstMin Tensile Strng'!$F$12,IF($D$11='Table 10-4 EstMin Tensile Strng'!$C$13,'Table 10-4 EstMin Tensile Strng'!$I$13/'Engine Valve Spring'!AA57^'Table 10-4 EstMin Tensile Strng'!$F$13,IF($D$11='Table 10-4 EstMin Tensile Strng'!$C$13,'Table 10-4 EstMin Tensile Strng'!$I$14/'Engine Valve Spring'!AA57^'Table 10-4 EstMin Tensile Strng'!$F$14,IF($D$11='Table 10-4 EstMin Tensile Strng'!$C$13,'Table 10-4 EstMin Tensile Strng'!$I$15/'Engine Valve Spring'!AA57^'Table 10-4 EstMin Tensile Strng'!$F$15)))))))))))</f>
        <v>769.36448609125341</v>
      </c>
      <c r="AC57">
        <f t="shared" si="0"/>
        <v>538.08464258746983</v>
      </c>
    </row>
    <row r="58" spans="27:29" x14ac:dyDescent="0.25">
      <c r="AA58">
        <v>5.4</v>
      </c>
      <c r="AB58">
        <f>0.56/$D$7*IF($D$11='Table 10-4 EstMin Tensile Strng'!$C$5,'Table 10-4 EstMin Tensile Strng'!$I$5/'Engine Valve Spring'!AA58^'Table 10-4 EstMin Tensile Strng'!$F$5,IF($D$11='Table 10-4 EstMin Tensile Strng'!$C$6,'Table 10-4 EstMin Tensile Strng'!$I$6/'Engine Valve Spring'!AA58^'Table 10-4 EstMin Tensile Strng'!$F$6,IF($D$11='Table 10-4 EstMin Tensile Strng'!$C$7,'Table 10-4 EstMin Tensile Strng'!$I$7/'Engine Valve Spring'!AA58^'Table 10-4 EstMin Tensile Strng'!$F$7,IF($D$11='Table 10-4 EstMin Tensile Strng'!$C$8,'Table 10-4 EstMin Tensile Strng'!$I$8/'Engine Valve Spring'!AA58^'Table 10-4 EstMin Tensile Strng'!$F$8,IF($D$11='Table 10-4 EstMin Tensile Strng'!$C$9,'Table 10-4 EstMin Tensile Strng'!$I$9/'Engine Valve Spring'!AA58^'Table 10-4 EstMin Tensile Strng'!$F$9,IF($D$11='Table 10-4 EstMin Tensile Strng'!$C$10,'Table 10-4 EstMin Tensile Strng'!$I$10/'Engine Valve Spring'!AA58^'Table 10-4 EstMin Tensile Strng'!$F$10,IF($D$11='Table 10-4 EstMin Tensile Strng'!$C$10,'Table 10-4 EstMin Tensile Strng'!$I$11/'Engine Valve Spring'!AA58^'Table 10-4 EstMin Tensile Strng'!$F$11,IF($D$11='Table 10-4 EstMin Tensile Strng'!$C$10,'Table 10-4 EstMin Tensile Strng'!$I$12/'Engine Valve Spring'!AA58^'Table 10-4 EstMin Tensile Strng'!$F$12,IF($D$11='Table 10-4 EstMin Tensile Strng'!$C$13,'Table 10-4 EstMin Tensile Strng'!$I$13/'Engine Valve Spring'!AA58^'Table 10-4 EstMin Tensile Strng'!$F$13,IF($D$11='Table 10-4 EstMin Tensile Strng'!$C$13,'Table 10-4 EstMin Tensile Strng'!$I$14/'Engine Valve Spring'!AA58^'Table 10-4 EstMin Tensile Strng'!$F$14,IF($D$11='Table 10-4 EstMin Tensile Strng'!$C$13,'Table 10-4 EstMin Tensile Strng'!$I$15/'Engine Valve Spring'!AA58^'Table 10-4 EstMin Tensile Strng'!$F$15)))))))))))</f>
        <v>767.81289791543554</v>
      </c>
      <c r="AC58">
        <f t="shared" si="0"/>
        <v>510.86012890487945</v>
      </c>
    </row>
    <row r="59" spans="27:29" x14ac:dyDescent="0.25">
      <c r="AA59">
        <v>5.5</v>
      </c>
      <c r="AB59">
        <f>0.56/$D$7*IF($D$11='Table 10-4 EstMin Tensile Strng'!$C$5,'Table 10-4 EstMin Tensile Strng'!$I$5/'Engine Valve Spring'!AA59^'Table 10-4 EstMin Tensile Strng'!$F$5,IF($D$11='Table 10-4 EstMin Tensile Strng'!$C$6,'Table 10-4 EstMin Tensile Strng'!$I$6/'Engine Valve Spring'!AA59^'Table 10-4 EstMin Tensile Strng'!$F$6,IF($D$11='Table 10-4 EstMin Tensile Strng'!$C$7,'Table 10-4 EstMin Tensile Strng'!$I$7/'Engine Valve Spring'!AA59^'Table 10-4 EstMin Tensile Strng'!$F$7,IF($D$11='Table 10-4 EstMin Tensile Strng'!$C$8,'Table 10-4 EstMin Tensile Strng'!$I$8/'Engine Valve Spring'!AA59^'Table 10-4 EstMin Tensile Strng'!$F$8,IF($D$11='Table 10-4 EstMin Tensile Strng'!$C$9,'Table 10-4 EstMin Tensile Strng'!$I$9/'Engine Valve Spring'!AA59^'Table 10-4 EstMin Tensile Strng'!$F$9,IF($D$11='Table 10-4 EstMin Tensile Strng'!$C$10,'Table 10-4 EstMin Tensile Strng'!$I$10/'Engine Valve Spring'!AA59^'Table 10-4 EstMin Tensile Strng'!$F$10,IF($D$11='Table 10-4 EstMin Tensile Strng'!$C$10,'Table 10-4 EstMin Tensile Strng'!$I$11/'Engine Valve Spring'!AA59^'Table 10-4 EstMin Tensile Strng'!$F$11,IF($D$11='Table 10-4 EstMin Tensile Strng'!$C$10,'Table 10-4 EstMin Tensile Strng'!$I$12/'Engine Valve Spring'!AA59^'Table 10-4 EstMin Tensile Strng'!$F$12,IF($D$11='Table 10-4 EstMin Tensile Strng'!$C$13,'Table 10-4 EstMin Tensile Strng'!$I$13/'Engine Valve Spring'!AA59^'Table 10-4 EstMin Tensile Strng'!$F$13,IF($D$11='Table 10-4 EstMin Tensile Strng'!$C$13,'Table 10-4 EstMin Tensile Strng'!$I$14/'Engine Valve Spring'!AA59^'Table 10-4 EstMin Tensile Strng'!$F$14,IF($D$11='Table 10-4 EstMin Tensile Strng'!$C$13,'Table 10-4 EstMin Tensile Strng'!$I$15/'Engine Valve Spring'!AA59^'Table 10-4 EstMin Tensile Strng'!$F$15)))))))))))</f>
        <v>766.29282440684972</v>
      </c>
      <c r="AC59">
        <f t="shared" si="0"/>
        <v>485.51490924927054</v>
      </c>
    </row>
    <row r="60" spans="27:29" x14ac:dyDescent="0.25">
      <c r="AA60">
        <v>5.6</v>
      </c>
      <c r="AB60">
        <f>0.56/$D$7*IF($D$11='Table 10-4 EstMin Tensile Strng'!$C$5,'Table 10-4 EstMin Tensile Strng'!$I$5/'Engine Valve Spring'!AA60^'Table 10-4 EstMin Tensile Strng'!$F$5,IF($D$11='Table 10-4 EstMin Tensile Strng'!$C$6,'Table 10-4 EstMin Tensile Strng'!$I$6/'Engine Valve Spring'!AA60^'Table 10-4 EstMin Tensile Strng'!$F$6,IF($D$11='Table 10-4 EstMin Tensile Strng'!$C$7,'Table 10-4 EstMin Tensile Strng'!$I$7/'Engine Valve Spring'!AA60^'Table 10-4 EstMin Tensile Strng'!$F$7,IF($D$11='Table 10-4 EstMin Tensile Strng'!$C$8,'Table 10-4 EstMin Tensile Strng'!$I$8/'Engine Valve Spring'!AA60^'Table 10-4 EstMin Tensile Strng'!$F$8,IF($D$11='Table 10-4 EstMin Tensile Strng'!$C$9,'Table 10-4 EstMin Tensile Strng'!$I$9/'Engine Valve Spring'!AA60^'Table 10-4 EstMin Tensile Strng'!$F$9,IF($D$11='Table 10-4 EstMin Tensile Strng'!$C$10,'Table 10-4 EstMin Tensile Strng'!$I$10/'Engine Valve Spring'!AA60^'Table 10-4 EstMin Tensile Strng'!$F$10,IF($D$11='Table 10-4 EstMin Tensile Strng'!$C$10,'Table 10-4 EstMin Tensile Strng'!$I$11/'Engine Valve Spring'!AA60^'Table 10-4 EstMin Tensile Strng'!$F$11,IF($D$11='Table 10-4 EstMin Tensile Strng'!$C$10,'Table 10-4 EstMin Tensile Strng'!$I$12/'Engine Valve Spring'!AA60^'Table 10-4 EstMin Tensile Strng'!$F$12,IF($D$11='Table 10-4 EstMin Tensile Strng'!$C$13,'Table 10-4 EstMin Tensile Strng'!$I$13/'Engine Valve Spring'!AA60^'Table 10-4 EstMin Tensile Strng'!$F$13,IF($D$11='Table 10-4 EstMin Tensile Strng'!$C$13,'Table 10-4 EstMin Tensile Strng'!$I$14/'Engine Valve Spring'!AA60^'Table 10-4 EstMin Tensile Strng'!$F$14,IF($D$11='Table 10-4 EstMin Tensile Strng'!$C$13,'Table 10-4 EstMin Tensile Strng'!$I$15/'Engine Valve Spring'!AA60^'Table 10-4 EstMin Tensile Strng'!$F$15)))))))))))</f>
        <v>764.80306964820363</v>
      </c>
      <c r="AC60">
        <f t="shared" si="0"/>
        <v>461.88748858805155</v>
      </c>
    </row>
    <row r="61" spans="27:29" x14ac:dyDescent="0.25">
      <c r="AA61">
        <v>5.7</v>
      </c>
      <c r="AB61">
        <f>0.56/$D$7*IF($D$11='Table 10-4 EstMin Tensile Strng'!$C$5,'Table 10-4 EstMin Tensile Strng'!$I$5/'Engine Valve Spring'!AA61^'Table 10-4 EstMin Tensile Strng'!$F$5,IF($D$11='Table 10-4 EstMin Tensile Strng'!$C$6,'Table 10-4 EstMin Tensile Strng'!$I$6/'Engine Valve Spring'!AA61^'Table 10-4 EstMin Tensile Strng'!$F$6,IF($D$11='Table 10-4 EstMin Tensile Strng'!$C$7,'Table 10-4 EstMin Tensile Strng'!$I$7/'Engine Valve Spring'!AA61^'Table 10-4 EstMin Tensile Strng'!$F$7,IF($D$11='Table 10-4 EstMin Tensile Strng'!$C$8,'Table 10-4 EstMin Tensile Strng'!$I$8/'Engine Valve Spring'!AA61^'Table 10-4 EstMin Tensile Strng'!$F$8,IF($D$11='Table 10-4 EstMin Tensile Strng'!$C$9,'Table 10-4 EstMin Tensile Strng'!$I$9/'Engine Valve Spring'!AA61^'Table 10-4 EstMin Tensile Strng'!$F$9,IF($D$11='Table 10-4 EstMin Tensile Strng'!$C$10,'Table 10-4 EstMin Tensile Strng'!$I$10/'Engine Valve Spring'!AA61^'Table 10-4 EstMin Tensile Strng'!$F$10,IF($D$11='Table 10-4 EstMin Tensile Strng'!$C$10,'Table 10-4 EstMin Tensile Strng'!$I$11/'Engine Valve Spring'!AA61^'Table 10-4 EstMin Tensile Strng'!$F$11,IF($D$11='Table 10-4 EstMin Tensile Strng'!$C$10,'Table 10-4 EstMin Tensile Strng'!$I$12/'Engine Valve Spring'!AA61^'Table 10-4 EstMin Tensile Strng'!$F$12,IF($D$11='Table 10-4 EstMin Tensile Strng'!$C$13,'Table 10-4 EstMin Tensile Strng'!$I$13/'Engine Valve Spring'!AA61^'Table 10-4 EstMin Tensile Strng'!$F$13,IF($D$11='Table 10-4 EstMin Tensile Strng'!$C$13,'Table 10-4 EstMin Tensile Strng'!$I$14/'Engine Valve Spring'!AA61^'Table 10-4 EstMin Tensile Strng'!$F$14,IF($D$11='Table 10-4 EstMin Tensile Strng'!$C$13,'Table 10-4 EstMin Tensile Strng'!$I$15/'Engine Valve Spring'!AA61^'Table 10-4 EstMin Tensile Strng'!$F$15)))))))))))</f>
        <v>763.34250345188059</v>
      </c>
      <c r="AC61">
        <f t="shared" si="0"/>
        <v>439.83284899541184</v>
      </c>
    </row>
    <row r="62" spans="27:29" x14ac:dyDescent="0.25">
      <c r="AA62">
        <v>5.8</v>
      </c>
      <c r="AB62">
        <f>0.56/$D$7*IF($D$11='Table 10-4 EstMin Tensile Strng'!$C$5,'Table 10-4 EstMin Tensile Strng'!$I$5/'Engine Valve Spring'!AA62^'Table 10-4 EstMin Tensile Strng'!$F$5,IF($D$11='Table 10-4 EstMin Tensile Strng'!$C$6,'Table 10-4 EstMin Tensile Strng'!$I$6/'Engine Valve Spring'!AA62^'Table 10-4 EstMin Tensile Strng'!$F$6,IF($D$11='Table 10-4 EstMin Tensile Strng'!$C$7,'Table 10-4 EstMin Tensile Strng'!$I$7/'Engine Valve Spring'!AA62^'Table 10-4 EstMin Tensile Strng'!$F$7,IF($D$11='Table 10-4 EstMin Tensile Strng'!$C$8,'Table 10-4 EstMin Tensile Strng'!$I$8/'Engine Valve Spring'!AA62^'Table 10-4 EstMin Tensile Strng'!$F$8,IF($D$11='Table 10-4 EstMin Tensile Strng'!$C$9,'Table 10-4 EstMin Tensile Strng'!$I$9/'Engine Valve Spring'!AA62^'Table 10-4 EstMin Tensile Strng'!$F$9,IF($D$11='Table 10-4 EstMin Tensile Strng'!$C$10,'Table 10-4 EstMin Tensile Strng'!$I$10/'Engine Valve Spring'!AA62^'Table 10-4 EstMin Tensile Strng'!$F$10,IF($D$11='Table 10-4 EstMin Tensile Strng'!$C$10,'Table 10-4 EstMin Tensile Strng'!$I$11/'Engine Valve Spring'!AA62^'Table 10-4 EstMin Tensile Strng'!$F$11,IF($D$11='Table 10-4 EstMin Tensile Strng'!$C$10,'Table 10-4 EstMin Tensile Strng'!$I$12/'Engine Valve Spring'!AA62^'Table 10-4 EstMin Tensile Strng'!$F$12,IF($D$11='Table 10-4 EstMin Tensile Strng'!$C$13,'Table 10-4 EstMin Tensile Strng'!$I$13/'Engine Valve Spring'!AA62^'Table 10-4 EstMin Tensile Strng'!$F$13,IF($D$11='Table 10-4 EstMin Tensile Strng'!$C$13,'Table 10-4 EstMin Tensile Strng'!$I$14/'Engine Valve Spring'!AA62^'Table 10-4 EstMin Tensile Strng'!$F$14,IF($D$11='Table 10-4 EstMin Tensile Strng'!$C$13,'Table 10-4 EstMin Tensile Strng'!$I$15/'Engine Valve Spring'!AA62^'Table 10-4 EstMin Tensile Strng'!$F$15)))))))))))</f>
        <v>761.91005666782883</v>
      </c>
      <c r="AC62">
        <f t="shared" si="0"/>
        <v>419.22051422789917</v>
      </c>
    </row>
    <row r="63" spans="27:29" x14ac:dyDescent="0.25">
      <c r="AA63">
        <v>5.9</v>
      </c>
      <c r="AB63">
        <f>0.56/$D$7*IF($D$11='Table 10-4 EstMin Tensile Strng'!$C$5,'Table 10-4 EstMin Tensile Strng'!$I$5/'Engine Valve Spring'!AA63^'Table 10-4 EstMin Tensile Strng'!$F$5,IF($D$11='Table 10-4 EstMin Tensile Strng'!$C$6,'Table 10-4 EstMin Tensile Strng'!$I$6/'Engine Valve Spring'!AA63^'Table 10-4 EstMin Tensile Strng'!$F$6,IF($D$11='Table 10-4 EstMin Tensile Strng'!$C$7,'Table 10-4 EstMin Tensile Strng'!$I$7/'Engine Valve Spring'!AA63^'Table 10-4 EstMin Tensile Strng'!$F$7,IF($D$11='Table 10-4 EstMin Tensile Strng'!$C$8,'Table 10-4 EstMin Tensile Strng'!$I$8/'Engine Valve Spring'!AA63^'Table 10-4 EstMin Tensile Strng'!$F$8,IF($D$11='Table 10-4 EstMin Tensile Strng'!$C$9,'Table 10-4 EstMin Tensile Strng'!$I$9/'Engine Valve Spring'!AA63^'Table 10-4 EstMin Tensile Strng'!$F$9,IF($D$11='Table 10-4 EstMin Tensile Strng'!$C$10,'Table 10-4 EstMin Tensile Strng'!$I$10/'Engine Valve Spring'!AA63^'Table 10-4 EstMin Tensile Strng'!$F$10,IF($D$11='Table 10-4 EstMin Tensile Strng'!$C$10,'Table 10-4 EstMin Tensile Strng'!$I$11/'Engine Valve Spring'!AA63^'Table 10-4 EstMin Tensile Strng'!$F$11,IF($D$11='Table 10-4 EstMin Tensile Strng'!$C$10,'Table 10-4 EstMin Tensile Strng'!$I$12/'Engine Valve Spring'!AA63^'Table 10-4 EstMin Tensile Strng'!$F$12,IF($D$11='Table 10-4 EstMin Tensile Strng'!$C$13,'Table 10-4 EstMin Tensile Strng'!$I$13/'Engine Valve Spring'!AA63^'Table 10-4 EstMin Tensile Strng'!$F$13,IF($D$11='Table 10-4 EstMin Tensile Strng'!$C$13,'Table 10-4 EstMin Tensile Strng'!$I$14/'Engine Valve Spring'!AA63^'Table 10-4 EstMin Tensile Strng'!$F$14,IF($D$11='Table 10-4 EstMin Tensile Strng'!$C$13,'Table 10-4 EstMin Tensile Strng'!$I$15/'Engine Valve Spring'!AA63^'Table 10-4 EstMin Tensile Strng'!$F$15)))))))))))</f>
        <v>760.504716900831</v>
      </c>
      <c r="AC63">
        <f t="shared" si="0"/>
        <v>399.93287038732007</v>
      </c>
    </row>
    <row r="64" spans="27:29" x14ac:dyDescent="0.25">
      <c r="AA64">
        <v>6</v>
      </c>
      <c r="AB64">
        <f>0.56/$D$7*IF($D$11='Table 10-4 EstMin Tensile Strng'!$C$5,'Table 10-4 EstMin Tensile Strng'!$I$5/'Engine Valve Spring'!AA64^'Table 10-4 EstMin Tensile Strng'!$F$5,IF($D$11='Table 10-4 EstMin Tensile Strng'!$C$6,'Table 10-4 EstMin Tensile Strng'!$I$6/'Engine Valve Spring'!AA64^'Table 10-4 EstMin Tensile Strng'!$F$6,IF($D$11='Table 10-4 EstMin Tensile Strng'!$C$7,'Table 10-4 EstMin Tensile Strng'!$I$7/'Engine Valve Spring'!AA64^'Table 10-4 EstMin Tensile Strng'!$F$7,IF($D$11='Table 10-4 EstMin Tensile Strng'!$C$8,'Table 10-4 EstMin Tensile Strng'!$I$8/'Engine Valve Spring'!AA64^'Table 10-4 EstMin Tensile Strng'!$F$8,IF($D$11='Table 10-4 EstMin Tensile Strng'!$C$9,'Table 10-4 EstMin Tensile Strng'!$I$9/'Engine Valve Spring'!AA64^'Table 10-4 EstMin Tensile Strng'!$F$9,IF($D$11='Table 10-4 EstMin Tensile Strng'!$C$10,'Table 10-4 EstMin Tensile Strng'!$I$10/'Engine Valve Spring'!AA64^'Table 10-4 EstMin Tensile Strng'!$F$10,IF($D$11='Table 10-4 EstMin Tensile Strng'!$C$10,'Table 10-4 EstMin Tensile Strng'!$I$11/'Engine Valve Spring'!AA64^'Table 10-4 EstMin Tensile Strng'!$F$11,IF($D$11='Table 10-4 EstMin Tensile Strng'!$C$10,'Table 10-4 EstMin Tensile Strng'!$I$12/'Engine Valve Spring'!AA64^'Table 10-4 EstMin Tensile Strng'!$F$12,IF($D$11='Table 10-4 EstMin Tensile Strng'!$C$13,'Table 10-4 EstMin Tensile Strng'!$I$13/'Engine Valve Spring'!AA64^'Table 10-4 EstMin Tensile Strng'!$F$13,IF($D$11='Table 10-4 EstMin Tensile Strng'!$C$13,'Table 10-4 EstMin Tensile Strng'!$I$14/'Engine Valve Spring'!AA64^'Table 10-4 EstMin Tensile Strng'!$F$14,IF($D$11='Table 10-4 EstMin Tensile Strng'!$C$13,'Table 10-4 EstMin Tensile Strng'!$I$15/'Engine Valve Spring'!AA64^'Table 10-4 EstMin Tensile Strng'!$F$15)))))))))))</f>
        <v>759.12552459515291</v>
      </c>
      <c r="AC64">
        <f t="shared" si="0"/>
        <v>381.86370511739432</v>
      </c>
    </row>
    <row r="65" spans="27:29" x14ac:dyDescent="0.25">
      <c r="AA65">
        <v>6.1</v>
      </c>
      <c r="AB65">
        <f>0.56/$D$7*IF($D$11='Table 10-4 EstMin Tensile Strng'!$C$5,'Table 10-4 EstMin Tensile Strng'!$I$5/'Engine Valve Spring'!AA65^'Table 10-4 EstMin Tensile Strng'!$F$5,IF($D$11='Table 10-4 EstMin Tensile Strng'!$C$6,'Table 10-4 EstMin Tensile Strng'!$I$6/'Engine Valve Spring'!AA65^'Table 10-4 EstMin Tensile Strng'!$F$6,IF($D$11='Table 10-4 EstMin Tensile Strng'!$C$7,'Table 10-4 EstMin Tensile Strng'!$I$7/'Engine Valve Spring'!AA65^'Table 10-4 EstMin Tensile Strng'!$F$7,IF($D$11='Table 10-4 EstMin Tensile Strng'!$C$8,'Table 10-4 EstMin Tensile Strng'!$I$8/'Engine Valve Spring'!AA65^'Table 10-4 EstMin Tensile Strng'!$F$8,IF($D$11='Table 10-4 EstMin Tensile Strng'!$C$9,'Table 10-4 EstMin Tensile Strng'!$I$9/'Engine Valve Spring'!AA65^'Table 10-4 EstMin Tensile Strng'!$F$9,IF($D$11='Table 10-4 EstMin Tensile Strng'!$C$10,'Table 10-4 EstMin Tensile Strng'!$I$10/'Engine Valve Spring'!AA65^'Table 10-4 EstMin Tensile Strng'!$F$10,IF($D$11='Table 10-4 EstMin Tensile Strng'!$C$10,'Table 10-4 EstMin Tensile Strng'!$I$11/'Engine Valve Spring'!AA65^'Table 10-4 EstMin Tensile Strng'!$F$11,IF($D$11='Table 10-4 EstMin Tensile Strng'!$C$10,'Table 10-4 EstMin Tensile Strng'!$I$12/'Engine Valve Spring'!AA65^'Table 10-4 EstMin Tensile Strng'!$F$12,IF($D$11='Table 10-4 EstMin Tensile Strng'!$C$13,'Table 10-4 EstMin Tensile Strng'!$I$13/'Engine Valve Spring'!AA65^'Table 10-4 EstMin Tensile Strng'!$F$13,IF($D$11='Table 10-4 EstMin Tensile Strng'!$C$13,'Table 10-4 EstMin Tensile Strng'!$I$14/'Engine Valve Spring'!AA65^'Table 10-4 EstMin Tensile Strng'!$F$14,IF($D$11='Table 10-4 EstMin Tensile Strng'!$C$13,'Table 10-4 EstMin Tensile Strng'!$I$15/'Engine Valve Spring'!AA65^'Table 10-4 EstMin Tensile Strng'!$F$15)))))))))))</f>
        <v>757.77156944951525</v>
      </c>
      <c r="AC65">
        <f t="shared" si="0"/>
        <v>364.91693380730356</v>
      </c>
    </row>
    <row r="66" spans="27:29" x14ac:dyDescent="0.25">
      <c r="AA66">
        <v>6.2</v>
      </c>
      <c r="AB66">
        <f>0.56/$D$7*IF($D$11='Table 10-4 EstMin Tensile Strng'!$C$5,'Table 10-4 EstMin Tensile Strng'!$I$5/'Engine Valve Spring'!AA66^'Table 10-4 EstMin Tensile Strng'!$F$5,IF($D$11='Table 10-4 EstMin Tensile Strng'!$C$6,'Table 10-4 EstMin Tensile Strng'!$I$6/'Engine Valve Spring'!AA66^'Table 10-4 EstMin Tensile Strng'!$F$6,IF($D$11='Table 10-4 EstMin Tensile Strng'!$C$7,'Table 10-4 EstMin Tensile Strng'!$I$7/'Engine Valve Spring'!AA66^'Table 10-4 EstMin Tensile Strng'!$F$7,IF($D$11='Table 10-4 EstMin Tensile Strng'!$C$8,'Table 10-4 EstMin Tensile Strng'!$I$8/'Engine Valve Spring'!AA66^'Table 10-4 EstMin Tensile Strng'!$F$8,IF($D$11='Table 10-4 EstMin Tensile Strng'!$C$9,'Table 10-4 EstMin Tensile Strng'!$I$9/'Engine Valve Spring'!AA66^'Table 10-4 EstMin Tensile Strng'!$F$9,IF($D$11='Table 10-4 EstMin Tensile Strng'!$C$10,'Table 10-4 EstMin Tensile Strng'!$I$10/'Engine Valve Spring'!AA66^'Table 10-4 EstMin Tensile Strng'!$F$10,IF($D$11='Table 10-4 EstMin Tensile Strng'!$C$10,'Table 10-4 EstMin Tensile Strng'!$I$11/'Engine Valve Spring'!AA66^'Table 10-4 EstMin Tensile Strng'!$F$11,IF($D$11='Table 10-4 EstMin Tensile Strng'!$C$10,'Table 10-4 EstMin Tensile Strng'!$I$12/'Engine Valve Spring'!AA66^'Table 10-4 EstMin Tensile Strng'!$F$12,IF($D$11='Table 10-4 EstMin Tensile Strng'!$C$13,'Table 10-4 EstMin Tensile Strng'!$I$13/'Engine Valve Spring'!AA66^'Table 10-4 EstMin Tensile Strng'!$F$13,IF($D$11='Table 10-4 EstMin Tensile Strng'!$C$13,'Table 10-4 EstMin Tensile Strng'!$I$14/'Engine Valve Spring'!AA66^'Table 10-4 EstMin Tensile Strng'!$F$14,IF($D$11='Table 10-4 EstMin Tensile Strng'!$C$13,'Table 10-4 EstMin Tensile Strng'!$I$15/'Engine Valve Spring'!AA66^'Table 10-4 EstMin Tensile Strng'!$F$15)))))))))))</f>
        <v>756.44198712960076</v>
      </c>
      <c r="AC66">
        <f t="shared" si="0"/>
        <v>349.0054862541507</v>
      </c>
    </row>
    <row r="67" spans="27:29" x14ac:dyDescent="0.25">
      <c r="AA67">
        <v>6.3</v>
      </c>
      <c r="AB67">
        <f>0.56/$D$7*IF($D$11='Table 10-4 EstMin Tensile Strng'!$C$5,'Table 10-4 EstMin Tensile Strng'!$I$5/'Engine Valve Spring'!AA67^'Table 10-4 EstMin Tensile Strng'!$F$5,IF($D$11='Table 10-4 EstMin Tensile Strng'!$C$6,'Table 10-4 EstMin Tensile Strng'!$I$6/'Engine Valve Spring'!AA67^'Table 10-4 EstMin Tensile Strng'!$F$6,IF($D$11='Table 10-4 EstMin Tensile Strng'!$C$7,'Table 10-4 EstMin Tensile Strng'!$I$7/'Engine Valve Spring'!AA67^'Table 10-4 EstMin Tensile Strng'!$F$7,IF($D$11='Table 10-4 EstMin Tensile Strng'!$C$8,'Table 10-4 EstMin Tensile Strng'!$I$8/'Engine Valve Spring'!AA67^'Table 10-4 EstMin Tensile Strng'!$F$8,IF($D$11='Table 10-4 EstMin Tensile Strng'!$C$9,'Table 10-4 EstMin Tensile Strng'!$I$9/'Engine Valve Spring'!AA67^'Table 10-4 EstMin Tensile Strng'!$F$9,IF($D$11='Table 10-4 EstMin Tensile Strng'!$C$10,'Table 10-4 EstMin Tensile Strng'!$I$10/'Engine Valve Spring'!AA67^'Table 10-4 EstMin Tensile Strng'!$F$10,IF($D$11='Table 10-4 EstMin Tensile Strng'!$C$10,'Table 10-4 EstMin Tensile Strng'!$I$11/'Engine Valve Spring'!AA67^'Table 10-4 EstMin Tensile Strng'!$F$11,IF($D$11='Table 10-4 EstMin Tensile Strng'!$C$10,'Table 10-4 EstMin Tensile Strng'!$I$12/'Engine Valve Spring'!AA67^'Table 10-4 EstMin Tensile Strng'!$F$12,IF($D$11='Table 10-4 EstMin Tensile Strng'!$C$13,'Table 10-4 EstMin Tensile Strng'!$I$13/'Engine Valve Spring'!AA67^'Table 10-4 EstMin Tensile Strng'!$F$13,IF($D$11='Table 10-4 EstMin Tensile Strng'!$C$13,'Table 10-4 EstMin Tensile Strng'!$I$14/'Engine Valve Spring'!AA67^'Table 10-4 EstMin Tensile Strng'!$F$14,IF($D$11='Table 10-4 EstMin Tensile Strng'!$C$13,'Table 10-4 EstMin Tensile Strng'!$I$15/'Engine Valve Spring'!AA67^'Table 10-4 EstMin Tensile Strng'!$F$15)))))))))))</f>
        <v>755.13595624904326</v>
      </c>
      <c r="AC67">
        <f t="shared" si="0"/>
        <v>334.05033136314171</v>
      </c>
    </row>
    <row r="68" spans="27:29" x14ac:dyDescent="0.25">
      <c r="AA68">
        <v>6.4</v>
      </c>
      <c r="AB68">
        <f>0.56/$D$7*IF($D$11='Table 10-4 EstMin Tensile Strng'!$C$5,'Table 10-4 EstMin Tensile Strng'!$I$5/'Engine Valve Spring'!AA68^'Table 10-4 EstMin Tensile Strng'!$F$5,IF($D$11='Table 10-4 EstMin Tensile Strng'!$C$6,'Table 10-4 EstMin Tensile Strng'!$I$6/'Engine Valve Spring'!AA68^'Table 10-4 EstMin Tensile Strng'!$F$6,IF($D$11='Table 10-4 EstMin Tensile Strng'!$C$7,'Table 10-4 EstMin Tensile Strng'!$I$7/'Engine Valve Spring'!AA68^'Table 10-4 EstMin Tensile Strng'!$F$7,IF($D$11='Table 10-4 EstMin Tensile Strng'!$C$8,'Table 10-4 EstMin Tensile Strng'!$I$8/'Engine Valve Spring'!AA68^'Table 10-4 EstMin Tensile Strng'!$F$8,IF($D$11='Table 10-4 EstMin Tensile Strng'!$C$9,'Table 10-4 EstMin Tensile Strng'!$I$9/'Engine Valve Spring'!AA68^'Table 10-4 EstMin Tensile Strng'!$F$9,IF($D$11='Table 10-4 EstMin Tensile Strng'!$C$10,'Table 10-4 EstMin Tensile Strng'!$I$10/'Engine Valve Spring'!AA68^'Table 10-4 EstMin Tensile Strng'!$F$10,IF($D$11='Table 10-4 EstMin Tensile Strng'!$C$10,'Table 10-4 EstMin Tensile Strng'!$I$11/'Engine Valve Spring'!AA68^'Table 10-4 EstMin Tensile Strng'!$F$11,IF($D$11='Table 10-4 EstMin Tensile Strng'!$C$10,'Table 10-4 EstMin Tensile Strng'!$I$12/'Engine Valve Spring'!AA68^'Table 10-4 EstMin Tensile Strng'!$F$12,IF($D$11='Table 10-4 EstMin Tensile Strng'!$C$13,'Table 10-4 EstMin Tensile Strng'!$I$13/'Engine Valve Spring'!AA68^'Table 10-4 EstMin Tensile Strng'!$F$13,IF($D$11='Table 10-4 EstMin Tensile Strng'!$C$13,'Table 10-4 EstMin Tensile Strng'!$I$14/'Engine Valve Spring'!AA68^'Table 10-4 EstMin Tensile Strng'!$F$14,IF($D$11='Table 10-4 EstMin Tensile Strng'!$C$13,'Table 10-4 EstMin Tensile Strng'!$I$15/'Engine Valve Spring'!AA68^'Table 10-4 EstMin Tensile Strng'!$F$15)))))))))))</f>
        <v>753.85269559308983</v>
      </c>
      <c r="AC68">
        <f t="shared" si="0"/>
        <v>319.97962089573849</v>
      </c>
    </row>
    <row r="69" spans="27:29" x14ac:dyDescent="0.25">
      <c r="AA69">
        <v>6.5</v>
      </c>
      <c r="AB69">
        <f>0.56/$D$7*IF($D$11='Table 10-4 EstMin Tensile Strng'!$C$5,'Table 10-4 EstMin Tensile Strng'!$I$5/'Engine Valve Spring'!AA69^'Table 10-4 EstMin Tensile Strng'!$F$5,IF($D$11='Table 10-4 EstMin Tensile Strng'!$C$6,'Table 10-4 EstMin Tensile Strng'!$I$6/'Engine Valve Spring'!AA69^'Table 10-4 EstMin Tensile Strng'!$F$6,IF($D$11='Table 10-4 EstMin Tensile Strng'!$C$7,'Table 10-4 EstMin Tensile Strng'!$I$7/'Engine Valve Spring'!AA69^'Table 10-4 EstMin Tensile Strng'!$F$7,IF($D$11='Table 10-4 EstMin Tensile Strng'!$C$8,'Table 10-4 EstMin Tensile Strng'!$I$8/'Engine Valve Spring'!AA69^'Table 10-4 EstMin Tensile Strng'!$F$8,IF($D$11='Table 10-4 EstMin Tensile Strng'!$C$9,'Table 10-4 EstMin Tensile Strng'!$I$9/'Engine Valve Spring'!AA69^'Table 10-4 EstMin Tensile Strng'!$F$9,IF($D$11='Table 10-4 EstMin Tensile Strng'!$C$10,'Table 10-4 EstMin Tensile Strng'!$I$10/'Engine Valve Spring'!AA69^'Table 10-4 EstMin Tensile Strng'!$F$10,IF($D$11='Table 10-4 EstMin Tensile Strng'!$C$10,'Table 10-4 EstMin Tensile Strng'!$I$11/'Engine Valve Spring'!AA69^'Table 10-4 EstMin Tensile Strng'!$F$11,IF($D$11='Table 10-4 EstMin Tensile Strng'!$C$10,'Table 10-4 EstMin Tensile Strng'!$I$12/'Engine Valve Spring'!AA69^'Table 10-4 EstMin Tensile Strng'!$F$12,IF($D$11='Table 10-4 EstMin Tensile Strng'!$C$13,'Table 10-4 EstMin Tensile Strng'!$I$13/'Engine Valve Spring'!AA69^'Table 10-4 EstMin Tensile Strng'!$F$13,IF($D$11='Table 10-4 EstMin Tensile Strng'!$C$13,'Table 10-4 EstMin Tensile Strng'!$I$14/'Engine Valve Spring'!AA69^'Table 10-4 EstMin Tensile Strng'!$F$14,IF($D$11='Table 10-4 EstMin Tensile Strng'!$C$13,'Table 10-4 EstMin Tensile Strng'!$I$15/'Engine Valve Spring'!AA69^'Table 10-4 EstMin Tensile Strng'!$F$15)))))))))))</f>
        <v>752.5914615619746</v>
      </c>
      <c r="AC69">
        <f t="shared" ref="AC69:AC132" si="1">(4*($D$4/AA69)+2)/(4*($D$4/AA69)-3)*8*$D$3*$D$4/(PI()*AA69^3)</f>
        <v>306.72793613808176</v>
      </c>
    </row>
    <row r="70" spans="27:29" x14ac:dyDescent="0.25">
      <c r="AA70">
        <v>6.6</v>
      </c>
      <c r="AB70">
        <f>0.56/$D$7*IF($D$11='Table 10-4 EstMin Tensile Strng'!$C$5,'Table 10-4 EstMin Tensile Strng'!$I$5/'Engine Valve Spring'!AA70^'Table 10-4 EstMin Tensile Strng'!$F$5,IF($D$11='Table 10-4 EstMin Tensile Strng'!$C$6,'Table 10-4 EstMin Tensile Strng'!$I$6/'Engine Valve Spring'!AA70^'Table 10-4 EstMin Tensile Strng'!$F$6,IF($D$11='Table 10-4 EstMin Tensile Strng'!$C$7,'Table 10-4 EstMin Tensile Strng'!$I$7/'Engine Valve Spring'!AA70^'Table 10-4 EstMin Tensile Strng'!$F$7,IF($D$11='Table 10-4 EstMin Tensile Strng'!$C$8,'Table 10-4 EstMin Tensile Strng'!$I$8/'Engine Valve Spring'!AA70^'Table 10-4 EstMin Tensile Strng'!$F$8,IF($D$11='Table 10-4 EstMin Tensile Strng'!$C$9,'Table 10-4 EstMin Tensile Strng'!$I$9/'Engine Valve Spring'!AA70^'Table 10-4 EstMin Tensile Strng'!$F$9,IF($D$11='Table 10-4 EstMin Tensile Strng'!$C$10,'Table 10-4 EstMin Tensile Strng'!$I$10/'Engine Valve Spring'!AA70^'Table 10-4 EstMin Tensile Strng'!$F$10,IF($D$11='Table 10-4 EstMin Tensile Strng'!$C$10,'Table 10-4 EstMin Tensile Strng'!$I$11/'Engine Valve Spring'!AA70^'Table 10-4 EstMin Tensile Strng'!$F$11,IF($D$11='Table 10-4 EstMin Tensile Strng'!$C$10,'Table 10-4 EstMin Tensile Strng'!$I$12/'Engine Valve Spring'!AA70^'Table 10-4 EstMin Tensile Strng'!$F$12,IF($D$11='Table 10-4 EstMin Tensile Strng'!$C$13,'Table 10-4 EstMin Tensile Strng'!$I$13/'Engine Valve Spring'!AA70^'Table 10-4 EstMin Tensile Strng'!$F$13,IF($D$11='Table 10-4 EstMin Tensile Strng'!$C$13,'Table 10-4 EstMin Tensile Strng'!$I$14/'Engine Valve Spring'!AA70^'Table 10-4 EstMin Tensile Strng'!$F$14,IF($D$11='Table 10-4 EstMin Tensile Strng'!$C$13,'Table 10-4 EstMin Tensile Strng'!$I$15/'Engine Valve Spring'!AA70^'Table 10-4 EstMin Tensile Strng'!$F$15)))))))))))</f>
        <v>751.35154581352549</v>
      </c>
      <c r="AC70">
        <f t="shared" si="1"/>
        <v>294.23562375621196</v>
      </c>
    </row>
    <row r="71" spans="27:29" x14ac:dyDescent="0.25">
      <c r="AA71">
        <v>6.7</v>
      </c>
      <c r="AB71">
        <f>0.56/$D$7*IF($D$11='Table 10-4 EstMin Tensile Strng'!$C$5,'Table 10-4 EstMin Tensile Strng'!$I$5/'Engine Valve Spring'!AA71^'Table 10-4 EstMin Tensile Strng'!$F$5,IF($D$11='Table 10-4 EstMin Tensile Strng'!$C$6,'Table 10-4 EstMin Tensile Strng'!$I$6/'Engine Valve Spring'!AA71^'Table 10-4 EstMin Tensile Strng'!$F$6,IF($D$11='Table 10-4 EstMin Tensile Strng'!$C$7,'Table 10-4 EstMin Tensile Strng'!$I$7/'Engine Valve Spring'!AA71^'Table 10-4 EstMin Tensile Strng'!$F$7,IF($D$11='Table 10-4 EstMin Tensile Strng'!$C$8,'Table 10-4 EstMin Tensile Strng'!$I$8/'Engine Valve Spring'!AA71^'Table 10-4 EstMin Tensile Strng'!$F$8,IF($D$11='Table 10-4 EstMin Tensile Strng'!$C$9,'Table 10-4 EstMin Tensile Strng'!$I$9/'Engine Valve Spring'!AA71^'Table 10-4 EstMin Tensile Strng'!$F$9,IF($D$11='Table 10-4 EstMin Tensile Strng'!$C$10,'Table 10-4 EstMin Tensile Strng'!$I$10/'Engine Valve Spring'!AA71^'Table 10-4 EstMin Tensile Strng'!$F$10,IF($D$11='Table 10-4 EstMin Tensile Strng'!$C$10,'Table 10-4 EstMin Tensile Strng'!$I$11/'Engine Valve Spring'!AA71^'Table 10-4 EstMin Tensile Strng'!$F$11,IF($D$11='Table 10-4 EstMin Tensile Strng'!$C$10,'Table 10-4 EstMin Tensile Strng'!$I$12/'Engine Valve Spring'!AA71^'Table 10-4 EstMin Tensile Strng'!$F$12,IF($D$11='Table 10-4 EstMin Tensile Strng'!$C$13,'Table 10-4 EstMin Tensile Strng'!$I$13/'Engine Valve Spring'!AA71^'Table 10-4 EstMin Tensile Strng'!$F$13,IF($D$11='Table 10-4 EstMin Tensile Strng'!$C$13,'Table 10-4 EstMin Tensile Strng'!$I$14/'Engine Valve Spring'!AA71^'Table 10-4 EstMin Tensile Strng'!$F$14,IF($D$11='Table 10-4 EstMin Tensile Strng'!$C$13,'Table 10-4 EstMin Tensile Strng'!$I$15/'Engine Valve Spring'!AA71^'Table 10-4 EstMin Tensile Strng'!$F$15)))))))))))</f>
        <v>750.13227308672185</v>
      </c>
      <c r="AC71">
        <f t="shared" si="1"/>
        <v>282.44820911330311</v>
      </c>
    </row>
    <row r="72" spans="27:29" x14ac:dyDescent="0.25">
      <c r="AA72">
        <v>6.8</v>
      </c>
      <c r="AB72">
        <f>0.56/$D$7*IF($D$11='Table 10-4 EstMin Tensile Strng'!$C$5,'Table 10-4 EstMin Tensile Strng'!$I$5/'Engine Valve Spring'!AA72^'Table 10-4 EstMin Tensile Strng'!$F$5,IF($D$11='Table 10-4 EstMin Tensile Strng'!$C$6,'Table 10-4 EstMin Tensile Strng'!$I$6/'Engine Valve Spring'!AA72^'Table 10-4 EstMin Tensile Strng'!$F$6,IF($D$11='Table 10-4 EstMin Tensile Strng'!$C$7,'Table 10-4 EstMin Tensile Strng'!$I$7/'Engine Valve Spring'!AA72^'Table 10-4 EstMin Tensile Strng'!$F$7,IF($D$11='Table 10-4 EstMin Tensile Strng'!$C$8,'Table 10-4 EstMin Tensile Strng'!$I$8/'Engine Valve Spring'!AA72^'Table 10-4 EstMin Tensile Strng'!$F$8,IF($D$11='Table 10-4 EstMin Tensile Strng'!$C$9,'Table 10-4 EstMin Tensile Strng'!$I$9/'Engine Valve Spring'!AA72^'Table 10-4 EstMin Tensile Strng'!$F$9,IF($D$11='Table 10-4 EstMin Tensile Strng'!$C$10,'Table 10-4 EstMin Tensile Strng'!$I$10/'Engine Valve Spring'!AA72^'Table 10-4 EstMin Tensile Strng'!$F$10,IF($D$11='Table 10-4 EstMin Tensile Strng'!$C$10,'Table 10-4 EstMin Tensile Strng'!$I$11/'Engine Valve Spring'!AA72^'Table 10-4 EstMin Tensile Strng'!$F$11,IF($D$11='Table 10-4 EstMin Tensile Strng'!$C$10,'Table 10-4 EstMin Tensile Strng'!$I$12/'Engine Valve Spring'!AA72^'Table 10-4 EstMin Tensile Strng'!$F$12,IF($D$11='Table 10-4 EstMin Tensile Strng'!$C$13,'Table 10-4 EstMin Tensile Strng'!$I$13/'Engine Valve Spring'!AA72^'Table 10-4 EstMin Tensile Strng'!$F$13,IF($D$11='Table 10-4 EstMin Tensile Strng'!$C$13,'Table 10-4 EstMin Tensile Strng'!$I$14/'Engine Valve Spring'!AA72^'Table 10-4 EstMin Tensile Strng'!$F$14,IF($D$11='Table 10-4 EstMin Tensile Strng'!$C$13,'Table 10-4 EstMin Tensile Strng'!$I$15/'Engine Valve Spring'!AA72^'Table 10-4 EstMin Tensile Strng'!$F$15)))))))))))</f>
        <v>748.93299918983598</v>
      </c>
      <c r="AC72">
        <f t="shared" si="1"/>
        <v>271.31587701403123</v>
      </c>
    </row>
    <row r="73" spans="27:29" x14ac:dyDescent="0.25">
      <c r="AA73">
        <v>6.9</v>
      </c>
      <c r="AB73">
        <f>0.56/$D$7*IF($D$11='Table 10-4 EstMin Tensile Strng'!$C$5,'Table 10-4 EstMin Tensile Strng'!$I$5/'Engine Valve Spring'!AA73^'Table 10-4 EstMin Tensile Strng'!$F$5,IF($D$11='Table 10-4 EstMin Tensile Strng'!$C$6,'Table 10-4 EstMin Tensile Strng'!$I$6/'Engine Valve Spring'!AA73^'Table 10-4 EstMin Tensile Strng'!$F$6,IF($D$11='Table 10-4 EstMin Tensile Strng'!$C$7,'Table 10-4 EstMin Tensile Strng'!$I$7/'Engine Valve Spring'!AA73^'Table 10-4 EstMin Tensile Strng'!$F$7,IF($D$11='Table 10-4 EstMin Tensile Strng'!$C$8,'Table 10-4 EstMin Tensile Strng'!$I$8/'Engine Valve Spring'!AA73^'Table 10-4 EstMin Tensile Strng'!$F$8,IF($D$11='Table 10-4 EstMin Tensile Strng'!$C$9,'Table 10-4 EstMin Tensile Strng'!$I$9/'Engine Valve Spring'!AA73^'Table 10-4 EstMin Tensile Strng'!$F$9,IF($D$11='Table 10-4 EstMin Tensile Strng'!$C$10,'Table 10-4 EstMin Tensile Strng'!$I$10/'Engine Valve Spring'!AA73^'Table 10-4 EstMin Tensile Strng'!$F$10,IF($D$11='Table 10-4 EstMin Tensile Strng'!$C$10,'Table 10-4 EstMin Tensile Strng'!$I$11/'Engine Valve Spring'!AA73^'Table 10-4 EstMin Tensile Strng'!$F$11,IF($D$11='Table 10-4 EstMin Tensile Strng'!$C$10,'Table 10-4 EstMin Tensile Strng'!$I$12/'Engine Valve Spring'!AA73^'Table 10-4 EstMin Tensile Strng'!$F$12,IF($D$11='Table 10-4 EstMin Tensile Strng'!$C$13,'Table 10-4 EstMin Tensile Strng'!$I$13/'Engine Valve Spring'!AA73^'Table 10-4 EstMin Tensile Strng'!$F$13,IF($D$11='Table 10-4 EstMin Tensile Strng'!$C$13,'Table 10-4 EstMin Tensile Strng'!$I$14/'Engine Valve Spring'!AA73^'Table 10-4 EstMin Tensile Strng'!$F$14,IF($D$11='Table 10-4 EstMin Tensile Strng'!$C$13,'Table 10-4 EstMin Tensile Strng'!$I$15/'Engine Valve Spring'!AA73^'Table 10-4 EstMin Tensile Strng'!$F$15)))))))))))</f>
        <v>747.75310913849569</v>
      </c>
      <c r="AC73">
        <f t="shared" si="1"/>
        <v>260.79301126677274</v>
      </c>
    </row>
    <row r="74" spans="27:29" x14ac:dyDescent="0.25">
      <c r="AA74">
        <v>7</v>
      </c>
      <c r="AB74">
        <f>0.56/$D$7*IF($D$11='Table 10-4 EstMin Tensile Strng'!$C$5,'Table 10-4 EstMin Tensile Strng'!$I$5/'Engine Valve Spring'!AA74^'Table 10-4 EstMin Tensile Strng'!$F$5,IF($D$11='Table 10-4 EstMin Tensile Strng'!$C$6,'Table 10-4 EstMin Tensile Strng'!$I$6/'Engine Valve Spring'!AA74^'Table 10-4 EstMin Tensile Strng'!$F$6,IF($D$11='Table 10-4 EstMin Tensile Strng'!$C$7,'Table 10-4 EstMin Tensile Strng'!$I$7/'Engine Valve Spring'!AA74^'Table 10-4 EstMin Tensile Strng'!$F$7,IF($D$11='Table 10-4 EstMin Tensile Strng'!$C$8,'Table 10-4 EstMin Tensile Strng'!$I$8/'Engine Valve Spring'!AA74^'Table 10-4 EstMin Tensile Strng'!$F$8,IF($D$11='Table 10-4 EstMin Tensile Strng'!$C$9,'Table 10-4 EstMin Tensile Strng'!$I$9/'Engine Valve Spring'!AA74^'Table 10-4 EstMin Tensile Strng'!$F$9,IF($D$11='Table 10-4 EstMin Tensile Strng'!$C$10,'Table 10-4 EstMin Tensile Strng'!$I$10/'Engine Valve Spring'!AA74^'Table 10-4 EstMin Tensile Strng'!$F$10,IF($D$11='Table 10-4 EstMin Tensile Strng'!$C$10,'Table 10-4 EstMin Tensile Strng'!$I$11/'Engine Valve Spring'!AA74^'Table 10-4 EstMin Tensile Strng'!$F$11,IF($D$11='Table 10-4 EstMin Tensile Strng'!$C$10,'Table 10-4 EstMin Tensile Strng'!$I$12/'Engine Valve Spring'!AA74^'Table 10-4 EstMin Tensile Strng'!$F$12,IF($D$11='Table 10-4 EstMin Tensile Strng'!$C$13,'Table 10-4 EstMin Tensile Strng'!$I$13/'Engine Valve Spring'!AA74^'Table 10-4 EstMin Tensile Strng'!$F$13,IF($D$11='Table 10-4 EstMin Tensile Strng'!$C$13,'Table 10-4 EstMin Tensile Strng'!$I$14/'Engine Valve Spring'!AA74^'Table 10-4 EstMin Tensile Strng'!$F$14,IF($D$11='Table 10-4 EstMin Tensile Strng'!$C$13,'Table 10-4 EstMin Tensile Strng'!$I$15/'Engine Valve Spring'!AA74^'Table 10-4 EstMin Tensile Strng'!$F$15)))))))))))</f>
        <v>746.59201543049937</v>
      </c>
      <c r="AC74">
        <f t="shared" si="1"/>
        <v>250.83778566007544</v>
      </c>
    </row>
    <row r="75" spans="27:29" x14ac:dyDescent="0.25">
      <c r="AA75">
        <v>7.1</v>
      </c>
      <c r="AB75">
        <f>0.56/$D$7*IF($D$11='Table 10-4 EstMin Tensile Strng'!$C$5,'Table 10-4 EstMin Tensile Strng'!$I$5/'Engine Valve Spring'!AA75^'Table 10-4 EstMin Tensile Strng'!$F$5,IF($D$11='Table 10-4 EstMin Tensile Strng'!$C$6,'Table 10-4 EstMin Tensile Strng'!$I$6/'Engine Valve Spring'!AA75^'Table 10-4 EstMin Tensile Strng'!$F$6,IF($D$11='Table 10-4 EstMin Tensile Strng'!$C$7,'Table 10-4 EstMin Tensile Strng'!$I$7/'Engine Valve Spring'!AA75^'Table 10-4 EstMin Tensile Strng'!$F$7,IF($D$11='Table 10-4 EstMin Tensile Strng'!$C$8,'Table 10-4 EstMin Tensile Strng'!$I$8/'Engine Valve Spring'!AA75^'Table 10-4 EstMin Tensile Strng'!$F$8,IF($D$11='Table 10-4 EstMin Tensile Strng'!$C$9,'Table 10-4 EstMin Tensile Strng'!$I$9/'Engine Valve Spring'!AA75^'Table 10-4 EstMin Tensile Strng'!$F$9,IF($D$11='Table 10-4 EstMin Tensile Strng'!$C$10,'Table 10-4 EstMin Tensile Strng'!$I$10/'Engine Valve Spring'!AA75^'Table 10-4 EstMin Tensile Strng'!$F$10,IF($D$11='Table 10-4 EstMin Tensile Strng'!$C$10,'Table 10-4 EstMin Tensile Strng'!$I$11/'Engine Valve Spring'!AA75^'Table 10-4 EstMin Tensile Strng'!$F$11,IF($D$11='Table 10-4 EstMin Tensile Strng'!$C$10,'Table 10-4 EstMin Tensile Strng'!$I$12/'Engine Valve Spring'!AA75^'Table 10-4 EstMin Tensile Strng'!$F$12,IF($D$11='Table 10-4 EstMin Tensile Strng'!$C$13,'Table 10-4 EstMin Tensile Strng'!$I$13/'Engine Valve Spring'!AA75^'Table 10-4 EstMin Tensile Strng'!$F$13,IF($D$11='Table 10-4 EstMin Tensile Strng'!$C$13,'Table 10-4 EstMin Tensile Strng'!$I$14/'Engine Valve Spring'!AA75^'Table 10-4 EstMin Tensile Strng'!$F$14,IF($D$11='Table 10-4 EstMin Tensile Strng'!$C$13,'Table 10-4 EstMin Tensile Strng'!$I$15/'Engine Valve Spring'!AA75^'Table 10-4 EstMin Tensile Strng'!$F$15)))))))))))</f>
        <v>745.4491564455426</v>
      </c>
      <c r="AC75">
        <f t="shared" si="1"/>
        <v>241.41179997223651</v>
      </c>
    </row>
    <row r="76" spans="27:29" x14ac:dyDescent="0.25">
      <c r="AA76">
        <v>7.2</v>
      </c>
      <c r="AB76">
        <f>0.56/$D$7*IF($D$11='Table 10-4 EstMin Tensile Strng'!$C$5,'Table 10-4 EstMin Tensile Strng'!$I$5/'Engine Valve Spring'!AA76^'Table 10-4 EstMin Tensile Strng'!$F$5,IF($D$11='Table 10-4 EstMin Tensile Strng'!$C$6,'Table 10-4 EstMin Tensile Strng'!$I$6/'Engine Valve Spring'!AA76^'Table 10-4 EstMin Tensile Strng'!$F$6,IF($D$11='Table 10-4 EstMin Tensile Strng'!$C$7,'Table 10-4 EstMin Tensile Strng'!$I$7/'Engine Valve Spring'!AA76^'Table 10-4 EstMin Tensile Strng'!$F$7,IF($D$11='Table 10-4 EstMin Tensile Strng'!$C$8,'Table 10-4 EstMin Tensile Strng'!$I$8/'Engine Valve Spring'!AA76^'Table 10-4 EstMin Tensile Strng'!$F$8,IF($D$11='Table 10-4 EstMin Tensile Strng'!$C$9,'Table 10-4 EstMin Tensile Strng'!$I$9/'Engine Valve Spring'!AA76^'Table 10-4 EstMin Tensile Strng'!$F$9,IF($D$11='Table 10-4 EstMin Tensile Strng'!$C$10,'Table 10-4 EstMin Tensile Strng'!$I$10/'Engine Valve Spring'!AA76^'Table 10-4 EstMin Tensile Strng'!$F$10,IF($D$11='Table 10-4 EstMin Tensile Strng'!$C$10,'Table 10-4 EstMin Tensile Strng'!$I$11/'Engine Valve Spring'!AA76^'Table 10-4 EstMin Tensile Strng'!$F$11,IF($D$11='Table 10-4 EstMin Tensile Strng'!$C$10,'Table 10-4 EstMin Tensile Strng'!$I$12/'Engine Valve Spring'!AA76^'Table 10-4 EstMin Tensile Strng'!$F$12,IF($D$11='Table 10-4 EstMin Tensile Strng'!$C$13,'Table 10-4 EstMin Tensile Strng'!$I$13/'Engine Valve Spring'!AA76^'Table 10-4 EstMin Tensile Strng'!$F$13,IF($D$11='Table 10-4 EstMin Tensile Strng'!$C$13,'Table 10-4 EstMin Tensile Strng'!$I$14/'Engine Valve Spring'!AA76^'Table 10-4 EstMin Tensile Strng'!$F$14,IF($D$11='Table 10-4 EstMin Tensile Strng'!$C$13,'Table 10-4 EstMin Tensile Strng'!$I$15/'Engine Valve Spring'!AA76^'Table 10-4 EstMin Tensile Strng'!$F$15)))))))))))</f>
        <v>744.32399495919549</v>
      </c>
      <c r="AC76">
        <f t="shared" si="1"/>
        <v>232.4797555019058</v>
      </c>
    </row>
    <row r="77" spans="27:29" x14ac:dyDescent="0.25">
      <c r="AA77">
        <v>7.3</v>
      </c>
      <c r="AB77">
        <f>0.56/$D$7*IF($D$11='Table 10-4 EstMin Tensile Strng'!$C$5,'Table 10-4 EstMin Tensile Strng'!$I$5/'Engine Valve Spring'!AA77^'Table 10-4 EstMin Tensile Strng'!$F$5,IF($D$11='Table 10-4 EstMin Tensile Strng'!$C$6,'Table 10-4 EstMin Tensile Strng'!$I$6/'Engine Valve Spring'!AA77^'Table 10-4 EstMin Tensile Strng'!$F$6,IF($D$11='Table 10-4 EstMin Tensile Strng'!$C$7,'Table 10-4 EstMin Tensile Strng'!$I$7/'Engine Valve Spring'!AA77^'Table 10-4 EstMin Tensile Strng'!$F$7,IF($D$11='Table 10-4 EstMin Tensile Strng'!$C$8,'Table 10-4 EstMin Tensile Strng'!$I$8/'Engine Valve Spring'!AA77^'Table 10-4 EstMin Tensile Strng'!$F$8,IF($D$11='Table 10-4 EstMin Tensile Strng'!$C$9,'Table 10-4 EstMin Tensile Strng'!$I$9/'Engine Valve Spring'!AA77^'Table 10-4 EstMin Tensile Strng'!$F$9,IF($D$11='Table 10-4 EstMin Tensile Strng'!$C$10,'Table 10-4 EstMin Tensile Strng'!$I$10/'Engine Valve Spring'!AA77^'Table 10-4 EstMin Tensile Strng'!$F$10,IF($D$11='Table 10-4 EstMin Tensile Strng'!$C$10,'Table 10-4 EstMin Tensile Strng'!$I$11/'Engine Valve Spring'!AA77^'Table 10-4 EstMin Tensile Strng'!$F$11,IF($D$11='Table 10-4 EstMin Tensile Strng'!$C$10,'Table 10-4 EstMin Tensile Strng'!$I$12/'Engine Valve Spring'!AA77^'Table 10-4 EstMin Tensile Strng'!$F$12,IF($D$11='Table 10-4 EstMin Tensile Strng'!$C$13,'Table 10-4 EstMin Tensile Strng'!$I$13/'Engine Valve Spring'!AA77^'Table 10-4 EstMin Tensile Strng'!$F$13,IF($D$11='Table 10-4 EstMin Tensile Strng'!$C$13,'Table 10-4 EstMin Tensile Strng'!$I$14/'Engine Valve Spring'!AA77^'Table 10-4 EstMin Tensile Strng'!$F$14,IF($D$11='Table 10-4 EstMin Tensile Strng'!$C$13,'Table 10-4 EstMin Tensile Strng'!$I$15/'Engine Valve Spring'!AA77^'Table 10-4 EstMin Tensile Strng'!$F$15)))))))))))</f>
        <v>743.21601676150658</v>
      </c>
      <c r="AC77">
        <f t="shared" si="1"/>
        <v>224.00916534814007</v>
      </c>
    </row>
    <row r="78" spans="27:29" x14ac:dyDescent="0.25">
      <c r="AA78">
        <v>7.4</v>
      </c>
      <c r="AB78">
        <f>0.56/$D$7*IF($D$11='Table 10-4 EstMin Tensile Strng'!$C$5,'Table 10-4 EstMin Tensile Strng'!$I$5/'Engine Valve Spring'!AA78^'Table 10-4 EstMin Tensile Strng'!$F$5,IF($D$11='Table 10-4 EstMin Tensile Strng'!$C$6,'Table 10-4 EstMin Tensile Strng'!$I$6/'Engine Valve Spring'!AA78^'Table 10-4 EstMin Tensile Strng'!$F$6,IF($D$11='Table 10-4 EstMin Tensile Strng'!$C$7,'Table 10-4 EstMin Tensile Strng'!$I$7/'Engine Valve Spring'!AA78^'Table 10-4 EstMin Tensile Strng'!$F$7,IF($D$11='Table 10-4 EstMin Tensile Strng'!$C$8,'Table 10-4 EstMin Tensile Strng'!$I$8/'Engine Valve Spring'!AA78^'Table 10-4 EstMin Tensile Strng'!$F$8,IF($D$11='Table 10-4 EstMin Tensile Strng'!$C$9,'Table 10-4 EstMin Tensile Strng'!$I$9/'Engine Valve Spring'!AA78^'Table 10-4 EstMin Tensile Strng'!$F$9,IF($D$11='Table 10-4 EstMin Tensile Strng'!$C$10,'Table 10-4 EstMin Tensile Strng'!$I$10/'Engine Valve Spring'!AA78^'Table 10-4 EstMin Tensile Strng'!$F$10,IF($D$11='Table 10-4 EstMin Tensile Strng'!$C$10,'Table 10-4 EstMin Tensile Strng'!$I$11/'Engine Valve Spring'!AA78^'Table 10-4 EstMin Tensile Strng'!$F$11,IF($D$11='Table 10-4 EstMin Tensile Strng'!$C$10,'Table 10-4 EstMin Tensile Strng'!$I$12/'Engine Valve Spring'!AA78^'Table 10-4 EstMin Tensile Strng'!$F$12,IF($D$11='Table 10-4 EstMin Tensile Strng'!$C$13,'Table 10-4 EstMin Tensile Strng'!$I$13/'Engine Valve Spring'!AA78^'Table 10-4 EstMin Tensile Strng'!$F$13,IF($D$11='Table 10-4 EstMin Tensile Strng'!$C$13,'Table 10-4 EstMin Tensile Strng'!$I$14/'Engine Valve Spring'!AA78^'Table 10-4 EstMin Tensile Strng'!$F$14,IF($D$11='Table 10-4 EstMin Tensile Strng'!$C$13,'Table 10-4 EstMin Tensile Strng'!$I$15/'Engine Valve Spring'!AA78^'Table 10-4 EstMin Tensile Strng'!$F$15)))))))))))</f>
        <v>742.12472937154996</v>
      </c>
      <c r="AC78">
        <f t="shared" si="1"/>
        <v>215.97009530076937</v>
      </c>
    </row>
    <row r="79" spans="27:29" x14ac:dyDescent="0.25">
      <c r="AA79">
        <v>7.5</v>
      </c>
      <c r="AB79">
        <f>0.56/$D$7*IF($D$11='Table 10-4 EstMin Tensile Strng'!$C$5,'Table 10-4 EstMin Tensile Strng'!$I$5/'Engine Valve Spring'!AA79^'Table 10-4 EstMin Tensile Strng'!$F$5,IF($D$11='Table 10-4 EstMin Tensile Strng'!$C$6,'Table 10-4 EstMin Tensile Strng'!$I$6/'Engine Valve Spring'!AA79^'Table 10-4 EstMin Tensile Strng'!$F$6,IF($D$11='Table 10-4 EstMin Tensile Strng'!$C$7,'Table 10-4 EstMin Tensile Strng'!$I$7/'Engine Valve Spring'!AA79^'Table 10-4 EstMin Tensile Strng'!$F$7,IF($D$11='Table 10-4 EstMin Tensile Strng'!$C$8,'Table 10-4 EstMin Tensile Strng'!$I$8/'Engine Valve Spring'!AA79^'Table 10-4 EstMin Tensile Strng'!$F$8,IF($D$11='Table 10-4 EstMin Tensile Strng'!$C$9,'Table 10-4 EstMin Tensile Strng'!$I$9/'Engine Valve Spring'!AA79^'Table 10-4 EstMin Tensile Strng'!$F$9,IF($D$11='Table 10-4 EstMin Tensile Strng'!$C$10,'Table 10-4 EstMin Tensile Strng'!$I$10/'Engine Valve Spring'!AA79^'Table 10-4 EstMin Tensile Strng'!$F$10,IF($D$11='Table 10-4 EstMin Tensile Strng'!$C$10,'Table 10-4 EstMin Tensile Strng'!$I$11/'Engine Valve Spring'!AA79^'Table 10-4 EstMin Tensile Strng'!$F$11,IF($D$11='Table 10-4 EstMin Tensile Strng'!$C$10,'Table 10-4 EstMin Tensile Strng'!$I$12/'Engine Valve Spring'!AA79^'Table 10-4 EstMin Tensile Strng'!$F$12,IF($D$11='Table 10-4 EstMin Tensile Strng'!$C$13,'Table 10-4 EstMin Tensile Strng'!$I$13/'Engine Valve Spring'!AA79^'Table 10-4 EstMin Tensile Strng'!$F$13,IF($D$11='Table 10-4 EstMin Tensile Strng'!$C$13,'Table 10-4 EstMin Tensile Strng'!$I$14/'Engine Valve Spring'!AA79^'Table 10-4 EstMin Tensile Strng'!$F$14,IF($D$11='Table 10-4 EstMin Tensile Strng'!$C$13,'Table 10-4 EstMin Tensile Strng'!$I$15/'Engine Valve Spring'!AA79^'Table 10-4 EstMin Tensile Strng'!$F$15)))))))))))</f>
        <v>741.04966084004968</v>
      </c>
      <c r="AC79">
        <f t="shared" si="1"/>
        <v>208.33493174329274</v>
      </c>
    </row>
    <row r="80" spans="27:29" x14ac:dyDescent="0.25">
      <c r="AA80">
        <v>7.6</v>
      </c>
      <c r="AB80">
        <f>0.56/$D$7*IF($D$11='Table 10-4 EstMin Tensile Strng'!$C$5,'Table 10-4 EstMin Tensile Strng'!$I$5/'Engine Valve Spring'!AA80^'Table 10-4 EstMin Tensile Strng'!$F$5,IF($D$11='Table 10-4 EstMin Tensile Strng'!$C$6,'Table 10-4 EstMin Tensile Strng'!$I$6/'Engine Valve Spring'!AA80^'Table 10-4 EstMin Tensile Strng'!$F$6,IF($D$11='Table 10-4 EstMin Tensile Strng'!$C$7,'Table 10-4 EstMin Tensile Strng'!$I$7/'Engine Valve Spring'!AA80^'Table 10-4 EstMin Tensile Strng'!$F$7,IF($D$11='Table 10-4 EstMin Tensile Strng'!$C$8,'Table 10-4 EstMin Tensile Strng'!$I$8/'Engine Valve Spring'!AA80^'Table 10-4 EstMin Tensile Strng'!$F$8,IF($D$11='Table 10-4 EstMin Tensile Strng'!$C$9,'Table 10-4 EstMin Tensile Strng'!$I$9/'Engine Valve Spring'!AA80^'Table 10-4 EstMin Tensile Strng'!$F$9,IF($D$11='Table 10-4 EstMin Tensile Strng'!$C$10,'Table 10-4 EstMin Tensile Strng'!$I$10/'Engine Valve Spring'!AA80^'Table 10-4 EstMin Tensile Strng'!$F$10,IF($D$11='Table 10-4 EstMin Tensile Strng'!$C$10,'Table 10-4 EstMin Tensile Strng'!$I$11/'Engine Valve Spring'!AA80^'Table 10-4 EstMin Tensile Strng'!$F$11,IF($D$11='Table 10-4 EstMin Tensile Strng'!$C$10,'Table 10-4 EstMin Tensile Strng'!$I$12/'Engine Valve Spring'!AA80^'Table 10-4 EstMin Tensile Strng'!$F$12,IF($D$11='Table 10-4 EstMin Tensile Strng'!$C$13,'Table 10-4 EstMin Tensile Strng'!$I$13/'Engine Valve Spring'!AA80^'Table 10-4 EstMin Tensile Strng'!$F$13,IF($D$11='Table 10-4 EstMin Tensile Strng'!$C$13,'Table 10-4 EstMin Tensile Strng'!$I$14/'Engine Valve Spring'!AA80^'Table 10-4 EstMin Tensile Strng'!$F$14,IF($D$11='Table 10-4 EstMin Tensile Strng'!$C$13,'Table 10-4 EstMin Tensile Strng'!$I$15/'Engine Valve Spring'!AA80^'Table 10-4 EstMin Tensile Strng'!$F$15)))))))))))</f>
        <v>739.99035863296217</v>
      </c>
      <c r="AC80">
        <f t="shared" si="1"/>
        <v>201.07817343491806</v>
      </c>
    </row>
    <row r="81" spans="27:29" x14ac:dyDescent="0.25">
      <c r="AA81">
        <v>7.7</v>
      </c>
      <c r="AB81">
        <f>0.56/$D$7*IF($D$11='Table 10-4 EstMin Tensile Strng'!$C$5,'Table 10-4 EstMin Tensile Strng'!$I$5/'Engine Valve Spring'!AA81^'Table 10-4 EstMin Tensile Strng'!$F$5,IF($D$11='Table 10-4 EstMin Tensile Strng'!$C$6,'Table 10-4 EstMin Tensile Strng'!$I$6/'Engine Valve Spring'!AA81^'Table 10-4 EstMin Tensile Strng'!$F$6,IF($D$11='Table 10-4 EstMin Tensile Strng'!$C$7,'Table 10-4 EstMin Tensile Strng'!$I$7/'Engine Valve Spring'!AA81^'Table 10-4 EstMin Tensile Strng'!$F$7,IF($D$11='Table 10-4 EstMin Tensile Strng'!$C$8,'Table 10-4 EstMin Tensile Strng'!$I$8/'Engine Valve Spring'!AA81^'Table 10-4 EstMin Tensile Strng'!$F$8,IF($D$11='Table 10-4 EstMin Tensile Strng'!$C$9,'Table 10-4 EstMin Tensile Strng'!$I$9/'Engine Valve Spring'!AA81^'Table 10-4 EstMin Tensile Strng'!$F$9,IF($D$11='Table 10-4 EstMin Tensile Strng'!$C$10,'Table 10-4 EstMin Tensile Strng'!$I$10/'Engine Valve Spring'!AA81^'Table 10-4 EstMin Tensile Strng'!$F$10,IF($D$11='Table 10-4 EstMin Tensile Strng'!$C$10,'Table 10-4 EstMin Tensile Strng'!$I$11/'Engine Valve Spring'!AA81^'Table 10-4 EstMin Tensile Strng'!$F$11,IF($D$11='Table 10-4 EstMin Tensile Strng'!$C$10,'Table 10-4 EstMin Tensile Strng'!$I$12/'Engine Valve Spring'!AA81^'Table 10-4 EstMin Tensile Strng'!$F$12,IF($D$11='Table 10-4 EstMin Tensile Strng'!$C$13,'Table 10-4 EstMin Tensile Strng'!$I$13/'Engine Valve Spring'!AA81^'Table 10-4 EstMin Tensile Strng'!$F$13,IF($D$11='Table 10-4 EstMin Tensile Strng'!$C$13,'Table 10-4 EstMin Tensile Strng'!$I$14/'Engine Valve Spring'!AA81^'Table 10-4 EstMin Tensile Strng'!$F$14,IF($D$11='Table 10-4 EstMin Tensile Strng'!$C$13,'Table 10-4 EstMin Tensile Strng'!$I$15/'Engine Valve Spring'!AA81^'Table 10-4 EstMin Tensile Strng'!$F$15)))))))))))</f>
        <v>738.94638858955693</v>
      </c>
      <c r="AC81">
        <f t="shared" si="1"/>
        <v>194.17624443760764</v>
      </c>
    </row>
    <row r="82" spans="27:29" x14ac:dyDescent="0.25">
      <c r="AA82">
        <v>7.8</v>
      </c>
      <c r="AB82">
        <f>0.56/$D$7*IF($D$11='Table 10-4 EstMin Tensile Strng'!$C$5,'Table 10-4 EstMin Tensile Strng'!$I$5/'Engine Valve Spring'!AA82^'Table 10-4 EstMin Tensile Strng'!$F$5,IF($D$11='Table 10-4 EstMin Tensile Strng'!$C$6,'Table 10-4 EstMin Tensile Strng'!$I$6/'Engine Valve Spring'!AA82^'Table 10-4 EstMin Tensile Strng'!$F$6,IF($D$11='Table 10-4 EstMin Tensile Strng'!$C$7,'Table 10-4 EstMin Tensile Strng'!$I$7/'Engine Valve Spring'!AA82^'Table 10-4 EstMin Tensile Strng'!$F$7,IF($D$11='Table 10-4 EstMin Tensile Strng'!$C$8,'Table 10-4 EstMin Tensile Strng'!$I$8/'Engine Valve Spring'!AA82^'Table 10-4 EstMin Tensile Strng'!$F$8,IF($D$11='Table 10-4 EstMin Tensile Strng'!$C$9,'Table 10-4 EstMin Tensile Strng'!$I$9/'Engine Valve Spring'!AA82^'Table 10-4 EstMin Tensile Strng'!$F$9,IF($D$11='Table 10-4 EstMin Tensile Strng'!$C$10,'Table 10-4 EstMin Tensile Strng'!$I$10/'Engine Valve Spring'!AA82^'Table 10-4 EstMin Tensile Strng'!$F$10,IF($D$11='Table 10-4 EstMin Tensile Strng'!$C$10,'Table 10-4 EstMin Tensile Strng'!$I$11/'Engine Valve Spring'!AA82^'Table 10-4 EstMin Tensile Strng'!$F$11,IF($D$11='Table 10-4 EstMin Tensile Strng'!$C$10,'Table 10-4 EstMin Tensile Strng'!$I$12/'Engine Valve Spring'!AA82^'Table 10-4 EstMin Tensile Strng'!$F$12,IF($D$11='Table 10-4 EstMin Tensile Strng'!$C$13,'Table 10-4 EstMin Tensile Strng'!$I$13/'Engine Valve Spring'!AA82^'Table 10-4 EstMin Tensile Strng'!$F$13,IF($D$11='Table 10-4 EstMin Tensile Strng'!$C$13,'Table 10-4 EstMin Tensile Strng'!$I$14/'Engine Valve Spring'!AA82^'Table 10-4 EstMin Tensile Strng'!$F$14,IF($D$11='Table 10-4 EstMin Tensile Strng'!$C$13,'Table 10-4 EstMin Tensile Strng'!$I$15/'Engine Valve Spring'!AA82^'Table 10-4 EstMin Tensile Strng'!$F$15)))))))))))</f>
        <v>737.91733394912831</v>
      </c>
      <c r="AC82">
        <f t="shared" si="1"/>
        <v>187.60732579792506</v>
      </c>
    </row>
    <row r="83" spans="27:29" x14ac:dyDescent="0.25">
      <c r="AA83">
        <v>7.9</v>
      </c>
      <c r="AB83">
        <f>0.56/$D$7*IF($D$11='Table 10-4 EstMin Tensile Strng'!$C$5,'Table 10-4 EstMin Tensile Strng'!$I$5/'Engine Valve Spring'!AA83^'Table 10-4 EstMin Tensile Strng'!$F$5,IF($D$11='Table 10-4 EstMin Tensile Strng'!$C$6,'Table 10-4 EstMin Tensile Strng'!$I$6/'Engine Valve Spring'!AA83^'Table 10-4 EstMin Tensile Strng'!$F$6,IF($D$11='Table 10-4 EstMin Tensile Strng'!$C$7,'Table 10-4 EstMin Tensile Strng'!$I$7/'Engine Valve Spring'!AA83^'Table 10-4 EstMin Tensile Strng'!$F$7,IF($D$11='Table 10-4 EstMin Tensile Strng'!$C$8,'Table 10-4 EstMin Tensile Strng'!$I$8/'Engine Valve Spring'!AA83^'Table 10-4 EstMin Tensile Strng'!$F$8,IF($D$11='Table 10-4 EstMin Tensile Strng'!$C$9,'Table 10-4 EstMin Tensile Strng'!$I$9/'Engine Valve Spring'!AA83^'Table 10-4 EstMin Tensile Strng'!$F$9,IF($D$11='Table 10-4 EstMin Tensile Strng'!$C$10,'Table 10-4 EstMin Tensile Strng'!$I$10/'Engine Valve Spring'!AA83^'Table 10-4 EstMin Tensile Strng'!$F$10,IF($D$11='Table 10-4 EstMin Tensile Strng'!$C$10,'Table 10-4 EstMin Tensile Strng'!$I$11/'Engine Valve Spring'!AA83^'Table 10-4 EstMin Tensile Strng'!$F$11,IF($D$11='Table 10-4 EstMin Tensile Strng'!$C$10,'Table 10-4 EstMin Tensile Strng'!$I$12/'Engine Valve Spring'!AA83^'Table 10-4 EstMin Tensile Strng'!$F$12,IF($D$11='Table 10-4 EstMin Tensile Strng'!$C$13,'Table 10-4 EstMin Tensile Strng'!$I$13/'Engine Valve Spring'!AA83^'Table 10-4 EstMin Tensile Strng'!$F$13,IF($D$11='Table 10-4 EstMin Tensile Strng'!$C$13,'Table 10-4 EstMin Tensile Strng'!$I$14/'Engine Valve Spring'!AA83^'Table 10-4 EstMin Tensile Strng'!$F$14,IF($D$11='Table 10-4 EstMin Tensile Strng'!$C$13,'Table 10-4 EstMin Tensile Strng'!$I$15/'Engine Valve Spring'!AA83^'Table 10-4 EstMin Tensile Strng'!$F$15)))))))))))</f>
        <v>736.90279444099838</v>
      </c>
      <c r="AC83">
        <f t="shared" si="1"/>
        <v>181.35120389037016</v>
      </c>
    </row>
    <row r="84" spans="27:29" x14ac:dyDescent="0.25">
      <c r="AA84">
        <v>8</v>
      </c>
      <c r="AB84">
        <f>0.56/$D$7*IF($D$11='Table 10-4 EstMin Tensile Strng'!$C$5,'Table 10-4 EstMin Tensile Strng'!$I$5/'Engine Valve Spring'!AA84^'Table 10-4 EstMin Tensile Strng'!$F$5,IF($D$11='Table 10-4 EstMin Tensile Strng'!$C$6,'Table 10-4 EstMin Tensile Strng'!$I$6/'Engine Valve Spring'!AA84^'Table 10-4 EstMin Tensile Strng'!$F$6,IF($D$11='Table 10-4 EstMin Tensile Strng'!$C$7,'Table 10-4 EstMin Tensile Strng'!$I$7/'Engine Valve Spring'!AA84^'Table 10-4 EstMin Tensile Strng'!$F$7,IF($D$11='Table 10-4 EstMin Tensile Strng'!$C$8,'Table 10-4 EstMin Tensile Strng'!$I$8/'Engine Valve Spring'!AA84^'Table 10-4 EstMin Tensile Strng'!$F$8,IF($D$11='Table 10-4 EstMin Tensile Strng'!$C$9,'Table 10-4 EstMin Tensile Strng'!$I$9/'Engine Valve Spring'!AA84^'Table 10-4 EstMin Tensile Strng'!$F$9,IF($D$11='Table 10-4 EstMin Tensile Strng'!$C$10,'Table 10-4 EstMin Tensile Strng'!$I$10/'Engine Valve Spring'!AA84^'Table 10-4 EstMin Tensile Strng'!$F$10,IF($D$11='Table 10-4 EstMin Tensile Strng'!$C$10,'Table 10-4 EstMin Tensile Strng'!$I$11/'Engine Valve Spring'!AA84^'Table 10-4 EstMin Tensile Strng'!$F$11,IF($D$11='Table 10-4 EstMin Tensile Strng'!$C$10,'Table 10-4 EstMin Tensile Strng'!$I$12/'Engine Valve Spring'!AA84^'Table 10-4 EstMin Tensile Strng'!$F$12,IF($D$11='Table 10-4 EstMin Tensile Strng'!$C$13,'Table 10-4 EstMin Tensile Strng'!$I$13/'Engine Valve Spring'!AA84^'Table 10-4 EstMin Tensile Strng'!$F$13,IF($D$11='Table 10-4 EstMin Tensile Strng'!$C$13,'Table 10-4 EstMin Tensile Strng'!$I$14/'Engine Valve Spring'!AA84^'Table 10-4 EstMin Tensile Strng'!$F$14,IF($D$11='Table 10-4 EstMin Tensile Strng'!$C$13,'Table 10-4 EstMin Tensile Strng'!$I$15/'Engine Valve Spring'!AA84^'Table 10-4 EstMin Tensile Strng'!$F$15)))))))))))</f>
        <v>735.90238543295527</v>
      </c>
      <c r="AC84">
        <f t="shared" si="1"/>
        <v>175.38913358567422</v>
      </c>
    </row>
    <row r="85" spans="27:29" x14ac:dyDescent="0.25">
      <c r="AA85">
        <v>8.1</v>
      </c>
      <c r="AB85">
        <f>0.56/$D$7*IF($D$11='Table 10-4 EstMin Tensile Strng'!$C$5,'Table 10-4 EstMin Tensile Strng'!$I$5/'Engine Valve Spring'!AA85^'Table 10-4 EstMin Tensile Strng'!$F$5,IF($D$11='Table 10-4 EstMin Tensile Strng'!$C$6,'Table 10-4 EstMin Tensile Strng'!$I$6/'Engine Valve Spring'!AA85^'Table 10-4 EstMin Tensile Strng'!$F$6,IF($D$11='Table 10-4 EstMin Tensile Strng'!$C$7,'Table 10-4 EstMin Tensile Strng'!$I$7/'Engine Valve Spring'!AA85^'Table 10-4 EstMin Tensile Strng'!$F$7,IF($D$11='Table 10-4 EstMin Tensile Strng'!$C$8,'Table 10-4 EstMin Tensile Strng'!$I$8/'Engine Valve Spring'!AA85^'Table 10-4 EstMin Tensile Strng'!$F$8,IF($D$11='Table 10-4 EstMin Tensile Strng'!$C$9,'Table 10-4 EstMin Tensile Strng'!$I$9/'Engine Valve Spring'!AA85^'Table 10-4 EstMin Tensile Strng'!$F$9,IF($D$11='Table 10-4 EstMin Tensile Strng'!$C$10,'Table 10-4 EstMin Tensile Strng'!$I$10/'Engine Valve Spring'!AA85^'Table 10-4 EstMin Tensile Strng'!$F$10,IF($D$11='Table 10-4 EstMin Tensile Strng'!$C$10,'Table 10-4 EstMin Tensile Strng'!$I$11/'Engine Valve Spring'!AA85^'Table 10-4 EstMin Tensile Strng'!$F$11,IF($D$11='Table 10-4 EstMin Tensile Strng'!$C$10,'Table 10-4 EstMin Tensile Strng'!$I$12/'Engine Valve Spring'!AA85^'Table 10-4 EstMin Tensile Strng'!$F$12,IF($D$11='Table 10-4 EstMin Tensile Strng'!$C$13,'Table 10-4 EstMin Tensile Strng'!$I$13/'Engine Valve Spring'!AA85^'Table 10-4 EstMin Tensile Strng'!$F$13,IF($D$11='Table 10-4 EstMin Tensile Strng'!$C$13,'Table 10-4 EstMin Tensile Strng'!$I$14/'Engine Valve Spring'!AA85^'Table 10-4 EstMin Tensile Strng'!$F$14,IF($D$11='Table 10-4 EstMin Tensile Strng'!$C$13,'Table 10-4 EstMin Tensile Strng'!$I$15/'Engine Valve Spring'!AA85^'Table 10-4 EstMin Tensile Strng'!$F$15)))))))))))</f>
        <v>734.91573713369201</v>
      </c>
      <c r="AC85">
        <f t="shared" si="1"/>
        <v>169.703714630044</v>
      </c>
    </row>
    <row r="86" spans="27:29" x14ac:dyDescent="0.25">
      <c r="AA86">
        <v>8.1999999999999993</v>
      </c>
      <c r="AB86">
        <f>0.56/$D$7*IF($D$11='Table 10-4 EstMin Tensile Strng'!$C$5,'Table 10-4 EstMin Tensile Strng'!$I$5/'Engine Valve Spring'!AA86^'Table 10-4 EstMin Tensile Strng'!$F$5,IF($D$11='Table 10-4 EstMin Tensile Strng'!$C$6,'Table 10-4 EstMin Tensile Strng'!$I$6/'Engine Valve Spring'!AA86^'Table 10-4 EstMin Tensile Strng'!$F$6,IF($D$11='Table 10-4 EstMin Tensile Strng'!$C$7,'Table 10-4 EstMin Tensile Strng'!$I$7/'Engine Valve Spring'!AA86^'Table 10-4 EstMin Tensile Strng'!$F$7,IF($D$11='Table 10-4 EstMin Tensile Strng'!$C$8,'Table 10-4 EstMin Tensile Strng'!$I$8/'Engine Valve Spring'!AA86^'Table 10-4 EstMin Tensile Strng'!$F$8,IF($D$11='Table 10-4 EstMin Tensile Strng'!$C$9,'Table 10-4 EstMin Tensile Strng'!$I$9/'Engine Valve Spring'!AA86^'Table 10-4 EstMin Tensile Strng'!$F$9,IF($D$11='Table 10-4 EstMin Tensile Strng'!$C$10,'Table 10-4 EstMin Tensile Strng'!$I$10/'Engine Valve Spring'!AA86^'Table 10-4 EstMin Tensile Strng'!$F$10,IF($D$11='Table 10-4 EstMin Tensile Strng'!$C$10,'Table 10-4 EstMin Tensile Strng'!$I$11/'Engine Valve Spring'!AA86^'Table 10-4 EstMin Tensile Strng'!$F$11,IF($D$11='Table 10-4 EstMin Tensile Strng'!$C$10,'Table 10-4 EstMin Tensile Strng'!$I$12/'Engine Valve Spring'!AA86^'Table 10-4 EstMin Tensile Strng'!$F$12,IF($D$11='Table 10-4 EstMin Tensile Strng'!$C$13,'Table 10-4 EstMin Tensile Strng'!$I$13/'Engine Valve Spring'!AA86^'Table 10-4 EstMin Tensile Strng'!$F$13,IF($D$11='Table 10-4 EstMin Tensile Strng'!$C$13,'Table 10-4 EstMin Tensile Strng'!$I$14/'Engine Valve Spring'!AA86^'Table 10-4 EstMin Tensile Strng'!$F$14,IF($D$11='Table 10-4 EstMin Tensile Strng'!$C$13,'Table 10-4 EstMin Tensile Strng'!$I$15/'Engine Valve Spring'!AA86^'Table 10-4 EstMin Tensile Strng'!$F$15)))))))))))</f>
        <v>733.94249384520469</v>
      </c>
      <c r="AC86">
        <f t="shared" si="1"/>
        <v>164.27877981453517</v>
      </c>
    </row>
    <row r="87" spans="27:29" x14ac:dyDescent="0.25">
      <c r="AA87">
        <v>8.3000000000000007</v>
      </c>
      <c r="AB87">
        <f>0.56/$D$7*IF($D$11='Table 10-4 EstMin Tensile Strng'!$C$5,'Table 10-4 EstMin Tensile Strng'!$I$5/'Engine Valve Spring'!AA87^'Table 10-4 EstMin Tensile Strng'!$F$5,IF($D$11='Table 10-4 EstMin Tensile Strng'!$C$6,'Table 10-4 EstMin Tensile Strng'!$I$6/'Engine Valve Spring'!AA87^'Table 10-4 EstMin Tensile Strng'!$F$6,IF($D$11='Table 10-4 EstMin Tensile Strng'!$C$7,'Table 10-4 EstMin Tensile Strng'!$I$7/'Engine Valve Spring'!AA87^'Table 10-4 EstMin Tensile Strng'!$F$7,IF($D$11='Table 10-4 EstMin Tensile Strng'!$C$8,'Table 10-4 EstMin Tensile Strng'!$I$8/'Engine Valve Spring'!AA87^'Table 10-4 EstMin Tensile Strng'!$F$8,IF($D$11='Table 10-4 EstMin Tensile Strng'!$C$9,'Table 10-4 EstMin Tensile Strng'!$I$9/'Engine Valve Spring'!AA87^'Table 10-4 EstMin Tensile Strng'!$F$9,IF($D$11='Table 10-4 EstMin Tensile Strng'!$C$10,'Table 10-4 EstMin Tensile Strng'!$I$10/'Engine Valve Spring'!AA87^'Table 10-4 EstMin Tensile Strng'!$F$10,IF($D$11='Table 10-4 EstMin Tensile Strng'!$C$10,'Table 10-4 EstMin Tensile Strng'!$I$11/'Engine Valve Spring'!AA87^'Table 10-4 EstMin Tensile Strng'!$F$11,IF($D$11='Table 10-4 EstMin Tensile Strng'!$C$10,'Table 10-4 EstMin Tensile Strng'!$I$12/'Engine Valve Spring'!AA87^'Table 10-4 EstMin Tensile Strng'!$F$12,IF($D$11='Table 10-4 EstMin Tensile Strng'!$C$13,'Table 10-4 EstMin Tensile Strng'!$I$13/'Engine Valve Spring'!AA87^'Table 10-4 EstMin Tensile Strng'!$F$13,IF($D$11='Table 10-4 EstMin Tensile Strng'!$C$13,'Table 10-4 EstMin Tensile Strng'!$I$14/'Engine Valve Spring'!AA87^'Table 10-4 EstMin Tensile Strng'!$F$14,IF($D$11='Table 10-4 EstMin Tensile Strng'!$C$13,'Table 10-4 EstMin Tensile Strng'!$I$15/'Engine Valve Spring'!AA87^'Table 10-4 EstMin Tensile Strng'!$F$15)))))))))))</f>
        <v>732.98231326144912</v>
      </c>
      <c r="AC87">
        <f t="shared" si="1"/>
        <v>159.0992936817587</v>
      </c>
    </row>
    <row r="88" spans="27:29" x14ac:dyDescent="0.25">
      <c r="AA88">
        <v>8.4</v>
      </c>
      <c r="AB88">
        <f>0.56/$D$7*IF($D$11='Table 10-4 EstMin Tensile Strng'!$C$5,'Table 10-4 EstMin Tensile Strng'!$I$5/'Engine Valve Spring'!AA88^'Table 10-4 EstMin Tensile Strng'!$F$5,IF($D$11='Table 10-4 EstMin Tensile Strng'!$C$6,'Table 10-4 EstMin Tensile Strng'!$I$6/'Engine Valve Spring'!AA88^'Table 10-4 EstMin Tensile Strng'!$F$6,IF($D$11='Table 10-4 EstMin Tensile Strng'!$C$7,'Table 10-4 EstMin Tensile Strng'!$I$7/'Engine Valve Spring'!AA88^'Table 10-4 EstMin Tensile Strng'!$F$7,IF($D$11='Table 10-4 EstMin Tensile Strng'!$C$8,'Table 10-4 EstMin Tensile Strng'!$I$8/'Engine Valve Spring'!AA88^'Table 10-4 EstMin Tensile Strng'!$F$8,IF($D$11='Table 10-4 EstMin Tensile Strng'!$C$9,'Table 10-4 EstMin Tensile Strng'!$I$9/'Engine Valve Spring'!AA88^'Table 10-4 EstMin Tensile Strng'!$F$9,IF($D$11='Table 10-4 EstMin Tensile Strng'!$C$10,'Table 10-4 EstMin Tensile Strng'!$I$10/'Engine Valve Spring'!AA88^'Table 10-4 EstMin Tensile Strng'!$F$10,IF($D$11='Table 10-4 EstMin Tensile Strng'!$C$10,'Table 10-4 EstMin Tensile Strng'!$I$11/'Engine Valve Spring'!AA88^'Table 10-4 EstMin Tensile Strng'!$F$11,IF($D$11='Table 10-4 EstMin Tensile Strng'!$C$10,'Table 10-4 EstMin Tensile Strng'!$I$12/'Engine Valve Spring'!AA88^'Table 10-4 EstMin Tensile Strng'!$F$12,IF($D$11='Table 10-4 EstMin Tensile Strng'!$C$13,'Table 10-4 EstMin Tensile Strng'!$I$13/'Engine Valve Spring'!AA88^'Table 10-4 EstMin Tensile Strng'!$F$13,IF($D$11='Table 10-4 EstMin Tensile Strng'!$C$13,'Table 10-4 EstMin Tensile Strng'!$I$14/'Engine Valve Spring'!AA88^'Table 10-4 EstMin Tensile Strng'!$F$14,IF($D$11='Table 10-4 EstMin Tensile Strng'!$C$13,'Table 10-4 EstMin Tensile Strng'!$I$15/'Engine Valve Spring'!AA88^'Table 10-4 EstMin Tensile Strng'!$F$15)))))))))))</f>
        <v>732.03486580987874</v>
      </c>
      <c r="AC88">
        <f t="shared" si="1"/>
        <v>154.15126066352826</v>
      </c>
    </row>
    <row r="89" spans="27:29" x14ac:dyDescent="0.25">
      <c r="AA89">
        <v>8.5</v>
      </c>
      <c r="AB89">
        <f>0.56/$D$7*IF($D$11='Table 10-4 EstMin Tensile Strng'!$C$5,'Table 10-4 EstMin Tensile Strng'!$I$5/'Engine Valve Spring'!AA89^'Table 10-4 EstMin Tensile Strng'!$F$5,IF($D$11='Table 10-4 EstMin Tensile Strng'!$C$6,'Table 10-4 EstMin Tensile Strng'!$I$6/'Engine Valve Spring'!AA89^'Table 10-4 EstMin Tensile Strng'!$F$6,IF($D$11='Table 10-4 EstMin Tensile Strng'!$C$7,'Table 10-4 EstMin Tensile Strng'!$I$7/'Engine Valve Spring'!AA89^'Table 10-4 EstMin Tensile Strng'!$F$7,IF($D$11='Table 10-4 EstMin Tensile Strng'!$C$8,'Table 10-4 EstMin Tensile Strng'!$I$8/'Engine Valve Spring'!AA89^'Table 10-4 EstMin Tensile Strng'!$F$8,IF($D$11='Table 10-4 EstMin Tensile Strng'!$C$9,'Table 10-4 EstMin Tensile Strng'!$I$9/'Engine Valve Spring'!AA89^'Table 10-4 EstMin Tensile Strng'!$F$9,IF($D$11='Table 10-4 EstMin Tensile Strng'!$C$10,'Table 10-4 EstMin Tensile Strng'!$I$10/'Engine Valve Spring'!AA89^'Table 10-4 EstMin Tensile Strng'!$F$10,IF($D$11='Table 10-4 EstMin Tensile Strng'!$C$10,'Table 10-4 EstMin Tensile Strng'!$I$11/'Engine Valve Spring'!AA89^'Table 10-4 EstMin Tensile Strng'!$F$11,IF($D$11='Table 10-4 EstMin Tensile Strng'!$C$10,'Table 10-4 EstMin Tensile Strng'!$I$12/'Engine Valve Spring'!AA89^'Table 10-4 EstMin Tensile Strng'!$F$12,IF($D$11='Table 10-4 EstMin Tensile Strng'!$C$13,'Table 10-4 EstMin Tensile Strng'!$I$13/'Engine Valve Spring'!AA89^'Table 10-4 EstMin Tensile Strng'!$F$13,IF($D$11='Table 10-4 EstMin Tensile Strng'!$C$13,'Table 10-4 EstMin Tensile Strng'!$I$14/'Engine Valve Spring'!AA89^'Table 10-4 EstMin Tensile Strng'!$F$14,IF($D$11='Table 10-4 EstMin Tensile Strng'!$C$13,'Table 10-4 EstMin Tensile Strng'!$I$15/'Engine Valve Spring'!AA89^'Table 10-4 EstMin Tensile Strng'!$F$15)))))))))))</f>
        <v>731.09983403276124</v>
      </c>
      <c r="AC89">
        <f t="shared" si="1"/>
        <v>149.42164167083271</v>
      </c>
    </row>
    <row r="90" spans="27:29" x14ac:dyDescent="0.25">
      <c r="AA90">
        <v>8.6</v>
      </c>
      <c r="AB90">
        <f>0.56/$D$7*IF($D$11='Table 10-4 EstMin Tensile Strng'!$C$5,'Table 10-4 EstMin Tensile Strng'!$I$5/'Engine Valve Spring'!AA90^'Table 10-4 EstMin Tensile Strng'!$F$5,IF($D$11='Table 10-4 EstMin Tensile Strng'!$C$6,'Table 10-4 EstMin Tensile Strng'!$I$6/'Engine Valve Spring'!AA90^'Table 10-4 EstMin Tensile Strng'!$F$6,IF($D$11='Table 10-4 EstMin Tensile Strng'!$C$7,'Table 10-4 EstMin Tensile Strng'!$I$7/'Engine Valve Spring'!AA90^'Table 10-4 EstMin Tensile Strng'!$F$7,IF($D$11='Table 10-4 EstMin Tensile Strng'!$C$8,'Table 10-4 EstMin Tensile Strng'!$I$8/'Engine Valve Spring'!AA90^'Table 10-4 EstMin Tensile Strng'!$F$8,IF($D$11='Table 10-4 EstMin Tensile Strng'!$C$9,'Table 10-4 EstMin Tensile Strng'!$I$9/'Engine Valve Spring'!AA90^'Table 10-4 EstMin Tensile Strng'!$F$9,IF($D$11='Table 10-4 EstMin Tensile Strng'!$C$10,'Table 10-4 EstMin Tensile Strng'!$I$10/'Engine Valve Spring'!AA90^'Table 10-4 EstMin Tensile Strng'!$F$10,IF($D$11='Table 10-4 EstMin Tensile Strng'!$C$10,'Table 10-4 EstMin Tensile Strng'!$I$11/'Engine Valve Spring'!AA90^'Table 10-4 EstMin Tensile Strng'!$F$11,IF($D$11='Table 10-4 EstMin Tensile Strng'!$C$10,'Table 10-4 EstMin Tensile Strng'!$I$12/'Engine Valve Spring'!AA90^'Table 10-4 EstMin Tensile Strng'!$F$12,IF($D$11='Table 10-4 EstMin Tensile Strng'!$C$13,'Table 10-4 EstMin Tensile Strng'!$I$13/'Engine Valve Spring'!AA90^'Table 10-4 EstMin Tensile Strng'!$F$13,IF($D$11='Table 10-4 EstMin Tensile Strng'!$C$13,'Table 10-4 EstMin Tensile Strng'!$I$14/'Engine Valve Spring'!AA90^'Table 10-4 EstMin Tensile Strng'!$F$14,IF($D$11='Table 10-4 EstMin Tensile Strng'!$C$13,'Table 10-4 EstMin Tensile Strng'!$I$15/'Engine Valve Spring'!AA90^'Table 10-4 EstMin Tensile Strng'!$F$15)))))))))))</f>
        <v>730.17691200543834</v>
      </c>
      <c r="AC90">
        <f t="shared" si="1"/>
        <v>144.89827826923718</v>
      </c>
    </row>
    <row r="91" spans="27:29" x14ac:dyDescent="0.25">
      <c r="AA91">
        <v>8.6999999999999993</v>
      </c>
      <c r="AB91">
        <f>0.56/$D$7*IF($D$11='Table 10-4 EstMin Tensile Strng'!$C$5,'Table 10-4 EstMin Tensile Strng'!$I$5/'Engine Valve Spring'!AA91^'Table 10-4 EstMin Tensile Strng'!$F$5,IF($D$11='Table 10-4 EstMin Tensile Strng'!$C$6,'Table 10-4 EstMin Tensile Strng'!$I$6/'Engine Valve Spring'!AA91^'Table 10-4 EstMin Tensile Strng'!$F$6,IF($D$11='Table 10-4 EstMin Tensile Strng'!$C$7,'Table 10-4 EstMin Tensile Strng'!$I$7/'Engine Valve Spring'!AA91^'Table 10-4 EstMin Tensile Strng'!$F$7,IF($D$11='Table 10-4 EstMin Tensile Strng'!$C$8,'Table 10-4 EstMin Tensile Strng'!$I$8/'Engine Valve Spring'!AA91^'Table 10-4 EstMin Tensile Strng'!$F$8,IF($D$11='Table 10-4 EstMin Tensile Strng'!$C$9,'Table 10-4 EstMin Tensile Strng'!$I$9/'Engine Valve Spring'!AA91^'Table 10-4 EstMin Tensile Strng'!$F$9,IF($D$11='Table 10-4 EstMin Tensile Strng'!$C$10,'Table 10-4 EstMin Tensile Strng'!$I$10/'Engine Valve Spring'!AA91^'Table 10-4 EstMin Tensile Strng'!$F$10,IF($D$11='Table 10-4 EstMin Tensile Strng'!$C$10,'Table 10-4 EstMin Tensile Strng'!$I$11/'Engine Valve Spring'!AA91^'Table 10-4 EstMin Tensile Strng'!$F$11,IF($D$11='Table 10-4 EstMin Tensile Strng'!$C$10,'Table 10-4 EstMin Tensile Strng'!$I$12/'Engine Valve Spring'!AA91^'Table 10-4 EstMin Tensile Strng'!$F$12,IF($D$11='Table 10-4 EstMin Tensile Strng'!$C$13,'Table 10-4 EstMin Tensile Strng'!$I$13/'Engine Valve Spring'!AA91^'Table 10-4 EstMin Tensile Strng'!$F$13,IF($D$11='Table 10-4 EstMin Tensile Strng'!$C$13,'Table 10-4 EstMin Tensile Strng'!$I$14/'Engine Valve Spring'!AA91^'Table 10-4 EstMin Tensile Strng'!$F$14,IF($D$11='Table 10-4 EstMin Tensile Strng'!$C$13,'Table 10-4 EstMin Tensile Strng'!$I$15/'Engine Valve Spring'!AA91^'Table 10-4 EstMin Tensile Strng'!$F$15)))))))))))</f>
        <v>729.26580478891674</v>
      </c>
      <c r="AC91">
        <f t="shared" si="1"/>
        <v>140.56982367064015</v>
      </c>
    </row>
    <row r="92" spans="27:29" x14ac:dyDescent="0.25">
      <c r="AA92">
        <v>8.8000000000000007</v>
      </c>
      <c r="AB92">
        <f>0.56/$D$7*IF($D$11='Table 10-4 EstMin Tensile Strng'!$C$5,'Table 10-4 EstMin Tensile Strng'!$I$5/'Engine Valve Spring'!AA92^'Table 10-4 EstMin Tensile Strng'!$F$5,IF($D$11='Table 10-4 EstMin Tensile Strng'!$C$6,'Table 10-4 EstMin Tensile Strng'!$I$6/'Engine Valve Spring'!AA92^'Table 10-4 EstMin Tensile Strng'!$F$6,IF($D$11='Table 10-4 EstMin Tensile Strng'!$C$7,'Table 10-4 EstMin Tensile Strng'!$I$7/'Engine Valve Spring'!AA92^'Table 10-4 EstMin Tensile Strng'!$F$7,IF($D$11='Table 10-4 EstMin Tensile Strng'!$C$8,'Table 10-4 EstMin Tensile Strng'!$I$8/'Engine Valve Spring'!AA92^'Table 10-4 EstMin Tensile Strng'!$F$8,IF($D$11='Table 10-4 EstMin Tensile Strng'!$C$9,'Table 10-4 EstMin Tensile Strng'!$I$9/'Engine Valve Spring'!AA92^'Table 10-4 EstMin Tensile Strng'!$F$9,IF($D$11='Table 10-4 EstMin Tensile Strng'!$C$10,'Table 10-4 EstMin Tensile Strng'!$I$10/'Engine Valve Spring'!AA92^'Table 10-4 EstMin Tensile Strng'!$F$10,IF($D$11='Table 10-4 EstMin Tensile Strng'!$C$10,'Table 10-4 EstMin Tensile Strng'!$I$11/'Engine Valve Spring'!AA92^'Table 10-4 EstMin Tensile Strng'!$F$11,IF($D$11='Table 10-4 EstMin Tensile Strng'!$C$10,'Table 10-4 EstMin Tensile Strng'!$I$12/'Engine Valve Spring'!AA92^'Table 10-4 EstMin Tensile Strng'!$F$12,IF($D$11='Table 10-4 EstMin Tensile Strng'!$C$13,'Table 10-4 EstMin Tensile Strng'!$I$13/'Engine Valve Spring'!AA92^'Table 10-4 EstMin Tensile Strng'!$F$13,IF($D$11='Table 10-4 EstMin Tensile Strng'!$C$13,'Table 10-4 EstMin Tensile Strng'!$I$14/'Engine Valve Spring'!AA92^'Table 10-4 EstMin Tensile Strng'!$F$14,IF($D$11='Table 10-4 EstMin Tensile Strng'!$C$13,'Table 10-4 EstMin Tensile Strng'!$I$15/'Engine Valve Spring'!AA92^'Table 10-4 EstMin Tensile Strng'!$F$15)))))))))))</f>
        <v>728.36622791440016</v>
      </c>
      <c r="AC92">
        <f t="shared" si="1"/>
        <v>136.42567985812508</v>
      </c>
    </row>
    <row r="93" spans="27:29" x14ac:dyDescent="0.25">
      <c r="AA93">
        <v>8.9</v>
      </c>
      <c r="AB93">
        <f>0.56/$D$7*IF($D$11='Table 10-4 EstMin Tensile Strng'!$C$5,'Table 10-4 EstMin Tensile Strng'!$I$5/'Engine Valve Spring'!AA93^'Table 10-4 EstMin Tensile Strng'!$F$5,IF($D$11='Table 10-4 EstMin Tensile Strng'!$C$6,'Table 10-4 EstMin Tensile Strng'!$I$6/'Engine Valve Spring'!AA93^'Table 10-4 EstMin Tensile Strng'!$F$6,IF($D$11='Table 10-4 EstMin Tensile Strng'!$C$7,'Table 10-4 EstMin Tensile Strng'!$I$7/'Engine Valve Spring'!AA93^'Table 10-4 EstMin Tensile Strng'!$F$7,IF($D$11='Table 10-4 EstMin Tensile Strng'!$C$8,'Table 10-4 EstMin Tensile Strng'!$I$8/'Engine Valve Spring'!AA93^'Table 10-4 EstMin Tensile Strng'!$F$8,IF($D$11='Table 10-4 EstMin Tensile Strng'!$C$9,'Table 10-4 EstMin Tensile Strng'!$I$9/'Engine Valve Spring'!AA93^'Table 10-4 EstMin Tensile Strng'!$F$9,IF($D$11='Table 10-4 EstMin Tensile Strng'!$C$10,'Table 10-4 EstMin Tensile Strng'!$I$10/'Engine Valve Spring'!AA93^'Table 10-4 EstMin Tensile Strng'!$F$10,IF($D$11='Table 10-4 EstMin Tensile Strng'!$C$10,'Table 10-4 EstMin Tensile Strng'!$I$11/'Engine Valve Spring'!AA93^'Table 10-4 EstMin Tensile Strng'!$F$11,IF($D$11='Table 10-4 EstMin Tensile Strng'!$C$10,'Table 10-4 EstMin Tensile Strng'!$I$12/'Engine Valve Spring'!AA93^'Table 10-4 EstMin Tensile Strng'!$F$12,IF($D$11='Table 10-4 EstMin Tensile Strng'!$C$13,'Table 10-4 EstMin Tensile Strng'!$I$13/'Engine Valve Spring'!AA93^'Table 10-4 EstMin Tensile Strng'!$F$13,IF($D$11='Table 10-4 EstMin Tensile Strng'!$C$13,'Table 10-4 EstMin Tensile Strng'!$I$14/'Engine Valve Spring'!AA93^'Table 10-4 EstMin Tensile Strng'!$F$14,IF($D$11='Table 10-4 EstMin Tensile Strng'!$C$13,'Table 10-4 EstMin Tensile Strng'!$I$15/'Engine Valve Spring'!AA93^'Table 10-4 EstMin Tensile Strng'!$F$15)))))))))))</f>
        <v>727.47790689755448</v>
      </c>
      <c r="AC93">
        <f t="shared" si="1"/>
        <v>132.45594023602487</v>
      </c>
    </row>
    <row r="94" spans="27:29" x14ac:dyDescent="0.25">
      <c r="AA94">
        <v>9</v>
      </c>
      <c r="AB94">
        <f>0.56/$D$7*IF($D$11='Table 10-4 EstMin Tensile Strng'!$C$5,'Table 10-4 EstMin Tensile Strng'!$I$5/'Engine Valve Spring'!AA94^'Table 10-4 EstMin Tensile Strng'!$F$5,IF($D$11='Table 10-4 EstMin Tensile Strng'!$C$6,'Table 10-4 EstMin Tensile Strng'!$I$6/'Engine Valve Spring'!AA94^'Table 10-4 EstMin Tensile Strng'!$F$6,IF($D$11='Table 10-4 EstMin Tensile Strng'!$C$7,'Table 10-4 EstMin Tensile Strng'!$I$7/'Engine Valve Spring'!AA94^'Table 10-4 EstMin Tensile Strng'!$F$7,IF($D$11='Table 10-4 EstMin Tensile Strng'!$C$8,'Table 10-4 EstMin Tensile Strng'!$I$8/'Engine Valve Spring'!AA94^'Table 10-4 EstMin Tensile Strng'!$F$8,IF($D$11='Table 10-4 EstMin Tensile Strng'!$C$9,'Table 10-4 EstMin Tensile Strng'!$I$9/'Engine Valve Spring'!AA94^'Table 10-4 EstMin Tensile Strng'!$F$9,IF($D$11='Table 10-4 EstMin Tensile Strng'!$C$10,'Table 10-4 EstMin Tensile Strng'!$I$10/'Engine Valve Spring'!AA94^'Table 10-4 EstMin Tensile Strng'!$F$10,IF($D$11='Table 10-4 EstMin Tensile Strng'!$C$10,'Table 10-4 EstMin Tensile Strng'!$I$11/'Engine Valve Spring'!AA94^'Table 10-4 EstMin Tensile Strng'!$F$11,IF($D$11='Table 10-4 EstMin Tensile Strng'!$C$10,'Table 10-4 EstMin Tensile Strng'!$I$12/'Engine Valve Spring'!AA94^'Table 10-4 EstMin Tensile Strng'!$F$12,IF($D$11='Table 10-4 EstMin Tensile Strng'!$C$13,'Table 10-4 EstMin Tensile Strng'!$I$13/'Engine Valve Spring'!AA94^'Table 10-4 EstMin Tensile Strng'!$F$13,IF($D$11='Table 10-4 EstMin Tensile Strng'!$C$13,'Table 10-4 EstMin Tensile Strng'!$I$14/'Engine Valve Spring'!AA94^'Table 10-4 EstMin Tensile Strng'!$F$14,IF($D$11='Table 10-4 EstMin Tensile Strng'!$C$13,'Table 10-4 EstMin Tensile Strng'!$I$15/'Engine Valve Spring'!AA94^'Table 10-4 EstMin Tensile Strng'!$F$15)))))))))))</f>
        <v>726.60057678048008</v>
      </c>
      <c r="AC94">
        <f t="shared" si="1"/>
        <v>128.651337263638</v>
      </c>
    </row>
    <row r="95" spans="27:29" x14ac:dyDescent="0.25">
      <c r="AA95">
        <v>9.1</v>
      </c>
      <c r="AB95">
        <f>0.56/$D$7*IF($D$11='Table 10-4 EstMin Tensile Strng'!$C$5,'Table 10-4 EstMin Tensile Strng'!$I$5/'Engine Valve Spring'!AA95^'Table 10-4 EstMin Tensile Strng'!$F$5,IF($D$11='Table 10-4 EstMin Tensile Strng'!$C$6,'Table 10-4 EstMin Tensile Strng'!$I$6/'Engine Valve Spring'!AA95^'Table 10-4 EstMin Tensile Strng'!$F$6,IF($D$11='Table 10-4 EstMin Tensile Strng'!$C$7,'Table 10-4 EstMin Tensile Strng'!$I$7/'Engine Valve Spring'!AA95^'Table 10-4 EstMin Tensile Strng'!$F$7,IF($D$11='Table 10-4 EstMin Tensile Strng'!$C$8,'Table 10-4 EstMin Tensile Strng'!$I$8/'Engine Valve Spring'!AA95^'Table 10-4 EstMin Tensile Strng'!$F$8,IF($D$11='Table 10-4 EstMin Tensile Strng'!$C$9,'Table 10-4 EstMin Tensile Strng'!$I$9/'Engine Valve Spring'!AA95^'Table 10-4 EstMin Tensile Strng'!$F$9,IF($D$11='Table 10-4 EstMin Tensile Strng'!$C$10,'Table 10-4 EstMin Tensile Strng'!$I$10/'Engine Valve Spring'!AA95^'Table 10-4 EstMin Tensile Strng'!$F$10,IF($D$11='Table 10-4 EstMin Tensile Strng'!$C$10,'Table 10-4 EstMin Tensile Strng'!$I$11/'Engine Valve Spring'!AA95^'Table 10-4 EstMin Tensile Strng'!$F$11,IF($D$11='Table 10-4 EstMin Tensile Strng'!$C$10,'Table 10-4 EstMin Tensile Strng'!$I$12/'Engine Valve Spring'!AA95^'Table 10-4 EstMin Tensile Strng'!$F$12,IF($D$11='Table 10-4 EstMin Tensile Strng'!$C$13,'Table 10-4 EstMin Tensile Strng'!$I$13/'Engine Valve Spring'!AA95^'Table 10-4 EstMin Tensile Strng'!$F$13,IF($D$11='Table 10-4 EstMin Tensile Strng'!$C$13,'Table 10-4 EstMin Tensile Strng'!$I$14/'Engine Valve Spring'!AA95^'Table 10-4 EstMin Tensile Strng'!$F$14,IF($D$11='Table 10-4 EstMin Tensile Strng'!$C$13,'Table 10-4 EstMin Tensile Strng'!$I$15/'Engine Valve Spring'!AA95^'Table 10-4 EstMin Tensile Strng'!$F$15)))))))))))</f>
        <v>725.73398169952452</v>
      </c>
      <c r="AC95">
        <f t="shared" si="1"/>
        <v>125.0031945894775</v>
      </c>
    </row>
    <row r="96" spans="27:29" x14ac:dyDescent="0.25">
      <c r="AA96">
        <v>9.1999999999999993</v>
      </c>
      <c r="AB96">
        <f>0.56/$D$7*IF($D$11='Table 10-4 EstMin Tensile Strng'!$C$5,'Table 10-4 EstMin Tensile Strng'!$I$5/'Engine Valve Spring'!AA96^'Table 10-4 EstMin Tensile Strng'!$F$5,IF($D$11='Table 10-4 EstMin Tensile Strng'!$C$6,'Table 10-4 EstMin Tensile Strng'!$I$6/'Engine Valve Spring'!AA96^'Table 10-4 EstMin Tensile Strng'!$F$6,IF($D$11='Table 10-4 EstMin Tensile Strng'!$C$7,'Table 10-4 EstMin Tensile Strng'!$I$7/'Engine Valve Spring'!AA96^'Table 10-4 EstMin Tensile Strng'!$F$7,IF($D$11='Table 10-4 EstMin Tensile Strng'!$C$8,'Table 10-4 EstMin Tensile Strng'!$I$8/'Engine Valve Spring'!AA96^'Table 10-4 EstMin Tensile Strng'!$F$8,IF($D$11='Table 10-4 EstMin Tensile Strng'!$C$9,'Table 10-4 EstMin Tensile Strng'!$I$9/'Engine Valve Spring'!AA96^'Table 10-4 EstMin Tensile Strng'!$F$9,IF($D$11='Table 10-4 EstMin Tensile Strng'!$C$10,'Table 10-4 EstMin Tensile Strng'!$I$10/'Engine Valve Spring'!AA96^'Table 10-4 EstMin Tensile Strng'!$F$10,IF($D$11='Table 10-4 EstMin Tensile Strng'!$C$10,'Table 10-4 EstMin Tensile Strng'!$I$11/'Engine Valve Spring'!AA96^'Table 10-4 EstMin Tensile Strng'!$F$11,IF($D$11='Table 10-4 EstMin Tensile Strng'!$C$10,'Table 10-4 EstMin Tensile Strng'!$I$12/'Engine Valve Spring'!AA96^'Table 10-4 EstMin Tensile Strng'!$F$12,IF($D$11='Table 10-4 EstMin Tensile Strng'!$C$13,'Table 10-4 EstMin Tensile Strng'!$I$13/'Engine Valve Spring'!AA96^'Table 10-4 EstMin Tensile Strng'!$F$13,IF($D$11='Table 10-4 EstMin Tensile Strng'!$C$13,'Table 10-4 EstMin Tensile Strng'!$I$14/'Engine Valve Spring'!AA96^'Table 10-4 EstMin Tensile Strng'!$F$14,IF($D$11='Table 10-4 EstMin Tensile Strng'!$C$13,'Table 10-4 EstMin Tensile Strng'!$I$15/'Engine Valve Spring'!AA96^'Table 10-4 EstMin Tensile Strng'!$F$15)))))))))))</f>
        <v>724.87787447720541</v>
      </c>
      <c r="AC96">
        <f t="shared" si="1"/>
        <v>121.50338325450036</v>
      </c>
    </row>
    <row r="97" spans="27:29" x14ac:dyDescent="0.25">
      <c r="AA97">
        <v>9.3000000000000007</v>
      </c>
      <c r="AB97">
        <f>0.56/$D$7*IF($D$11='Table 10-4 EstMin Tensile Strng'!$C$5,'Table 10-4 EstMin Tensile Strng'!$I$5/'Engine Valve Spring'!AA97^'Table 10-4 EstMin Tensile Strng'!$F$5,IF($D$11='Table 10-4 EstMin Tensile Strng'!$C$6,'Table 10-4 EstMin Tensile Strng'!$I$6/'Engine Valve Spring'!AA97^'Table 10-4 EstMin Tensile Strng'!$F$6,IF($D$11='Table 10-4 EstMin Tensile Strng'!$C$7,'Table 10-4 EstMin Tensile Strng'!$I$7/'Engine Valve Spring'!AA97^'Table 10-4 EstMin Tensile Strng'!$F$7,IF($D$11='Table 10-4 EstMin Tensile Strng'!$C$8,'Table 10-4 EstMin Tensile Strng'!$I$8/'Engine Valve Spring'!AA97^'Table 10-4 EstMin Tensile Strng'!$F$8,IF($D$11='Table 10-4 EstMin Tensile Strng'!$C$9,'Table 10-4 EstMin Tensile Strng'!$I$9/'Engine Valve Spring'!AA97^'Table 10-4 EstMin Tensile Strng'!$F$9,IF($D$11='Table 10-4 EstMin Tensile Strng'!$C$10,'Table 10-4 EstMin Tensile Strng'!$I$10/'Engine Valve Spring'!AA97^'Table 10-4 EstMin Tensile Strng'!$F$10,IF($D$11='Table 10-4 EstMin Tensile Strng'!$C$10,'Table 10-4 EstMin Tensile Strng'!$I$11/'Engine Valve Spring'!AA97^'Table 10-4 EstMin Tensile Strng'!$F$11,IF($D$11='Table 10-4 EstMin Tensile Strng'!$C$10,'Table 10-4 EstMin Tensile Strng'!$I$12/'Engine Valve Spring'!AA97^'Table 10-4 EstMin Tensile Strng'!$F$12,IF($D$11='Table 10-4 EstMin Tensile Strng'!$C$13,'Table 10-4 EstMin Tensile Strng'!$I$13/'Engine Valve Spring'!AA97^'Table 10-4 EstMin Tensile Strng'!$F$13,IF($D$11='Table 10-4 EstMin Tensile Strng'!$C$13,'Table 10-4 EstMin Tensile Strng'!$I$14/'Engine Valve Spring'!AA97^'Table 10-4 EstMin Tensile Strng'!$F$14,IF($D$11='Table 10-4 EstMin Tensile Strng'!$C$13,'Table 10-4 EstMin Tensile Strng'!$I$15/'Engine Valve Spring'!AA97^'Table 10-4 EstMin Tensile Strng'!$F$15)))))))))))</f>
        <v>724.0320162366595</v>
      </c>
      <c r="AC97">
        <f t="shared" si="1"/>
        <v>118.14428157833511</v>
      </c>
    </row>
    <row r="98" spans="27:29" x14ac:dyDescent="0.25">
      <c r="AA98">
        <v>9.4</v>
      </c>
      <c r="AB98">
        <f>0.56/$D$7*IF($D$11='Table 10-4 EstMin Tensile Strng'!$C$5,'Table 10-4 EstMin Tensile Strng'!$I$5/'Engine Valve Spring'!AA98^'Table 10-4 EstMin Tensile Strng'!$F$5,IF($D$11='Table 10-4 EstMin Tensile Strng'!$C$6,'Table 10-4 EstMin Tensile Strng'!$I$6/'Engine Valve Spring'!AA98^'Table 10-4 EstMin Tensile Strng'!$F$6,IF($D$11='Table 10-4 EstMin Tensile Strng'!$C$7,'Table 10-4 EstMin Tensile Strng'!$I$7/'Engine Valve Spring'!AA98^'Table 10-4 EstMin Tensile Strng'!$F$7,IF($D$11='Table 10-4 EstMin Tensile Strng'!$C$8,'Table 10-4 EstMin Tensile Strng'!$I$8/'Engine Valve Spring'!AA98^'Table 10-4 EstMin Tensile Strng'!$F$8,IF($D$11='Table 10-4 EstMin Tensile Strng'!$C$9,'Table 10-4 EstMin Tensile Strng'!$I$9/'Engine Valve Spring'!AA98^'Table 10-4 EstMin Tensile Strng'!$F$9,IF($D$11='Table 10-4 EstMin Tensile Strng'!$C$10,'Table 10-4 EstMin Tensile Strng'!$I$10/'Engine Valve Spring'!AA98^'Table 10-4 EstMin Tensile Strng'!$F$10,IF($D$11='Table 10-4 EstMin Tensile Strng'!$C$10,'Table 10-4 EstMin Tensile Strng'!$I$11/'Engine Valve Spring'!AA98^'Table 10-4 EstMin Tensile Strng'!$F$11,IF($D$11='Table 10-4 EstMin Tensile Strng'!$C$10,'Table 10-4 EstMin Tensile Strng'!$I$12/'Engine Valve Spring'!AA98^'Table 10-4 EstMin Tensile Strng'!$F$12,IF($D$11='Table 10-4 EstMin Tensile Strng'!$C$13,'Table 10-4 EstMin Tensile Strng'!$I$13/'Engine Valve Spring'!AA98^'Table 10-4 EstMin Tensile Strng'!$F$13,IF($D$11='Table 10-4 EstMin Tensile Strng'!$C$13,'Table 10-4 EstMin Tensile Strng'!$I$14/'Engine Valve Spring'!AA98^'Table 10-4 EstMin Tensile Strng'!$F$14,IF($D$11='Table 10-4 EstMin Tensile Strng'!$C$13,'Table 10-4 EstMin Tensile Strng'!$I$15/'Engine Valve Spring'!AA98^'Table 10-4 EstMin Tensile Strng'!$F$15)))))))))))</f>
        <v>723.19617603714266</v>
      </c>
      <c r="AC98">
        <f t="shared" si="1"/>
        <v>114.9187383828538</v>
      </c>
    </row>
    <row r="99" spans="27:29" x14ac:dyDescent="0.25">
      <c r="AA99">
        <v>9.5</v>
      </c>
      <c r="AB99">
        <f>0.56/$D$7*IF($D$11='Table 10-4 EstMin Tensile Strng'!$C$5,'Table 10-4 EstMin Tensile Strng'!$I$5/'Engine Valve Spring'!AA99^'Table 10-4 EstMin Tensile Strng'!$F$5,IF($D$11='Table 10-4 EstMin Tensile Strng'!$C$6,'Table 10-4 EstMin Tensile Strng'!$I$6/'Engine Valve Spring'!AA99^'Table 10-4 EstMin Tensile Strng'!$F$6,IF($D$11='Table 10-4 EstMin Tensile Strng'!$C$7,'Table 10-4 EstMin Tensile Strng'!$I$7/'Engine Valve Spring'!AA99^'Table 10-4 EstMin Tensile Strng'!$F$7,IF($D$11='Table 10-4 EstMin Tensile Strng'!$C$8,'Table 10-4 EstMin Tensile Strng'!$I$8/'Engine Valve Spring'!AA99^'Table 10-4 EstMin Tensile Strng'!$F$8,IF($D$11='Table 10-4 EstMin Tensile Strng'!$C$9,'Table 10-4 EstMin Tensile Strng'!$I$9/'Engine Valve Spring'!AA99^'Table 10-4 EstMin Tensile Strng'!$F$9,IF($D$11='Table 10-4 EstMin Tensile Strng'!$C$10,'Table 10-4 EstMin Tensile Strng'!$I$10/'Engine Valve Spring'!AA99^'Table 10-4 EstMin Tensile Strng'!$F$10,IF($D$11='Table 10-4 EstMin Tensile Strng'!$C$10,'Table 10-4 EstMin Tensile Strng'!$I$11/'Engine Valve Spring'!AA99^'Table 10-4 EstMin Tensile Strng'!$F$11,IF($D$11='Table 10-4 EstMin Tensile Strng'!$C$10,'Table 10-4 EstMin Tensile Strng'!$I$12/'Engine Valve Spring'!AA99^'Table 10-4 EstMin Tensile Strng'!$F$12,IF($D$11='Table 10-4 EstMin Tensile Strng'!$C$13,'Table 10-4 EstMin Tensile Strng'!$I$13/'Engine Valve Spring'!AA99^'Table 10-4 EstMin Tensile Strng'!$F$13,IF($D$11='Table 10-4 EstMin Tensile Strng'!$C$13,'Table 10-4 EstMin Tensile Strng'!$I$14/'Engine Valve Spring'!AA99^'Table 10-4 EstMin Tensile Strng'!$F$14,IF($D$11='Table 10-4 EstMin Tensile Strng'!$C$13,'Table 10-4 EstMin Tensile Strng'!$I$15/'Engine Valve Spring'!AA99^'Table 10-4 EstMin Tensile Strng'!$F$15)))))))))))</f>
        <v>722.37013052922021</v>
      </c>
      <c r="AC99">
        <f t="shared" si="1"/>
        <v>111.82003924316568</v>
      </c>
    </row>
    <row r="100" spans="27:29" x14ac:dyDescent="0.25">
      <c r="AA100">
        <v>9.6</v>
      </c>
      <c r="AB100">
        <f>0.56/$D$7*IF($D$11='Table 10-4 EstMin Tensile Strng'!$C$5,'Table 10-4 EstMin Tensile Strng'!$I$5/'Engine Valve Spring'!AA100^'Table 10-4 EstMin Tensile Strng'!$F$5,IF($D$11='Table 10-4 EstMin Tensile Strng'!$C$6,'Table 10-4 EstMin Tensile Strng'!$I$6/'Engine Valve Spring'!AA100^'Table 10-4 EstMin Tensile Strng'!$F$6,IF($D$11='Table 10-4 EstMin Tensile Strng'!$C$7,'Table 10-4 EstMin Tensile Strng'!$I$7/'Engine Valve Spring'!AA100^'Table 10-4 EstMin Tensile Strng'!$F$7,IF($D$11='Table 10-4 EstMin Tensile Strng'!$C$8,'Table 10-4 EstMin Tensile Strng'!$I$8/'Engine Valve Spring'!AA100^'Table 10-4 EstMin Tensile Strng'!$F$8,IF($D$11='Table 10-4 EstMin Tensile Strng'!$C$9,'Table 10-4 EstMin Tensile Strng'!$I$9/'Engine Valve Spring'!AA100^'Table 10-4 EstMin Tensile Strng'!$F$9,IF($D$11='Table 10-4 EstMin Tensile Strng'!$C$10,'Table 10-4 EstMin Tensile Strng'!$I$10/'Engine Valve Spring'!AA100^'Table 10-4 EstMin Tensile Strng'!$F$10,IF($D$11='Table 10-4 EstMin Tensile Strng'!$C$10,'Table 10-4 EstMin Tensile Strng'!$I$11/'Engine Valve Spring'!AA100^'Table 10-4 EstMin Tensile Strng'!$F$11,IF($D$11='Table 10-4 EstMin Tensile Strng'!$C$10,'Table 10-4 EstMin Tensile Strng'!$I$12/'Engine Valve Spring'!AA100^'Table 10-4 EstMin Tensile Strng'!$F$12,IF($D$11='Table 10-4 EstMin Tensile Strng'!$C$13,'Table 10-4 EstMin Tensile Strng'!$I$13/'Engine Valve Spring'!AA100^'Table 10-4 EstMin Tensile Strng'!$F$13,IF($D$11='Table 10-4 EstMin Tensile Strng'!$C$13,'Table 10-4 EstMin Tensile Strng'!$I$14/'Engine Valve Spring'!AA100^'Table 10-4 EstMin Tensile Strng'!$F$14,IF($D$11='Table 10-4 EstMin Tensile Strng'!$C$13,'Table 10-4 EstMin Tensile Strng'!$I$15/'Engine Valve Spring'!AA100^'Table 10-4 EstMin Tensile Strng'!$F$15)))))))))))</f>
        <v>721.55366362839368</v>
      </c>
      <c r="AC100">
        <f t="shared" si="1"/>
        <v>108.84187548781929</v>
      </c>
    </row>
    <row r="101" spans="27:29" x14ac:dyDescent="0.25">
      <c r="AA101">
        <v>9.6999999999999993</v>
      </c>
      <c r="AB101">
        <f>0.56/$D$7*IF($D$11='Table 10-4 EstMin Tensile Strng'!$C$5,'Table 10-4 EstMin Tensile Strng'!$I$5/'Engine Valve Spring'!AA101^'Table 10-4 EstMin Tensile Strng'!$F$5,IF($D$11='Table 10-4 EstMin Tensile Strng'!$C$6,'Table 10-4 EstMin Tensile Strng'!$I$6/'Engine Valve Spring'!AA101^'Table 10-4 EstMin Tensile Strng'!$F$6,IF($D$11='Table 10-4 EstMin Tensile Strng'!$C$7,'Table 10-4 EstMin Tensile Strng'!$I$7/'Engine Valve Spring'!AA101^'Table 10-4 EstMin Tensile Strng'!$F$7,IF($D$11='Table 10-4 EstMin Tensile Strng'!$C$8,'Table 10-4 EstMin Tensile Strng'!$I$8/'Engine Valve Spring'!AA101^'Table 10-4 EstMin Tensile Strng'!$F$8,IF($D$11='Table 10-4 EstMin Tensile Strng'!$C$9,'Table 10-4 EstMin Tensile Strng'!$I$9/'Engine Valve Spring'!AA101^'Table 10-4 EstMin Tensile Strng'!$F$9,IF($D$11='Table 10-4 EstMin Tensile Strng'!$C$10,'Table 10-4 EstMin Tensile Strng'!$I$10/'Engine Valve Spring'!AA101^'Table 10-4 EstMin Tensile Strng'!$F$10,IF($D$11='Table 10-4 EstMin Tensile Strng'!$C$10,'Table 10-4 EstMin Tensile Strng'!$I$11/'Engine Valve Spring'!AA101^'Table 10-4 EstMin Tensile Strng'!$F$11,IF($D$11='Table 10-4 EstMin Tensile Strng'!$C$10,'Table 10-4 EstMin Tensile Strng'!$I$12/'Engine Valve Spring'!AA101^'Table 10-4 EstMin Tensile Strng'!$F$12,IF($D$11='Table 10-4 EstMin Tensile Strng'!$C$13,'Table 10-4 EstMin Tensile Strng'!$I$13/'Engine Valve Spring'!AA101^'Table 10-4 EstMin Tensile Strng'!$F$13,IF($D$11='Table 10-4 EstMin Tensile Strng'!$C$13,'Table 10-4 EstMin Tensile Strng'!$I$14/'Engine Valve Spring'!AA101^'Table 10-4 EstMin Tensile Strng'!$F$14,IF($D$11='Table 10-4 EstMin Tensile Strng'!$C$13,'Table 10-4 EstMin Tensile Strng'!$I$15/'Engine Valve Spring'!AA101^'Table 10-4 EstMin Tensile Strng'!$F$15)))))))))))</f>
        <v>720.74656620599183</v>
      </c>
      <c r="AC101">
        <f t="shared" si="1"/>
        <v>105.97831569816884</v>
      </c>
    </row>
    <row r="102" spans="27:29" x14ac:dyDescent="0.25">
      <c r="AA102">
        <v>9.8000000000000007</v>
      </c>
      <c r="AB102">
        <f>0.56/$D$7*IF($D$11='Table 10-4 EstMin Tensile Strng'!$C$5,'Table 10-4 EstMin Tensile Strng'!$I$5/'Engine Valve Spring'!AA102^'Table 10-4 EstMin Tensile Strng'!$F$5,IF($D$11='Table 10-4 EstMin Tensile Strng'!$C$6,'Table 10-4 EstMin Tensile Strng'!$I$6/'Engine Valve Spring'!AA102^'Table 10-4 EstMin Tensile Strng'!$F$6,IF($D$11='Table 10-4 EstMin Tensile Strng'!$C$7,'Table 10-4 EstMin Tensile Strng'!$I$7/'Engine Valve Spring'!AA102^'Table 10-4 EstMin Tensile Strng'!$F$7,IF($D$11='Table 10-4 EstMin Tensile Strng'!$C$8,'Table 10-4 EstMin Tensile Strng'!$I$8/'Engine Valve Spring'!AA102^'Table 10-4 EstMin Tensile Strng'!$F$8,IF($D$11='Table 10-4 EstMin Tensile Strng'!$C$9,'Table 10-4 EstMin Tensile Strng'!$I$9/'Engine Valve Spring'!AA102^'Table 10-4 EstMin Tensile Strng'!$F$9,IF($D$11='Table 10-4 EstMin Tensile Strng'!$C$10,'Table 10-4 EstMin Tensile Strng'!$I$10/'Engine Valve Spring'!AA102^'Table 10-4 EstMin Tensile Strng'!$F$10,IF($D$11='Table 10-4 EstMin Tensile Strng'!$C$10,'Table 10-4 EstMin Tensile Strng'!$I$11/'Engine Valve Spring'!AA102^'Table 10-4 EstMin Tensile Strng'!$F$11,IF($D$11='Table 10-4 EstMin Tensile Strng'!$C$10,'Table 10-4 EstMin Tensile Strng'!$I$12/'Engine Valve Spring'!AA102^'Table 10-4 EstMin Tensile Strng'!$F$12,IF($D$11='Table 10-4 EstMin Tensile Strng'!$C$13,'Table 10-4 EstMin Tensile Strng'!$I$13/'Engine Valve Spring'!AA102^'Table 10-4 EstMin Tensile Strng'!$F$13,IF($D$11='Table 10-4 EstMin Tensile Strng'!$C$13,'Table 10-4 EstMin Tensile Strng'!$I$14/'Engine Valve Spring'!AA102^'Table 10-4 EstMin Tensile Strng'!$F$14,IF($D$11='Table 10-4 EstMin Tensile Strng'!$C$13,'Table 10-4 EstMin Tensile Strng'!$I$15/'Engine Valve Spring'!AA102^'Table 10-4 EstMin Tensile Strng'!$F$15)))))))))))</f>
        <v>719.94863579624939</v>
      </c>
      <c r="AC102">
        <f t="shared" si="1"/>
        <v>103.22377948192117</v>
      </c>
    </row>
    <row r="103" spans="27:29" x14ac:dyDescent="0.25">
      <c r="AA103">
        <v>9.9</v>
      </c>
      <c r="AB103">
        <f>0.56/$D$7*IF($D$11='Table 10-4 EstMin Tensile Strng'!$C$5,'Table 10-4 EstMin Tensile Strng'!$I$5/'Engine Valve Spring'!AA103^'Table 10-4 EstMin Tensile Strng'!$F$5,IF($D$11='Table 10-4 EstMin Tensile Strng'!$C$6,'Table 10-4 EstMin Tensile Strng'!$I$6/'Engine Valve Spring'!AA103^'Table 10-4 EstMin Tensile Strng'!$F$6,IF($D$11='Table 10-4 EstMin Tensile Strng'!$C$7,'Table 10-4 EstMin Tensile Strng'!$I$7/'Engine Valve Spring'!AA103^'Table 10-4 EstMin Tensile Strng'!$F$7,IF($D$11='Table 10-4 EstMin Tensile Strng'!$C$8,'Table 10-4 EstMin Tensile Strng'!$I$8/'Engine Valve Spring'!AA103^'Table 10-4 EstMin Tensile Strng'!$F$8,IF($D$11='Table 10-4 EstMin Tensile Strng'!$C$9,'Table 10-4 EstMin Tensile Strng'!$I$9/'Engine Valve Spring'!AA103^'Table 10-4 EstMin Tensile Strng'!$F$9,IF($D$11='Table 10-4 EstMin Tensile Strng'!$C$10,'Table 10-4 EstMin Tensile Strng'!$I$10/'Engine Valve Spring'!AA103^'Table 10-4 EstMin Tensile Strng'!$F$10,IF($D$11='Table 10-4 EstMin Tensile Strng'!$C$10,'Table 10-4 EstMin Tensile Strng'!$I$11/'Engine Valve Spring'!AA103^'Table 10-4 EstMin Tensile Strng'!$F$11,IF($D$11='Table 10-4 EstMin Tensile Strng'!$C$10,'Table 10-4 EstMin Tensile Strng'!$I$12/'Engine Valve Spring'!AA103^'Table 10-4 EstMin Tensile Strng'!$F$12,IF($D$11='Table 10-4 EstMin Tensile Strng'!$C$13,'Table 10-4 EstMin Tensile Strng'!$I$13/'Engine Valve Spring'!AA103^'Table 10-4 EstMin Tensile Strng'!$F$13,IF($D$11='Table 10-4 EstMin Tensile Strng'!$C$13,'Table 10-4 EstMin Tensile Strng'!$I$14/'Engine Valve Spring'!AA103^'Table 10-4 EstMin Tensile Strng'!$F$14,IF($D$11='Table 10-4 EstMin Tensile Strng'!$C$13,'Table 10-4 EstMin Tensile Strng'!$I$15/'Engine Valve Spring'!AA103^'Table 10-4 EstMin Tensile Strng'!$F$15)))))))))))</f>
        <v>719.15967631856756</v>
      </c>
      <c r="AC103">
        <f t="shared" si="1"/>
        <v>100.57301331820206</v>
      </c>
    </row>
    <row r="104" spans="27:29" x14ac:dyDescent="0.25">
      <c r="AA104">
        <v>10</v>
      </c>
      <c r="AB104">
        <f>0.56/$D$7*IF($D$11='Table 10-4 EstMin Tensile Strng'!$C$5,'Table 10-4 EstMin Tensile Strng'!$I$5/'Engine Valve Spring'!AA104^'Table 10-4 EstMin Tensile Strng'!$F$5,IF($D$11='Table 10-4 EstMin Tensile Strng'!$C$6,'Table 10-4 EstMin Tensile Strng'!$I$6/'Engine Valve Spring'!AA104^'Table 10-4 EstMin Tensile Strng'!$F$6,IF($D$11='Table 10-4 EstMin Tensile Strng'!$C$7,'Table 10-4 EstMin Tensile Strng'!$I$7/'Engine Valve Spring'!AA104^'Table 10-4 EstMin Tensile Strng'!$F$7,IF($D$11='Table 10-4 EstMin Tensile Strng'!$C$8,'Table 10-4 EstMin Tensile Strng'!$I$8/'Engine Valve Spring'!AA104^'Table 10-4 EstMin Tensile Strng'!$F$8,IF($D$11='Table 10-4 EstMin Tensile Strng'!$C$9,'Table 10-4 EstMin Tensile Strng'!$I$9/'Engine Valve Spring'!AA104^'Table 10-4 EstMin Tensile Strng'!$F$9,IF($D$11='Table 10-4 EstMin Tensile Strng'!$C$10,'Table 10-4 EstMin Tensile Strng'!$I$10/'Engine Valve Spring'!AA104^'Table 10-4 EstMin Tensile Strng'!$F$10,IF($D$11='Table 10-4 EstMin Tensile Strng'!$C$10,'Table 10-4 EstMin Tensile Strng'!$I$11/'Engine Valve Spring'!AA104^'Table 10-4 EstMin Tensile Strng'!$F$11,IF($D$11='Table 10-4 EstMin Tensile Strng'!$C$10,'Table 10-4 EstMin Tensile Strng'!$I$12/'Engine Valve Spring'!AA104^'Table 10-4 EstMin Tensile Strng'!$F$12,IF($D$11='Table 10-4 EstMin Tensile Strng'!$C$13,'Table 10-4 EstMin Tensile Strng'!$I$13/'Engine Valve Spring'!AA104^'Table 10-4 EstMin Tensile Strng'!$F$13,IF($D$11='Table 10-4 EstMin Tensile Strng'!$C$13,'Table 10-4 EstMin Tensile Strng'!$I$14/'Engine Valve Spring'!AA104^'Table 10-4 EstMin Tensile Strng'!$F$14,IF($D$11='Table 10-4 EstMin Tensile Strng'!$C$13,'Table 10-4 EstMin Tensile Strng'!$I$15/'Engine Valve Spring'!AA104^'Table 10-4 EstMin Tensile Strng'!$F$15)))))))))))</f>
        <v>718.37949781402597</v>
      </c>
      <c r="AC104">
        <f t="shared" si="1"/>
        <v>98.021068291384552</v>
      </c>
    </row>
    <row r="105" spans="27:29" x14ac:dyDescent="0.25">
      <c r="AA105">
        <v>10.1</v>
      </c>
      <c r="AB105">
        <f>0.56/$D$7*IF($D$11='Table 10-4 EstMin Tensile Strng'!$C$5,'Table 10-4 EstMin Tensile Strng'!$I$5/'Engine Valve Spring'!AA105^'Table 10-4 EstMin Tensile Strng'!$F$5,IF($D$11='Table 10-4 EstMin Tensile Strng'!$C$6,'Table 10-4 EstMin Tensile Strng'!$I$6/'Engine Valve Spring'!AA105^'Table 10-4 EstMin Tensile Strng'!$F$6,IF($D$11='Table 10-4 EstMin Tensile Strng'!$C$7,'Table 10-4 EstMin Tensile Strng'!$I$7/'Engine Valve Spring'!AA105^'Table 10-4 EstMin Tensile Strng'!$F$7,IF($D$11='Table 10-4 EstMin Tensile Strng'!$C$8,'Table 10-4 EstMin Tensile Strng'!$I$8/'Engine Valve Spring'!AA105^'Table 10-4 EstMin Tensile Strng'!$F$8,IF($D$11='Table 10-4 EstMin Tensile Strng'!$C$9,'Table 10-4 EstMin Tensile Strng'!$I$9/'Engine Valve Spring'!AA105^'Table 10-4 EstMin Tensile Strng'!$F$9,IF($D$11='Table 10-4 EstMin Tensile Strng'!$C$10,'Table 10-4 EstMin Tensile Strng'!$I$10/'Engine Valve Spring'!AA105^'Table 10-4 EstMin Tensile Strng'!$F$10,IF($D$11='Table 10-4 EstMin Tensile Strng'!$C$10,'Table 10-4 EstMin Tensile Strng'!$I$11/'Engine Valve Spring'!AA105^'Table 10-4 EstMin Tensile Strng'!$F$11,IF($D$11='Table 10-4 EstMin Tensile Strng'!$C$10,'Table 10-4 EstMin Tensile Strng'!$I$12/'Engine Valve Spring'!AA105^'Table 10-4 EstMin Tensile Strng'!$F$12,IF($D$11='Table 10-4 EstMin Tensile Strng'!$C$13,'Table 10-4 EstMin Tensile Strng'!$I$13/'Engine Valve Spring'!AA105^'Table 10-4 EstMin Tensile Strng'!$F$13,IF($D$11='Table 10-4 EstMin Tensile Strng'!$C$13,'Table 10-4 EstMin Tensile Strng'!$I$14/'Engine Valve Spring'!AA105^'Table 10-4 EstMin Tensile Strng'!$F$14,IF($D$11='Table 10-4 EstMin Tensile Strng'!$C$13,'Table 10-4 EstMin Tensile Strng'!$I$15/'Engine Valve Spring'!AA105^'Table 10-4 EstMin Tensile Strng'!$F$15)))))))))))</f>
        <v>717.60791619528015</v>
      </c>
      <c r="AC105">
        <f t="shared" si="1"/>
        <v>95.563279548699029</v>
      </c>
    </row>
    <row r="106" spans="27:29" x14ac:dyDescent="0.25">
      <c r="AA106">
        <v>10.199999999999999</v>
      </c>
      <c r="AB106">
        <f>0.56/$D$7*IF($D$11='Table 10-4 EstMin Tensile Strng'!$C$5,'Table 10-4 EstMin Tensile Strng'!$I$5/'Engine Valve Spring'!AA106^'Table 10-4 EstMin Tensile Strng'!$F$5,IF($D$11='Table 10-4 EstMin Tensile Strng'!$C$6,'Table 10-4 EstMin Tensile Strng'!$I$6/'Engine Valve Spring'!AA106^'Table 10-4 EstMin Tensile Strng'!$F$6,IF($D$11='Table 10-4 EstMin Tensile Strng'!$C$7,'Table 10-4 EstMin Tensile Strng'!$I$7/'Engine Valve Spring'!AA106^'Table 10-4 EstMin Tensile Strng'!$F$7,IF($D$11='Table 10-4 EstMin Tensile Strng'!$C$8,'Table 10-4 EstMin Tensile Strng'!$I$8/'Engine Valve Spring'!AA106^'Table 10-4 EstMin Tensile Strng'!$F$8,IF($D$11='Table 10-4 EstMin Tensile Strng'!$C$9,'Table 10-4 EstMin Tensile Strng'!$I$9/'Engine Valve Spring'!AA106^'Table 10-4 EstMin Tensile Strng'!$F$9,IF($D$11='Table 10-4 EstMin Tensile Strng'!$C$10,'Table 10-4 EstMin Tensile Strng'!$I$10/'Engine Valve Spring'!AA106^'Table 10-4 EstMin Tensile Strng'!$F$10,IF($D$11='Table 10-4 EstMin Tensile Strng'!$C$10,'Table 10-4 EstMin Tensile Strng'!$I$11/'Engine Valve Spring'!AA106^'Table 10-4 EstMin Tensile Strng'!$F$11,IF($D$11='Table 10-4 EstMin Tensile Strng'!$C$10,'Table 10-4 EstMin Tensile Strng'!$I$12/'Engine Valve Spring'!AA106^'Table 10-4 EstMin Tensile Strng'!$F$12,IF($D$11='Table 10-4 EstMin Tensile Strng'!$C$13,'Table 10-4 EstMin Tensile Strng'!$I$13/'Engine Valve Spring'!AA106^'Table 10-4 EstMin Tensile Strng'!$F$13,IF($D$11='Table 10-4 EstMin Tensile Strng'!$C$13,'Table 10-4 EstMin Tensile Strng'!$I$14/'Engine Valve Spring'!AA106^'Table 10-4 EstMin Tensile Strng'!$F$14,IF($D$11='Table 10-4 EstMin Tensile Strng'!$C$13,'Table 10-4 EstMin Tensile Strng'!$I$15/'Engine Valve Spring'!AA106^'Table 10-4 EstMin Tensile Strng'!$F$15)))))))))))</f>
        <v>716.84475300903921</v>
      </c>
      <c r="AC106">
        <f t="shared" si="1"/>
        <v>93.195247332529064</v>
      </c>
    </row>
    <row r="107" spans="27:29" x14ac:dyDescent="0.25">
      <c r="AA107">
        <v>10.3</v>
      </c>
      <c r="AB107">
        <f>0.56/$D$7*IF($D$11='Table 10-4 EstMin Tensile Strng'!$C$5,'Table 10-4 EstMin Tensile Strng'!$I$5/'Engine Valve Spring'!AA107^'Table 10-4 EstMin Tensile Strng'!$F$5,IF($D$11='Table 10-4 EstMin Tensile Strng'!$C$6,'Table 10-4 EstMin Tensile Strng'!$I$6/'Engine Valve Spring'!AA107^'Table 10-4 EstMin Tensile Strng'!$F$6,IF($D$11='Table 10-4 EstMin Tensile Strng'!$C$7,'Table 10-4 EstMin Tensile Strng'!$I$7/'Engine Valve Spring'!AA107^'Table 10-4 EstMin Tensile Strng'!$F$7,IF($D$11='Table 10-4 EstMin Tensile Strng'!$C$8,'Table 10-4 EstMin Tensile Strng'!$I$8/'Engine Valve Spring'!AA107^'Table 10-4 EstMin Tensile Strng'!$F$8,IF($D$11='Table 10-4 EstMin Tensile Strng'!$C$9,'Table 10-4 EstMin Tensile Strng'!$I$9/'Engine Valve Spring'!AA107^'Table 10-4 EstMin Tensile Strng'!$F$9,IF($D$11='Table 10-4 EstMin Tensile Strng'!$C$10,'Table 10-4 EstMin Tensile Strng'!$I$10/'Engine Valve Spring'!AA107^'Table 10-4 EstMin Tensile Strng'!$F$10,IF($D$11='Table 10-4 EstMin Tensile Strng'!$C$10,'Table 10-4 EstMin Tensile Strng'!$I$11/'Engine Valve Spring'!AA107^'Table 10-4 EstMin Tensile Strng'!$F$11,IF($D$11='Table 10-4 EstMin Tensile Strng'!$C$10,'Table 10-4 EstMin Tensile Strng'!$I$12/'Engine Valve Spring'!AA107^'Table 10-4 EstMin Tensile Strng'!$F$12,IF($D$11='Table 10-4 EstMin Tensile Strng'!$C$13,'Table 10-4 EstMin Tensile Strng'!$I$13/'Engine Valve Spring'!AA107^'Table 10-4 EstMin Tensile Strng'!$F$13,IF($D$11='Table 10-4 EstMin Tensile Strng'!$C$13,'Table 10-4 EstMin Tensile Strng'!$I$14/'Engine Valve Spring'!AA107^'Table 10-4 EstMin Tensile Strng'!$F$14,IF($D$11='Table 10-4 EstMin Tensile Strng'!$C$13,'Table 10-4 EstMin Tensile Strng'!$I$15/'Engine Valve Spring'!AA107^'Table 10-4 EstMin Tensile Strng'!$F$15)))))))))))</f>
        <v>716.08983521037408</v>
      </c>
      <c r="AC107">
        <f t="shared" si="1"/>
        <v>90.912819452518377</v>
      </c>
    </row>
    <row r="108" spans="27:29" x14ac:dyDescent="0.25">
      <c r="AA108">
        <v>10.4</v>
      </c>
      <c r="AB108">
        <f>0.56/$D$7*IF($D$11='Table 10-4 EstMin Tensile Strng'!$C$5,'Table 10-4 EstMin Tensile Strng'!$I$5/'Engine Valve Spring'!AA108^'Table 10-4 EstMin Tensile Strng'!$F$5,IF($D$11='Table 10-4 EstMin Tensile Strng'!$C$6,'Table 10-4 EstMin Tensile Strng'!$I$6/'Engine Valve Spring'!AA108^'Table 10-4 EstMin Tensile Strng'!$F$6,IF($D$11='Table 10-4 EstMin Tensile Strng'!$C$7,'Table 10-4 EstMin Tensile Strng'!$I$7/'Engine Valve Spring'!AA108^'Table 10-4 EstMin Tensile Strng'!$F$7,IF($D$11='Table 10-4 EstMin Tensile Strng'!$C$8,'Table 10-4 EstMin Tensile Strng'!$I$8/'Engine Valve Spring'!AA108^'Table 10-4 EstMin Tensile Strng'!$F$8,IF($D$11='Table 10-4 EstMin Tensile Strng'!$C$9,'Table 10-4 EstMin Tensile Strng'!$I$9/'Engine Valve Spring'!AA108^'Table 10-4 EstMin Tensile Strng'!$F$9,IF($D$11='Table 10-4 EstMin Tensile Strng'!$C$10,'Table 10-4 EstMin Tensile Strng'!$I$10/'Engine Valve Spring'!AA108^'Table 10-4 EstMin Tensile Strng'!$F$10,IF($D$11='Table 10-4 EstMin Tensile Strng'!$C$10,'Table 10-4 EstMin Tensile Strng'!$I$11/'Engine Valve Spring'!AA108^'Table 10-4 EstMin Tensile Strng'!$F$11,IF($D$11='Table 10-4 EstMin Tensile Strng'!$C$10,'Table 10-4 EstMin Tensile Strng'!$I$12/'Engine Valve Spring'!AA108^'Table 10-4 EstMin Tensile Strng'!$F$12,IF($D$11='Table 10-4 EstMin Tensile Strng'!$C$13,'Table 10-4 EstMin Tensile Strng'!$I$13/'Engine Valve Spring'!AA108^'Table 10-4 EstMin Tensile Strng'!$F$13,IF($D$11='Table 10-4 EstMin Tensile Strng'!$C$13,'Table 10-4 EstMin Tensile Strng'!$I$14/'Engine Valve Spring'!AA108^'Table 10-4 EstMin Tensile Strng'!$F$14,IF($D$11='Table 10-4 EstMin Tensile Strng'!$C$13,'Table 10-4 EstMin Tensile Strng'!$I$15/'Engine Valve Spring'!AA108^'Table 10-4 EstMin Tensile Strng'!$F$15)))))))))))</f>
        <v>715.34299494816048</v>
      </c>
      <c r="AC108">
        <f t="shared" si="1"/>
        <v>88.712075075352161</v>
      </c>
    </row>
    <row r="109" spans="27:29" x14ac:dyDescent="0.25">
      <c r="AA109">
        <v>10.5</v>
      </c>
      <c r="AB109">
        <f>0.56/$D$7*IF($D$11='Table 10-4 EstMin Tensile Strng'!$C$5,'Table 10-4 EstMin Tensile Strng'!$I$5/'Engine Valve Spring'!AA109^'Table 10-4 EstMin Tensile Strng'!$F$5,IF($D$11='Table 10-4 EstMin Tensile Strng'!$C$6,'Table 10-4 EstMin Tensile Strng'!$I$6/'Engine Valve Spring'!AA109^'Table 10-4 EstMin Tensile Strng'!$F$6,IF($D$11='Table 10-4 EstMin Tensile Strng'!$C$7,'Table 10-4 EstMin Tensile Strng'!$I$7/'Engine Valve Spring'!AA109^'Table 10-4 EstMin Tensile Strng'!$F$7,IF($D$11='Table 10-4 EstMin Tensile Strng'!$C$8,'Table 10-4 EstMin Tensile Strng'!$I$8/'Engine Valve Spring'!AA109^'Table 10-4 EstMin Tensile Strng'!$F$8,IF($D$11='Table 10-4 EstMin Tensile Strng'!$C$9,'Table 10-4 EstMin Tensile Strng'!$I$9/'Engine Valve Spring'!AA109^'Table 10-4 EstMin Tensile Strng'!$F$9,IF($D$11='Table 10-4 EstMin Tensile Strng'!$C$10,'Table 10-4 EstMin Tensile Strng'!$I$10/'Engine Valve Spring'!AA109^'Table 10-4 EstMin Tensile Strng'!$F$10,IF($D$11='Table 10-4 EstMin Tensile Strng'!$C$10,'Table 10-4 EstMin Tensile Strng'!$I$11/'Engine Valve Spring'!AA109^'Table 10-4 EstMin Tensile Strng'!$F$11,IF($D$11='Table 10-4 EstMin Tensile Strng'!$C$10,'Table 10-4 EstMin Tensile Strng'!$I$12/'Engine Valve Spring'!AA109^'Table 10-4 EstMin Tensile Strng'!$F$12,IF($D$11='Table 10-4 EstMin Tensile Strng'!$C$13,'Table 10-4 EstMin Tensile Strng'!$I$13/'Engine Valve Spring'!AA109^'Table 10-4 EstMin Tensile Strng'!$F$13,IF($D$11='Table 10-4 EstMin Tensile Strng'!$C$13,'Table 10-4 EstMin Tensile Strng'!$I$14/'Engine Valve Spring'!AA109^'Table 10-4 EstMin Tensile Strng'!$F$14,IF($D$11='Table 10-4 EstMin Tensile Strng'!$C$13,'Table 10-4 EstMin Tensile Strng'!$I$15/'Engine Valve Spring'!AA109^'Table 10-4 EstMin Tensile Strng'!$F$15)))))))))))</f>
        <v>714.60406936100242</v>
      </c>
      <c r="AC109">
        <f t="shared" si="1"/>
        <v>86.589309721502588</v>
      </c>
    </row>
    <row r="110" spans="27:29" x14ac:dyDescent="0.25">
      <c r="AA110">
        <v>10.6</v>
      </c>
      <c r="AB110">
        <f>0.56/$D$7*IF($D$11='Table 10-4 EstMin Tensile Strng'!$C$5,'Table 10-4 EstMin Tensile Strng'!$I$5/'Engine Valve Spring'!AA110^'Table 10-4 EstMin Tensile Strng'!$F$5,IF($D$11='Table 10-4 EstMin Tensile Strng'!$C$6,'Table 10-4 EstMin Tensile Strng'!$I$6/'Engine Valve Spring'!AA110^'Table 10-4 EstMin Tensile Strng'!$F$6,IF($D$11='Table 10-4 EstMin Tensile Strng'!$C$7,'Table 10-4 EstMin Tensile Strng'!$I$7/'Engine Valve Spring'!AA110^'Table 10-4 EstMin Tensile Strng'!$F$7,IF($D$11='Table 10-4 EstMin Tensile Strng'!$C$8,'Table 10-4 EstMin Tensile Strng'!$I$8/'Engine Valve Spring'!AA110^'Table 10-4 EstMin Tensile Strng'!$F$8,IF($D$11='Table 10-4 EstMin Tensile Strng'!$C$9,'Table 10-4 EstMin Tensile Strng'!$I$9/'Engine Valve Spring'!AA110^'Table 10-4 EstMin Tensile Strng'!$F$9,IF($D$11='Table 10-4 EstMin Tensile Strng'!$C$10,'Table 10-4 EstMin Tensile Strng'!$I$10/'Engine Valve Spring'!AA110^'Table 10-4 EstMin Tensile Strng'!$F$10,IF($D$11='Table 10-4 EstMin Tensile Strng'!$C$10,'Table 10-4 EstMin Tensile Strng'!$I$11/'Engine Valve Spring'!AA110^'Table 10-4 EstMin Tensile Strng'!$F$11,IF($D$11='Table 10-4 EstMin Tensile Strng'!$C$10,'Table 10-4 EstMin Tensile Strng'!$I$12/'Engine Valve Spring'!AA110^'Table 10-4 EstMin Tensile Strng'!$F$12,IF($D$11='Table 10-4 EstMin Tensile Strng'!$C$13,'Table 10-4 EstMin Tensile Strng'!$I$13/'Engine Valve Spring'!AA110^'Table 10-4 EstMin Tensile Strng'!$F$13,IF($D$11='Table 10-4 EstMin Tensile Strng'!$C$13,'Table 10-4 EstMin Tensile Strng'!$I$14/'Engine Valve Spring'!AA110^'Table 10-4 EstMin Tensile Strng'!$F$14,IF($D$11='Table 10-4 EstMin Tensile Strng'!$C$13,'Table 10-4 EstMin Tensile Strng'!$I$15/'Engine Valve Spring'!AA110^'Table 10-4 EstMin Tensile Strng'!$F$15)))))))))))</f>
        <v>713.87290038303308</v>
      </c>
      <c r="AC110">
        <f t="shared" si="1"/>
        <v>84.541021368488543</v>
      </c>
    </row>
    <row r="111" spans="27:29" x14ac:dyDescent="0.25">
      <c r="AA111">
        <v>10.7</v>
      </c>
      <c r="AB111">
        <f>0.56/$D$7*IF($D$11='Table 10-4 EstMin Tensile Strng'!$C$5,'Table 10-4 EstMin Tensile Strng'!$I$5/'Engine Valve Spring'!AA111^'Table 10-4 EstMin Tensile Strng'!$F$5,IF($D$11='Table 10-4 EstMin Tensile Strng'!$C$6,'Table 10-4 EstMin Tensile Strng'!$I$6/'Engine Valve Spring'!AA111^'Table 10-4 EstMin Tensile Strng'!$F$6,IF($D$11='Table 10-4 EstMin Tensile Strng'!$C$7,'Table 10-4 EstMin Tensile Strng'!$I$7/'Engine Valve Spring'!AA111^'Table 10-4 EstMin Tensile Strng'!$F$7,IF($D$11='Table 10-4 EstMin Tensile Strng'!$C$8,'Table 10-4 EstMin Tensile Strng'!$I$8/'Engine Valve Spring'!AA111^'Table 10-4 EstMin Tensile Strng'!$F$8,IF($D$11='Table 10-4 EstMin Tensile Strng'!$C$9,'Table 10-4 EstMin Tensile Strng'!$I$9/'Engine Valve Spring'!AA111^'Table 10-4 EstMin Tensile Strng'!$F$9,IF($D$11='Table 10-4 EstMin Tensile Strng'!$C$10,'Table 10-4 EstMin Tensile Strng'!$I$10/'Engine Valve Spring'!AA111^'Table 10-4 EstMin Tensile Strng'!$F$10,IF($D$11='Table 10-4 EstMin Tensile Strng'!$C$10,'Table 10-4 EstMin Tensile Strng'!$I$11/'Engine Valve Spring'!AA111^'Table 10-4 EstMin Tensile Strng'!$F$11,IF($D$11='Table 10-4 EstMin Tensile Strng'!$C$10,'Table 10-4 EstMin Tensile Strng'!$I$12/'Engine Valve Spring'!AA111^'Table 10-4 EstMin Tensile Strng'!$F$12,IF($D$11='Table 10-4 EstMin Tensile Strng'!$C$13,'Table 10-4 EstMin Tensile Strng'!$I$13/'Engine Valve Spring'!AA111^'Table 10-4 EstMin Tensile Strng'!$F$13,IF($D$11='Table 10-4 EstMin Tensile Strng'!$C$13,'Table 10-4 EstMin Tensile Strng'!$I$14/'Engine Valve Spring'!AA111^'Table 10-4 EstMin Tensile Strng'!$F$14,IF($D$11='Table 10-4 EstMin Tensile Strng'!$C$13,'Table 10-4 EstMin Tensile Strng'!$I$15/'Engine Valve Spring'!AA111^'Table 10-4 EstMin Tensile Strng'!$F$15)))))))))))</f>
        <v>713.14933455902576</v>
      </c>
      <c r="AC111">
        <f t="shared" si="1"/>
        <v>82.563897569420504</v>
      </c>
    </row>
    <row r="112" spans="27:29" x14ac:dyDescent="0.25">
      <c r="AA112">
        <v>10.8</v>
      </c>
      <c r="AB112">
        <f>0.56/$D$7*IF($D$11='Table 10-4 EstMin Tensile Strng'!$C$5,'Table 10-4 EstMin Tensile Strng'!$I$5/'Engine Valve Spring'!AA112^'Table 10-4 EstMin Tensile Strng'!$F$5,IF($D$11='Table 10-4 EstMin Tensile Strng'!$C$6,'Table 10-4 EstMin Tensile Strng'!$I$6/'Engine Valve Spring'!AA112^'Table 10-4 EstMin Tensile Strng'!$F$6,IF($D$11='Table 10-4 EstMin Tensile Strng'!$C$7,'Table 10-4 EstMin Tensile Strng'!$I$7/'Engine Valve Spring'!AA112^'Table 10-4 EstMin Tensile Strng'!$F$7,IF($D$11='Table 10-4 EstMin Tensile Strng'!$C$8,'Table 10-4 EstMin Tensile Strng'!$I$8/'Engine Valve Spring'!AA112^'Table 10-4 EstMin Tensile Strng'!$F$8,IF($D$11='Table 10-4 EstMin Tensile Strng'!$C$9,'Table 10-4 EstMin Tensile Strng'!$I$9/'Engine Valve Spring'!AA112^'Table 10-4 EstMin Tensile Strng'!$F$9,IF($D$11='Table 10-4 EstMin Tensile Strng'!$C$10,'Table 10-4 EstMin Tensile Strng'!$I$10/'Engine Valve Spring'!AA112^'Table 10-4 EstMin Tensile Strng'!$F$10,IF($D$11='Table 10-4 EstMin Tensile Strng'!$C$10,'Table 10-4 EstMin Tensile Strng'!$I$11/'Engine Valve Spring'!AA112^'Table 10-4 EstMin Tensile Strng'!$F$11,IF($D$11='Table 10-4 EstMin Tensile Strng'!$C$10,'Table 10-4 EstMin Tensile Strng'!$I$12/'Engine Valve Spring'!AA112^'Table 10-4 EstMin Tensile Strng'!$F$12,IF($D$11='Table 10-4 EstMin Tensile Strng'!$C$13,'Table 10-4 EstMin Tensile Strng'!$I$13/'Engine Valve Spring'!AA112^'Table 10-4 EstMin Tensile Strng'!$F$13,IF($D$11='Table 10-4 EstMin Tensile Strng'!$C$13,'Table 10-4 EstMin Tensile Strng'!$I$14/'Engine Valve Spring'!AA112^'Table 10-4 EstMin Tensile Strng'!$F$14,IF($D$11='Table 10-4 EstMin Tensile Strng'!$C$13,'Table 10-4 EstMin Tensile Strng'!$I$15/'Engine Valve Spring'!AA112^'Table 10-4 EstMin Tensile Strng'!$F$15)))))))))))</f>
        <v>712.43322286828538</v>
      </c>
      <c r="AC112">
        <f t="shared" si="1"/>
        <v>80.654803503900112</v>
      </c>
    </row>
    <row r="113" spans="27:29" x14ac:dyDescent="0.25">
      <c r="AA113">
        <v>10.9</v>
      </c>
      <c r="AB113">
        <f>0.56/$D$7*IF($D$11='Table 10-4 EstMin Tensile Strng'!$C$5,'Table 10-4 EstMin Tensile Strng'!$I$5/'Engine Valve Spring'!AA113^'Table 10-4 EstMin Tensile Strng'!$F$5,IF($D$11='Table 10-4 EstMin Tensile Strng'!$C$6,'Table 10-4 EstMin Tensile Strng'!$I$6/'Engine Valve Spring'!AA113^'Table 10-4 EstMin Tensile Strng'!$F$6,IF($D$11='Table 10-4 EstMin Tensile Strng'!$C$7,'Table 10-4 EstMin Tensile Strng'!$I$7/'Engine Valve Spring'!AA113^'Table 10-4 EstMin Tensile Strng'!$F$7,IF($D$11='Table 10-4 EstMin Tensile Strng'!$C$8,'Table 10-4 EstMin Tensile Strng'!$I$8/'Engine Valve Spring'!AA113^'Table 10-4 EstMin Tensile Strng'!$F$8,IF($D$11='Table 10-4 EstMin Tensile Strng'!$C$9,'Table 10-4 EstMin Tensile Strng'!$I$9/'Engine Valve Spring'!AA113^'Table 10-4 EstMin Tensile Strng'!$F$9,IF($D$11='Table 10-4 EstMin Tensile Strng'!$C$10,'Table 10-4 EstMin Tensile Strng'!$I$10/'Engine Valve Spring'!AA113^'Table 10-4 EstMin Tensile Strng'!$F$10,IF($D$11='Table 10-4 EstMin Tensile Strng'!$C$10,'Table 10-4 EstMin Tensile Strng'!$I$11/'Engine Valve Spring'!AA113^'Table 10-4 EstMin Tensile Strng'!$F$11,IF($D$11='Table 10-4 EstMin Tensile Strng'!$C$10,'Table 10-4 EstMin Tensile Strng'!$I$12/'Engine Valve Spring'!AA113^'Table 10-4 EstMin Tensile Strng'!$F$12,IF($D$11='Table 10-4 EstMin Tensile Strng'!$C$13,'Table 10-4 EstMin Tensile Strng'!$I$13/'Engine Valve Spring'!AA113^'Table 10-4 EstMin Tensile Strng'!$F$13,IF($D$11='Table 10-4 EstMin Tensile Strng'!$C$13,'Table 10-4 EstMin Tensile Strng'!$I$14/'Engine Valve Spring'!AA113^'Table 10-4 EstMin Tensile Strng'!$F$14,IF($D$11='Table 10-4 EstMin Tensile Strng'!$C$13,'Table 10-4 EstMin Tensile Strng'!$I$15/'Engine Valve Spring'!AA113^'Table 10-4 EstMin Tensile Strng'!$F$15)))))))))))</f>
        <v>711.72442055682734</v>
      </c>
      <c r="AC113">
        <f t="shared" si="1"/>
        <v>78.810770885817817</v>
      </c>
    </row>
    <row r="114" spans="27:29" x14ac:dyDescent="0.25">
      <c r="AA114">
        <v>11</v>
      </c>
      <c r="AB114">
        <f>0.56/$D$7*IF($D$11='Table 10-4 EstMin Tensile Strng'!$C$5,'Table 10-4 EstMin Tensile Strng'!$I$5/'Engine Valve Spring'!AA114^'Table 10-4 EstMin Tensile Strng'!$F$5,IF($D$11='Table 10-4 EstMin Tensile Strng'!$C$6,'Table 10-4 EstMin Tensile Strng'!$I$6/'Engine Valve Spring'!AA114^'Table 10-4 EstMin Tensile Strng'!$F$6,IF($D$11='Table 10-4 EstMin Tensile Strng'!$C$7,'Table 10-4 EstMin Tensile Strng'!$I$7/'Engine Valve Spring'!AA114^'Table 10-4 EstMin Tensile Strng'!$F$7,IF($D$11='Table 10-4 EstMin Tensile Strng'!$C$8,'Table 10-4 EstMin Tensile Strng'!$I$8/'Engine Valve Spring'!AA114^'Table 10-4 EstMin Tensile Strng'!$F$8,IF($D$11='Table 10-4 EstMin Tensile Strng'!$C$9,'Table 10-4 EstMin Tensile Strng'!$I$9/'Engine Valve Spring'!AA114^'Table 10-4 EstMin Tensile Strng'!$F$9,IF($D$11='Table 10-4 EstMin Tensile Strng'!$C$10,'Table 10-4 EstMin Tensile Strng'!$I$10/'Engine Valve Spring'!AA114^'Table 10-4 EstMin Tensile Strng'!$F$10,IF($D$11='Table 10-4 EstMin Tensile Strng'!$C$10,'Table 10-4 EstMin Tensile Strng'!$I$11/'Engine Valve Spring'!AA114^'Table 10-4 EstMin Tensile Strng'!$F$11,IF($D$11='Table 10-4 EstMin Tensile Strng'!$C$10,'Table 10-4 EstMin Tensile Strng'!$I$12/'Engine Valve Spring'!AA114^'Table 10-4 EstMin Tensile Strng'!$F$12,IF($D$11='Table 10-4 EstMin Tensile Strng'!$C$13,'Table 10-4 EstMin Tensile Strng'!$I$13/'Engine Valve Spring'!AA114^'Table 10-4 EstMin Tensile Strng'!$F$13,IF($D$11='Table 10-4 EstMin Tensile Strng'!$C$13,'Table 10-4 EstMin Tensile Strng'!$I$14/'Engine Valve Spring'!AA114^'Table 10-4 EstMin Tensile Strng'!$F$14,IF($D$11='Table 10-4 EstMin Tensile Strng'!$C$13,'Table 10-4 EstMin Tensile Strng'!$I$15/'Engine Valve Spring'!AA114^'Table 10-4 EstMin Tensile Strng'!$F$15)))))))))))</f>
        <v>711.02278697738188</v>
      </c>
      <c r="AC114">
        <f t="shared" si="1"/>
        <v>77.028987659329857</v>
      </c>
    </row>
    <row r="115" spans="27:29" x14ac:dyDescent="0.25">
      <c r="AA115">
        <v>11.1</v>
      </c>
      <c r="AB115">
        <f>0.56/$D$7*IF($D$11='Table 10-4 EstMin Tensile Strng'!$C$5,'Table 10-4 EstMin Tensile Strng'!$I$5/'Engine Valve Spring'!AA115^'Table 10-4 EstMin Tensile Strng'!$F$5,IF($D$11='Table 10-4 EstMin Tensile Strng'!$C$6,'Table 10-4 EstMin Tensile Strng'!$I$6/'Engine Valve Spring'!AA115^'Table 10-4 EstMin Tensile Strng'!$F$6,IF($D$11='Table 10-4 EstMin Tensile Strng'!$C$7,'Table 10-4 EstMin Tensile Strng'!$I$7/'Engine Valve Spring'!AA115^'Table 10-4 EstMin Tensile Strng'!$F$7,IF($D$11='Table 10-4 EstMin Tensile Strng'!$C$8,'Table 10-4 EstMin Tensile Strng'!$I$8/'Engine Valve Spring'!AA115^'Table 10-4 EstMin Tensile Strng'!$F$8,IF($D$11='Table 10-4 EstMin Tensile Strng'!$C$9,'Table 10-4 EstMin Tensile Strng'!$I$9/'Engine Valve Spring'!AA115^'Table 10-4 EstMin Tensile Strng'!$F$9,IF($D$11='Table 10-4 EstMin Tensile Strng'!$C$10,'Table 10-4 EstMin Tensile Strng'!$I$10/'Engine Valve Spring'!AA115^'Table 10-4 EstMin Tensile Strng'!$F$10,IF($D$11='Table 10-4 EstMin Tensile Strng'!$C$10,'Table 10-4 EstMin Tensile Strng'!$I$11/'Engine Valve Spring'!AA115^'Table 10-4 EstMin Tensile Strng'!$F$11,IF($D$11='Table 10-4 EstMin Tensile Strng'!$C$10,'Table 10-4 EstMin Tensile Strng'!$I$12/'Engine Valve Spring'!AA115^'Table 10-4 EstMin Tensile Strng'!$F$12,IF($D$11='Table 10-4 EstMin Tensile Strng'!$C$13,'Table 10-4 EstMin Tensile Strng'!$I$13/'Engine Valve Spring'!AA115^'Table 10-4 EstMin Tensile Strng'!$F$13,IF($D$11='Table 10-4 EstMin Tensile Strng'!$C$13,'Table 10-4 EstMin Tensile Strng'!$I$14/'Engine Valve Spring'!AA115^'Table 10-4 EstMin Tensile Strng'!$F$14,IF($D$11='Table 10-4 EstMin Tensile Strng'!$C$13,'Table 10-4 EstMin Tensile Strng'!$I$15/'Engine Valve Spring'!AA115^'Table 10-4 EstMin Tensile Strng'!$F$15)))))))))))</f>
        <v>710.32818543678968</v>
      </c>
      <c r="AC115">
        <f t="shared" si="1"/>
        <v>75.306788420378396</v>
      </c>
    </row>
    <row r="116" spans="27:29" x14ac:dyDescent="0.25">
      <c r="AA116">
        <v>11.2</v>
      </c>
      <c r="AB116">
        <f>0.56/$D$7*IF($D$11='Table 10-4 EstMin Tensile Strng'!$C$5,'Table 10-4 EstMin Tensile Strng'!$I$5/'Engine Valve Spring'!AA116^'Table 10-4 EstMin Tensile Strng'!$F$5,IF($D$11='Table 10-4 EstMin Tensile Strng'!$C$6,'Table 10-4 EstMin Tensile Strng'!$I$6/'Engine Valve Spring'!AA116^'Table 10-4 EstMin Tensile Strng'!$F$6,IF($D$11='Table 10-4 EstMin Tensile Strng'!$C$7,'Table 10-4 EstMin Tensile Strng'!$I$7/'Engine Valve Spring'!AA116^'Table 10-4 EstMin Tensile Strng'!$F$7,IF($D$11='Table 10-4 EstMin Tensile Strng'!$C$8,'Table 10-4 EstMin Tensile Strng'!$I$8/'Engine Valve Spring'!AA116^'Table 10-4 EstMin Tensile Strng'!$F$8,IF($D$11='Table 10-4 EstMin Tensile Strng'!$C$9,'Table 10-4 EstMin Tensile Strng'!$I$9/'Engine Valve Spring'!AA116^'Table 10-4 EstMin Tensile Strng'!$F$9,IF($D$11='Table 10-4 EstMin Tensile Strng'!$C$10,'Table 10-4 EstMin Tensile Strng'!$I$10/'Engine Valve Spring'!AA116^'Table 10-4 EstMin Tensile Strng'!$F$10,IF($D$11='Table 10-4 EstMin Tensile Strng'!$C$10,'Table 10-4 EstMin Tensile Strng'!$I$11/'Engine Valve Spring'!AA116^'Table 10-4 EstMin Tensile Strng'!$F$11,IF($D$11='Table 10-4 EstMin Tensile Strng'!$C$10,'Table 10-4 EstMin Tensile Strng'!$I$12/'Engine Valve Spring'!AA116^'Table 10-4 EstMin Tensile Strng'!$F$12,IF($D$11='Table 10-4 EstMin Tensile Strng'!$C$13,'Table 10-4 EstMin Tensile Strng'!$I$13/'Engine Valve Spring'!AA116^'Table 10-4 EstMin Tensile Strng'!$F$13,IF($D$11='Table 10-4 EstMin Tensile Strng'!$C$13,'Table 10-4 EstMin Tensile Strng'!$I$14/'Engine Valve Spring'!AA116^'Table 10-4 EstMin Tensile Strng'!$F$14,IF($D$11='Table 10-4 EstMin Tensile Strng'!$C$13,'Table 10-4 EstMin Tensile Strng'!$I$15/'Engine Valve Spring'!AA116^'Table 10-4 EstMin Tensile Strng'!$F$15)))))))))))</f>
        <v>709.64048305038739</v>
      </c>
      <c r="AC116">
        <f t="shared" si="1"/>
        <v>73.641645506611567</v>
      </c>
    </row>
    <row r="117" spans="27:29" x14ac:dyDescent="0.25">
      <c r="AA117">
        <v>11.3</v>
      </c>
      <c r="AB117">
        <f>0.56/$D$7*IF($D$11='Table 10-4 EstMin Tensile Strng'!$C$5,'Table 10-4 EstMin Tensile Strng'!$I$5/'Engine Valve Spring'!AA117^'Table 10-4 EstMin Tensile Strng'!$F$5,IF($D$11='Table 10-4 EstMin Tensile Strng'!$C$6,'Table 10-4 EstMin Tensile Strng'!$I$6/'Engine Valve Spring'!AA117^'Table 10-4 EstMin Tensile Strng'!$F$6,IF($D$11='Table 10-4 EstMin Tensile Strng'!$C$7,'Table 10-4 EstMin Tensile Strng'!$I$7/'Engine Valve Spring'!AA117^'Table 10-4 EstMin Tensile Strng'!$F$7,IF($D$11='Table 10-4 EstMin Tensile Strng'!$C$8,'Table 10-4 EstMin Tensile Strng'!$I$8/'Engine Valve Spring'!AA117^'Table 10-4 EstMin Tensile Strng'!$F$8,IF($D$11='Table 10-4 EstMin Tensile Strng'!$C$9,'Table 10-4 EstMin Tensile Strng'!$I$9/'Engine Valve Spring'!AA117^'Table 10-4 EstMin Tensile Strng'!$F$9,IF($D$11='Table 10-4 EstMin Tensile Strng'!$C$10,'Table 10-4 EstMin Tensile Strng'!$I$10/'Engine Valve Spring'!AA117^'Table 10-4 EstMin Tensile Strng'!$F$10,IF($D$11='Table 10-4 EstMin Tensile Strng'!$C$10,'Table 10-4 EstMin Tensile Strng'!$I$11/'Engine Valve Spring'!AA117^'Table 10-4 EstMin Tensile Strng'!$F$11,IF($D$11='Table 10-4 EstMin Tensile Strng'!$C$10,'Table 10-4 EstMin Tensile Strng'!$I$12/'Engine Valve Spring'!AA117^'Table 10-4 EstMin Tensile Strng'!$F$12,IF($D$11='Table 10-4 EstMin Tensile Strng'!$C$13,'Table 10-4 EstMin Tensile Strng'!$I$13/'Engine Valve Spring'!AA117^'Table 10-4 EstMin Tensile Strng'!$F$13,IF($D$11='Table 10-4 EstMin Tensile Strng'!$C$13,'Table 10-4 EstMin Tensile Strng'!$I$14/'Engine Valve Spring'!AA117^'Table 10-4 EstMin Tensile Strng'!$F$14,IF($D$11='Table 10-4 EstMin Tensile Strng'!$C$13,'Table 10-4 EstMin Tensile Strng'!$I$15/'Engine Valve Spring'!AA117^'Table 10-4 EstMin Tensile Strng'!$F$15)))))))))))</f>
        <v>708.95955060300025</v>
      </c>
      <c r="AC117">
        <f t="shared" si="1"/>
        <v>72.031160703527874</v>
      </c>
    </row>
    <row r="118" spans="27:29" x14ac:dyDescent="0.25">
      <c r="AA118">
        <v>11.4</v>
      </c>
      <c r="AB118">
        <f>0.56/$D$7*IF($D$11='Table 10-4 EstMin Tensile Strng'!$C$5,'Table 10-4 EstMin Tensile Strng'!$I$5/'Engine Valve Spring'!AA118^'Table 10-4 EstMin Tensile Strng'!$F$5,IF($D$11='Table 10-4 EstMin Tensile Strng'!$C$6,'Table 10-4 EstMin Tensile Strng'!$I$6/'Engine Valve Spring'!AA118^'Table 10-4 EstMin Tensile Strng'!$F$6,IF($D$11='Table 10-4 EstMin Tensile Strng'!$C$7,'Table 10-4 EstMin Tensile Strng'!$I$7/'Engine Valve Spring'!AA118^'Table 10-4 EstMin Tensile Strng'!$F$7,IF($D$11='Table 10-4 EstMin Tensile Strng'!$C$8,'Table 10-4 EstMin Tensile Strng'!$I$8/'Engine Valve Spring'!AA118^'Table 10-4 EstMin Tensile Strng'!$F$8,IF($D$11='Table 10-4 EstMin Tensile Strng'!$C$9,'Table 10-4 EstMin Tensile Strng'!$I$9/'Engine Valve Spring'!AA118^'Table 10-4 EstMin Tensile Strng'!$F$9,IF($D$11='Table 10-4 EstMin Tensile Strng'!$C$10,'Table 10-4 EstMin Tensile Strng'!$I$10/'Engine Valve Spring'!AA118^'Table 10-4 EstMin Tensile Strng'!$F$10,IF($D$11='Table 10-4 EstMin Tensile Strng'!$C$10,'Table 10-4 EstMin Tensile Strng'!$I$11/'Engine Valve Spring'!AA118^'Table 10-4 EstMin Tensile Strng'!$F$11,IF($D$11='Table 10-4 EstMin Tensile Strng'!$C$10,'Table 10-4 EstMin Tensile Strng'!$I$12/'Engine Valve Spring'!AA118^'Table 10-4 EstMin Tensile Strng'!$F$12,IF($D$11='Table 10-4 EstMin Tensile Strng'!$C$13,'Table 10-4 EstMin Tensile Strng'!$I$13/'Engine Valve Spring'!AA118^'Table 10-4 EstMin Tensile Strng'!$F$13,IF($D$11='Table 10-4 EstMin Tensile Strng'!$C$13,'Table 10-4 EstMin Tensile Strng'!$I$14/'Engine Valve Spring'!AA118^'Table 10-4 EstMin Tensile Strng'!$F$14,IF($D$11='Table 10-4 EstMin Tensile Strng'!$C$13,'Table 10-4 EstMin Tensile Strng'!$I$15/'Engine Valve Spring'!AA118^'Table 10-4 EstMin Tensile Strng'!$F$15)))))))))))</f>
        <v>708.28526241618852</v>
      </c>
      <c r="AC118">
        <f t="shared" si="1"/>
        <v>70.473057519165735</v>
      </c>
    </row>
    <row r="119" spans="27:29" x14ac:dyDescent="0.25">
      <c r="AA119">
        <v>11.5</v>
      </c>
      <c r="AB119">
        <f>0.56/$D$7*IF($D$11='Table 10-4 EstMin Tensile Strng'!$C$5,'Table 10-4 EstMin Tensile Strng'!$I$5/'Engine Valve Spring'!AA119^'Table 10-4 EstMin Tensile Strng'!$F$5,IF($D$11='Table 10-4 EstMin Tensile Strng'!$C$6,'Table 10-4 EstMin Tensile Strng'!$I$6/'Engine Valve Spring'!AA119^'Table 10-4 EstMin Tensile Strng'!$F$6,IF($D$11='Table 10-4 EstMin Tensile Strng'!$C$7,'Table 10-4 EstMin Tensile Strng'!$I$7/'Engine Valve Spring'!AA119^'Table 10-4 EstMin Tensile Strng'!$F$7,IF($D$11='Table 10-4 EstMin Tensile Strng'!$C$8,'Table 10-4 EstMin Tensile Strng'!$I$8/'Engine Valve Spring'!AA119^'Table 10-4 EstMin Tensile Strng'!$F$8,IF($D$11='Table 10-4 EstMin Tensile Strng'!$C$9,'Table 10-4 EstMin Tensile Strng'!$I$9/'Engine Valve Spring'!AA119^'Table 10-4 EstMin Tensile Strng'!$F$9,IF($D$11='Table 10-4 EstMin Tensile Strng'!$C$10,'Table 10-4 EstMin Tensile Strng'!$I$10/'Engine Valve Spring'!AA119^'Table 10-4 EstMin Tensile Strng'!$F$10,IF($D$11='Table 10-4 EstMin Tensile Strng'!$C$10,'Table 10-4 EstMin Tensile Strng'!$I$11/'Engine Valve Spring'!AA119^'Table 10-4 EstMin Tensile Strng'!$F$11,IF($D$11='Table 10-4 EstMin Tensile Strng'!$C$10,'Table 10-4 EstMin Tensile Strng'!$I$12/'Engine Valve Spring'!AA119^'Table 10-4 EstMin Tensile Strng'!$F$12,IF($D$11='Table 10-4 EstMin Tensile Strng'!$C$13,'Table 10-4 EstMin Tensile Strng'!$I$13/'Engine Valve Spring'!AA119^'Table 10-4 EstMin Tensile Strng'!$F$13,IF($D$11='Table 10-4 EstMin Tensile Strng'!$C$13,'Table 10-4 EstMin Tensile Strng'!$I$14/'Engine Valve Spring'!AA119^'Table 10-4 EstMin Tensile Strng'!$F$14,IF($D$11='Table 10-4 EstMin Tensile Strng'!$C$13,'Table 10-4 EstMin Tensile Strng'!$I$15/'Engine Valve Spring'!AA119^'Table 10-4 EstMin Tensile Strng'!$F$15)))))))))))</f>
        <v>707.6174962214136</v>
      </c>
      <c r="AC119">
        <f t="shared" si="1"/>
        <v>68.965173983731376</v>
      </c>
    </row>
    <row r="120" spans="27:29" x14ac:dyDescent="0.25">
      <c r="AA120">
        <v>11.6</v>
      </c>
      <c r="AB120">
        <f>0.56/$D$7*IF($D$11='Table 10-4 EstMin Tensile Strng'!$C$5,'Table 10-4 EstMin Tensile Strng'!$I$5/'Engine Valve Spring'!AA120^'Table 10-4 EstMin Tensile Strng'!$F$5,IF($D$11='Table 10-4 EstMin Tensile Strng'!$C$6,'Table 10-4 EstMin Tensile Strng'!$I$6/'Engine Valve Spring'!AA120^'Table 10-4 EstMin Tensile Strng'!$F$6,IF($D$11='Table 10-4 EstMin Tensile Strng'!$C$7,'Table 10-4 EstMin Tensile Strng'!$I$7/'Engine Valve Spring'!AA120^'Table 10-4 EstMin Tensile Strng'!$F$7,IF($D$11='Table 10-4 EstMin Tensile Strng'!$C$8,'Table 10-4 EstMin Tensile Strng'!$I$8/'Engine Valve Spring'!AA120^'Table 10-4 EstMin Tensile Strng'!$F$8,IF($D$11='Table 10-4 EstMin Tensile Strng'!$C$9,'Table 10-4 EstMin Tensile Strng'!$I$9/'Engine Valve Spring'!AA120^'Table 10-4 EstMin Tensile Strng'!$F$9,IF($D$11='Table 10-4 EstMin Tensile Strng'!$C$10,'Table 10-4 EstMin Tensile Strng'!$I$10/'Engine Valve Spring'!AA120^'Table 10-4 EstMin Tensile Strng'!$F$10,IF($D$11='Table 10-4 EstMin Tensile Strng'!$C$10,'Table 10-4 EstMin Tensile Strng'!$I$11/'Engine Valve Spring'!AA120^'Table 10-4 EstMin Tensile Strng'!$F$11,IF($D$11='Table 10-4 EstMin Tensile Strng'!$C$10,'Table 10-4 EstMin Tensile Strng'!$I$12/'Engine Valve Spring'!AA120^'Table 10-4 EstMin Tensile Strng'!$F$12,IF($D$11='Table 10-4 EstMin Tensile Strng'!$C$13,'Table 10-4 EstMin Tensile Strng'!$I$13/'Engine Valve Spring'!AA120^'Table 10-4 EstMin Tensile Strng'!$F$13,IF($D$11='Table 10-4 EstMin Tensile Strng'!$C$13,'Table 10-4 EstMin Tensile Strng'!$I$14/'Engine Valve Spring'!AA120^'Table 10-4 EstMin Tensile Strng'!$F$14,IF($D$11='Table 10-4 EstMin Tensile Strng'!$C$13,'Table 10-4 EstMin Tensile Strng'!$I$15/'Engine Valve Spring'!AA120^'Table 10-4 EstMin Tensile Strng'!$F$15)))))))))))</f>
        <v>706.95613303881032</v>
      </c>
      <c r="AC120">
        <f t="shared" si="1"/>
        <v>67.50545593425089</v>
      </c>
    </row>
    <row r="121" spans="27:29" x14ac:dyDescent="0.25">
      <c r="AA121">
        <v>11.7</v>
      </c>
      <c r="AB121">
        <f>0.56/$D$7*IF($D$11='Table 10-4 EstMin Tensile Strng'!$C$5,'Table 10-4 EstMin Tensile Strng'!$I$5/'Engine Valve Spring'!AA121^'Table 10-4 EstMin Tensile Strng'!$F$5,IF($D$11='Table 10-4 EstMin Tensile Strng'!$C$6,'Table 10-4 EstMin Tensile Strng'!$I$6/'Engine Valve Spring'!AA121^'Table 10-4 EstMin Tensile Strng'!$F$6,IF($D$11='Table 10-4 EstMin Tensile Strng'!$C$7,'Table 10-4 EstMin Tensile Strng'!$I$7/'Engine Valve Spring'!AA121^'Table 10-4 EstMin Tensile Strng'!$F$7,IF($D$11='Table 10-4 EstMin Tensile Strng'!$C$8,'Table 10-4 EstMin Tensile Strng'!$I$8/'Engine Valve Spring'!AA121^'Table 10-4 EstMin Tensile Strng'!$F$8,IF($D$11='Table 10-4 EstMin Tensile Strng'!$C$9,'Table 10-4 EstMin Tensile Strng'!$I$9/'Engine Valve Spring'!AA121^'Table 10-4 EstMin Tensile Strng'!$F$9,IF($D$11='Table 10-4 EstMin Tensile Strng'!$C$10,'Table 10-4 EstMin Tensile Strng'!$I$10/'Engine Valve Spring'!AA121^'Table 10-4 EstMin Tensile Strng'!$F$10,IF($D$11='Table 10-4 EstMin Tensile Strng'!$C$10,'Table 10-4 EstMin Tensile Strng'!$I$11/'Engine Valve Spring'!AA121^'Table 10-4 EstMin Tensile Strng'!$F$11,IF($D$11='Table 10-4 EstMin Tensile Strng'!$C$10,'Table 10-4 EstMin Tensile Strng'!$I$12/'Engine Valve Spring'!AA121^'Table 10-4 EstMin Tensile Strng'!$F$12,IF($D$11='Table 10-4 EstMin Tensile Strng'!$C$13,'Table 10-4 EstMin Tensile Strng'!$I$13/'Engine Valve Spring'!AA121^'Table 10-4 EstMin Tensile Strng'!$F$13,IF($D$11='Table 10-4 EstMin Tensile Strng'!$C$13,'Table 10-4 EstMin Tensile Strng'!$I$14/'Engine Valve Spring'!AA121^'Table 10-4 EstMin Tensile Strng'!$F$14,IF($D$11='Table 10-4 EstMin Tensile Strng'!$C$13,'Table 10-4 EstMin Tensile Strng'!$I$15/'Engine Valve Spring'!AA121^'Table 10-4 EstMin Tensile Strng'!$F$15)))))))))))</f>
        <v>706.30105706127426</v>
      </c>
      <c r="AC121">
        <f t="shared" si="1"/>
        <v>66.091950747684052</v>
      </c>
    </row>
    <row r="122" spans="27:29" x14ac:dyDescent="0.25">
      <c r="AA122">
        <v>11.8</v>
      </c>
      <c r="AB122">
        <f>0.56/$D$7*IF($D$11='Table 10-4 EstMin Tensile Strng'!$C$5,'Table 10-4 EstMin Tensile Strng'!$I$5/'Engine Valve Spring'!AA122^'Table 10-4 EstMin Tensile Strng'!$F$5,IF($D$11='Table 10-4 EstMin Tensile Strng'!$C$6,'Table 10-4 EstMin Tensile Strng'!$I$6/'Engine Valve Spring'!AA122^'Table 10-4 EstMin Tensile Strng'!$F$6,IF($D$11='Table 10-4 EstMin Tensile Strng'!$C$7,'Table 10-4 EstMin Tensile Strng'!$I$7/'Engine Valve Spring'!AA122^'Table 10-4 EstMin Tensile Strng'!$F$7,IF($D$11='Table 10-4 EstMin Tensile Strng'!$C$8,'Table 10-4 EstMin Tensile Strng'!$I$8/'Engine Valve Spring'!AA122^'Table 10-4 EstMin Tensile Strng'!$F$8,IF($D$11='Table 10-4 EstMin Tensile Strng'!$C$9,'Table 10-4 EstMin Tensile Strng'!$I$9/'Engine Valve Spring'!AA122^'Table 10-4 EstMin Tensile Strng'!$F$9,IF($D$11='Table 10-4 EstMin Tensile Strng'!$C$10,'Table 10-4 EstMin Tensile Strng'!$I$10/'Engine Valve Spring'!AA122^'Table 10-4 EstMin Tensile Strng'!$F$10,IF($D$11='Table 10-4 EstMin Tensile Strng'!$C$10,'Table 10-4 EstMin Tensile Strng'!$I$11/'Engine Valve Spring'!AA122^'Table 10-4 EstMin Tensile Strng'!$F$11,IF($D$11='Table 10-4 EstMin Tensile Strng'!$C$10,'Table 10-4 EstMin Tensile Strng'!$I$12/'Engine Valve Spring'!AA122^'Table 10-4 EstMin Tensile Strng'!$F$12,IF($D$11='Table 10-4 EstMin Tensile Strng'!$C$13,'Table 10-4 EstMin Tensile Strng'!$I$13/'Engine Valve Spring'!AA122^'Table 10-4 EstMin Tensile Strng'!$F$13,IF($D$11='Table 10-4 EstMin Tensile Strng'!$C$13,'Table 10-4 EstMin Tensile Strng'!$I$14/'Engine Valve Spring'!AA122^'Table 10-4 EstMin Tensile Strng'!$F$14,IF($D$11='Table 10-4 EstMin Tensile Strng'!$C$13,'Table 10-4 EstMin Tensile Strng'!$I$15/'Engine Valve Spring'!AA122^'Table 10-4 EstMin Tensile Strng'!$F$15)))))))))))</f>
        <v>705.65215554358258</v>
      </c>
      <c r="AC122">
        <f t="shared" si="1"/>
        <v>64.722801488980252</v>
      </c>
    </row>
    <row r="123" spans="27:29" x14ac:dyDescent="0.25">
      <c r="AA123">
        <v>11.9</v>
      </c>
      <c r="AB123">
        <f>0.56/$D$7*IF($D$11='Table 10-4 EstMin Tensile Strng'!$C$5,'Table 10-4 EstMin Tensile Strng'!$I$5/'Engine Valve Spring'!AA123^'Table 10-4 EstMin Tensile Strng'!$F$5,IF($D$11='Table 10-4 EstMin Tensile Strng'!$C$6,'Table 10-4 EstMin Tensile Strng'!$I$6/'Engine Valve Spring'!AA123^'Table 10-4 EstMin Tensile Strng'!$F$6,IF($D$11='Table 10-4 EstMin Tensile Strng'!$C$7,'Table 10-4 EstMin Tensile Strng'!$I$7/'Engine Valve Spring'!AA123^'Table 10-4 EstMin Tensile Strng'!$F$7,IF($D$11='Table 10-4 EstMin Tensile Strng'!$C$8,'Table 10-4 EstMin Tensile Strng'!$I$8/'Engine Valve Spring'!AA123^'Table 10-4 EstMin Tensile Strng'!$F$8,IF($D$11='Table 10-4 EstMin Tensile Strng'!$C$9,'Table 10-4 EstMin Tensile Strng'!$I$9/'Engine Valve Spring'!AA123^'Table 10-4 EstMin Tensile Strng'!$F$9,IF($D$11='Table 10-4 EstMin Tensile Strng'!$C$10,'Table 10-4 EstMin Tensile Strng'!$I$10/'Engine Valve Spring'!AA123^'Table 10-4 EstMin Tensile Strng'!$F$10,IF($D$11='Table 10-4 EstMin Tensile Strng'!$C$10,'Table 10-4 EstMin Tensile Strng'!$I$11/'Engine Valve Spring'!AA123^'Table 10-4 EstMin Tensile Strng'!$F$11,IF($D$11='Table 10-4 EstMin Tensile Strng'!$C$10,'Table 10-4 EstMin Tensile Strng'!$I$12/'Engine Valve Spring'!AA123^'Table 10-4 EstMin Tensile Strng'!$F$12,IF($D$11='Table 10-4 EstMin Tensile Strng'!$C$13,'Table 10-4 EstMin Tensile Strng'!$I$13/'Engine Valve Spring'!AA123^'Table 10-4 EstMin Tensile Strng'!$F$13,IF($D$11='Table 10-4 EstMin Tensile Strng'!$C$13,'Table 10-4 EstMin Tensile Strng'!$I$14/'Engine Valve Spring'!AA123^'Table 10-4 EstMin Tensile Strng'!$F$14,IF($D$11='Table 10-4 EstMin Tensile Strng'!$C$13,'Table 10-4 EstMin Tensile Strng'!$I$15/'Engine Valve Spring'!AA123^'Table 10-4 EstMin Tensile Strng'!$F$15)))))))))))</f>
        <v>705.00931869629608</v>
      </c>
      <c r="AC123">
        <f t="shared" si="1"/>
        <v>63.396241443324847</v>
      </c>
    </row>
    <row r="124" spans="27:29" x14ac:dyDescent="0.25">
      <c r="AA124">
        <v>12</v>
      </c>
      <c r="AB124">
        <f>0.56/$D$7*IF($D$11='Table 10-4 EstMin Tensile Strng'!$C$5,'Table 10-4 EstMin Tensile Strng'!$I$5/'Engine Valve Spring'!AA124^'Table 10-4 EstMin Tensile Strng'!$F$5,IF($D$11='Table 10-4 EstMin Tensile Strng'!$C$6,'Table 10-4 EstMin Tensile Strng'!$I$6/'Engine Valve Spring'!AA124^'Table 10-4 EstMin Tensile Strng'!$F$6,IF($D$11='Table 10-4 EstMin Tensile Strng'!$C$7,'Table 10-4 EstMin Tensile Strng'!$I$7/'Engine Valve Spring'!AA124^'Table 10-4 EstMin Tensile Strng'!$F$7,IF($D$11='Table 10-4 EstMin Tensile Strng'!$C$8,'Table 10-4 EstMin Tensile Strng'!$I$8/'Engine Valve Spring'!AA124^'Table 10-4 EstMin Tensile Strng'!$F$8,IF($D$11='Table 10-4 EstMin Tensile Strng'!$C$9,'Table 10-4 EstMin Tensile Strng'!$I$9/'Engine Valve Spring'!AA124^'Table 10-4 EstMin Tensile Strng'!$F$9,IF($D$11='Table 10-4 EstMin Tensile Strng'!$C$10,'Table 10-4 EstMin Tensile Strng'!$I$10/'Engine Valve Spring'!AA124^'Table 10-4 EstMin Tensile Strng'!$F$10,IF($D$11='Table 10-4 EstMin Tensile Strng'!$C$10,'Table 10-4 EstMin Tensile Strng'!$I$11/'Engine Valve Spring'!AA124^'Table 10-4 EstMin Tensile Strng'!$F$11,IF($D$11='Table 10-4 EstMin Tensile Strng'!$C$10,'Table 10-4 EstMin Tensile Strng'!$I$12/'Engine Valve Spring'!AA124^'Table 10-4 EstMin Tensile Strng'!$F$12,IF($D$11='Table 10-4 EstMin Tensile Strng'!$C$13,'Table 10-4 EstMin Tensile Strng'!$I$13/'Engine Valve Spring'!AA124^'Table 10-4 EstMin Tensile Strng'!$F$13,IF($D$11='Table 10-4 EstMin Tensile Strng'!$C$13,'Table 10-4 EstMin Tensile Strng'!$I$14/'Engine Valve Spring'!AA124^'Table 10-4 EstMin Tensile Strng'!$F$14,IF($D$11='Table 10-4 EstMin Tensile Strng'!$C$13,'Table 10-4 EstMin Tensile Strng'!$I$15/'Engine Valve Spring'!AA124^'Table 10-4 EstMin Tensile Strng'!$F$15)))))))))))</f>
        <v>704.37243958419072</v>
      </c>
      <c r="AC124">
        <f t="shared" si="1"/>
        <v>62.110589004340191</v>
      </c>
    </row>
    <row r="125" spans="27:29" x14ac:dyDescent="0.25">
      <c r="AA125">
        <v>12.1</v>
      </c>
      <c r="AB125">
        <f>0.56/$D$7*IF($D$11='Table 10-4 EstMin Tensile Strng'!$C$5,'Table 10-4 EstMin Tensile Strng'!$I$5/'Engine Valve Spring'!AA125^'Table 10-4 EstMin Tensile Strng'!$F$5,IF($D$11='Table 10-4 EstMin Tensile Strng'!$C$6,'Table 10-4 EstMin Tensile Strng'!$I$6/'Engine Valve Spring'!AA125^'Table 10-4 EstMin Tensile Strng'!$F$6,IF($D$11='Table 10-4 EstMin Tensile Strng'!$C$7,'Table 10-4 EstMin Tensile Strng'!$I$7/'Engine Valve Spring'!AA125^'Table 10-4 EstMin Tensile Strng'!$F$7,IF($D$11='Table 10-4 EstMin Tensile Strng'!$C$8,'Table 10-4 EstMin Tensile Strng'!$I$8/'Engine Valve Spring'!AA125^'Table 10-4 EstMin Tensile Strng'!$F$8,IF($D$11='Table 10-4 EstMin Tensile Strng'!$C$9,'Table 10-4 EstMin Tensile Strng'!$I$9/'Engine Valve Spring'!AA125^'Table 10-4 EstMin Tensile Strng'!$F$9,IF($D$11='Table 10-4 EstMin Tensile Strng'!$C$10,'Table 10-4 EstMin Tensile Strng'!$I$10/'Engine Valve Spring'!AA125^'Table 10-4 EstMin Tensile Strng'!$F$10,IF($D$11='Table 10-4 EstMin Tensile Strng'!$C$10,'Table 10-4 EstMin Tensile Strng'!$I$11/'Engine Valve Spring'!AA125^'Table 10-4 EstMin Tensile Strng'!$F$11,IF($D$11='Table 10-4 EstMin Tensile Strng'!$C$10,'Table 10-4 EstMin Tensile Strng'!$I$12/'Engine Valve Spring'!AA125^'Table 10-4 EstMin Tensile Strng'!$F$12,IF($D$11='Table 10-4 EstMin Tensile Strng'!$C$13,'Table 10-4 EstMin Tensile Strng'!$I$13/'Engine Valve Spring'!AA125^'Table 10-4 EstMin Tensile Strng'!$F$13,IF($D$11='Table 10-4 EstMin Tensile Strng'!$C$13,'Table 10-4 EstMin Tensile Strng'!$I$14/'Engine Valve Spring'!AA125^'Table 10-4 EstMin Tensile Strng'!$F$14,IF($D$11='Table 10-4 EstMin Tensile Strng'!$C$13,'Table 10-4 EstMin Tensile Strng'!$I$15/'Engine Valve Spring'!AA125^'Table 10-4 EstMin Tensile Strng'!$F$15)))))))))))</f>
        <v>703.74141402899681</v>
      </c>
      <c r="AC125">
        <f t="shared" si="1"/>
        <v>60.864242892299366</v>
      </c>
    </row>
    <row r="126" spans="27:29" x14ac:dyDescent="0.25">
      <c r="AA126">
        <v>12.2</v>
      </c>
      <c r="AB126">
        <f>0.56/$D$7*IF($D$11='Table 10-4 EstMin Tensile Strng'!$C$5,'Table 10-4 EstMin Tensile Strng'!$I$5/'Engine Valve Spring'!AA126^'Table 10-4 EstMin Tensile Strng'!$F$5,IF($D$11='Table 10-4 EstMin Tensile Strng'!$C$6,'Table 10-4 EstMin Tensile Strng'!$I$6/'Engine Valve Spring'!AA126^'Table 10-4 EstMin Tensile Strng'!$F$6,IF($D$11='Table 10-4 EstMin Tensile Strng'!$C$7,'Table 10-4 EstMin Tensile Strng'!$I$7/'Engine Valve Spring'!AA126^'Table 10-4 EstMin Tensile Strng'!$F$7,IF($D$11='Table 10-4 EstMin Tensile Strng'!$C$8,'Table 10-4 EstMin Tensile Strng'!$I$8/'Engine Valve Spring'!AA126^'Table 10-4 EstMin Tensile Strng'!$F$8,IF($D$11='Table 10-4 EstMin Tensile Strng'!$C$9,'Table 10-4 EstMin Tensile Strng'!$I$9/'Engine Valve Spring'!AA126^'Table 10-4 EstMin Tensile Strng'!$F$9,IF($D$11='Table 10-4 EstMin Tensile Strng'!$C$10,'Table 10-4 EstMin Tensile Strng'!$I$10/'Engine Valve Spring'!AA126^'Table 10-4 EstMin Tensile Strng'!$F$10,IF($D$11='Table 10-4 EstMin Tensile Strng'!$C$10,'Table 10-4 EstMin Tensile Strng'!$I$11/'Engine Valve Spring'!AA126^'Table 10-4 EstMin Tensile Strng'!$F$11,IF($D$11='Table 10-4 EstMin Tensile Strng'!$C$10,'Table 10-4 EstMin Tensile Strng'!$I$12/'Engine Valve Spring'!AA126^'Table 10-4 EstMin Tensile Strng'!$F$12,IF($D$11='Table 10-4 EstMin Tensile Strng'!$C$13,'Table 10-4 EstMin Tensile Strng'!$I$13/'Engine Valve Spring'!AA126^'Table 10-4 EstMin Tensile Strng'!$F$13,IF($D$11='Table 10-4 EstMin Tensile Strng'!$C$13,'Table 10-4 EstMin Tensile Strng'!$I$14/'Engine Valve Spring'!AA126^'Table 10-4 EstMin Tensile Strng'!$F$14,IF($D$11='Table 10-4 EstMin Tensile Strng'!$C$13,'Table 10-4 EstMin Tensile Strng'!$I$15/'Engine Valve Spring'!AA126^'Table 10-4 EstMin Tensile Strng'!$F$15)))))))))))</f>
        <v>703.11614051622178</v>
      </c>
      <c r="AC126">
        <f t="shared" si="1"/>
        <v>59.655677678497874</v>
      </c>
    </row>
    <row r="127" spans="27:29" x14ac:dyDescent="0.25">
      <c r="AA127">
        <v>12.3</v>
      </c>
      <c r="AB127">
        <f>0.56/$D$7*IF($D$11='Table 10-4 EstMin Tensile Strng'!$C$5,'Table 10-4 EstMin Tensile Strng'!$I$5/'Engine Valve Spring'!AA127^'Table 10-4 EstMin Tensile Strng'!$F$5,IF($D$11='Table 10-4 EstMin Tensile Strng'!$C$6,'Table 10-4 EstMin Tensile Strng'!$I$6/'Engine Valve Spring'!AA127^'Table 10-4 EstMin Tensile Strng'!$F$6,IF($D$11='Table 10-4 EstMin Tensile Strng'!$C$7,'Table 10-4 EstMin Tensile Strng'!$I$7/'Engine Valve Spring'!AA127^'Table 10-4 EstMin Tensile Strng'!$F$7,IF($D$11='Table 10-4 EstMin Tensile Strng'!$C$8,'Table 10-4 EstMin Tensile Strng'!$I$8/'Engine Valve Spring'!AA127^'Table 10-4 EstMin Tensile Strng'!$F$8,IF($D$11='Table 10-4 EstMin Tensile Strng'!$C$9,'Table 10-4 EstMin Tensile Strng'!$I$9/'Engine Valve Spring'!AA127^'Table 10-4 EstMin Tensile Strng'!$F$9,IF($D$11='Table 10-4 EstMin Tensile Strng'!$C$10,'Table 10-4 EstMin Tensile Strng'!$I$10/'Engine Valve Spring'!AA127^'Table 10-4 EstMin Tensile Strng'!$F$10,IF($D$11='Table 10-4 EstMin Tensile Strng'!$C$10,'Table 10-4 EstMin Tensile Strng'!$I$11/'Engine Valve Spring'!AA127^'Table 10-4 EstMin Tensile Strng'!$F$11,IF($D$11='Table 10-4 EstMin Tensile Strng'!$C$10,'Table 10-4 EstMin Tensile Strng'!$I$12/'Engine Valve Spring'!AA127^'Table 10-4 EstMin Tensile Strng'!$F$12,IF($D$11='Table 10-4 EstMin Tensile Strng'!$C$13,'Table 10-4 EstMin Tensile Strng'!$I$13/'Engine Valve Spring'!AA127^'Table 10-4 EstMin Tensile Strng'!$F$13,IF($D$11='Table 10-4 EstMin Tensile Strng'!$C$13,'Table 10-4 EstMin Tensile Strng'!$I$14/'Engine Valve Spring'!AA127^'Table 10-4 EstMin Tensile Strng'!$F$14,IF($D$11='Table 10-4 EstMin Tensile Strng'!$C$13,'Table 10-4 EstMin Tensile Strng'!$I$15/'Engine Valve Spring'!AA127^'Table 10-4 EstMin Tensile Strng'!$F$15)))))))))))</f>
        <v>702.49652010585919</v>
      </c>
      <c r="AC127">
        <f t="shared" si="1"/>
        <v>58.48343959383417</v>
      </c>
    </row>
    <row r="128" spans="27:29" x14ac:dyDescent="0.25">
      <c r="AA128">
        <v>12.4</v>
      </c>
      <c r="AB128">
        <f>0.56/$D$7*IF($D$11='Table 10-4 EstMin Tensile Strng'!$C$5,'Table 10-4 EstMin Tensile Strng'!$I$5/'Engine Valve Spring'!AA128^'Table 10-4 EstMin Tensile Strng'!$F$5,IF($D$11='Table 10-4 EstMin Tensile Strng'!$C$6,'Table 10-4 EstMin Tensile Strng'!$I$6/'Engine Valve Spring'!AA128^'Table 10-4 EstMin Tensile Strng'!$F$6,IF($D$11='Table 10-4 EstMin Tensile Strng'!$C$7,'Table 10-4 EstMin Tensile Strng'!$I$7/'Engine Valve Spring'!AA128^'Table 10-4 EstMin Tensile Strng'!$F$7,IF($D$11='Table 10-4 EstMin Tensile Strng'!$C$8,'Table 10-4 EstMin Tensile Strng'!$I$8/'Engine Valve Spring'!AA128^'Table 10-4 EstMin Tensile Strng'!$F$8,IF($D$11='Table 10-4 EstMin Tensile Strng'!$C$9,'Table 10-4 EstMin Tensile Strng'!$I$9/'Engine Valve Spring'!AA128^'Table 10-4 EstMin Tensile Strng'!$F$9,IF($D$11='Table 10-4 EstMin Tensile Strng'!$C$10,'Table 10-4 EstMin Tensile Strng'!$I$10/'Engine Valve Spring'!AA128^'Table 10-4 EstMin Tensile Strng'!$F$10,IF($D$11='Table 10-4 EstMin Tensile Strng'!$C$10,'Table 10-4 EstMin Tensile Strng'!$I$11/'Engine Valve Spring'!AA128^'Table 10-4 EstMin Tensile Strng'!$F$11,IF($D$11='Table 10-4 EstMin Tensile Strng'!$C$10,'Table 10-4 EstMin Tensile Strng'!$I$12/'Engine Valve Spring'!AA128^'Table 10-4 EstMin Tensile Strng'!$F$12,IF($D$11='Table 10-4 EstMin Tensile Strng'!$C$13,'Table 10-4 EstMin Tensile Strng'!$I$13/'Engine Valve Spring'!AA128^'Table 10-4 EstMin Tensile Strng'!$F$13,IF($D$11='Table 10-4 EstMin Tensile Strng'!$C$13,'Table 10-4 EstMin Tensile Strng'!$I$14/'Engine Valve Spring'!AA128^'Table 10-4 EstMin Tensile Strng'!$F$14,IF($D$11='Table 10-4 EstMin Tensile Strng'!$C$13,'Table 10-4 EstMin Tensile Strng'!$I$15/'Engine Valve Spring'!AA128^'Table 10-4 EstMin Tensile Strng'!$F$15)))))))))))</f>
        <v>701.88245634678788</v>
      </c>
      <c r="AC128">
        <f t="shared" si="1"/>
        <v>57.346142601389026</v>
      </c>
    </row>
    <row r="129" spans="27:29" x14ac:dyDescent="0.25">
      <c r="AA129">
        <v>12.5</v>
      </c>
      <c r="AB129">
        <f>0.56/$D$7*IF($D$11='Table 10-4 EstMin Tensile Strng'!$C$5,'Table 10-4 EstMin Tensile Strng'!$I$5/'Engine Valve Spring'!AA129^'Table 10-4 EstMin Tensile Strng'!$F$5,IF($D$11='Table 10-4 EstMin Tensile Strng'!$C$6,'Table 10-4 EstMin Tensile Strng'!$I$6/'Engine Valve Spring'!AA129^'Table 10-4 EstMin Tensile Strng'!$F$6,IF($D$11='Table 10-4 EstMin Tensile Strng'!$C$7,'Table 10-4 EstMin Tensile Strng'!$I$7/'Engine Valve Spring'!AA129^'Table 10-4 EstMin Tensile Strng'!$F$7,IF($D$11='Table 10-4 EstMin Tensile Strng'!$C$8,'Table 10-4 EstMin Tensile Strng'!$I$8/'Engine Valve Spring'!AA129^'Table 10-4 EstMin Tensile Strng'!$F$8,IF($D$11='Table 10-4 EstMin Tensile Strng'!$C$9,'Table 10-4 EstMin Tensile Strng'!$I$9/'Engine Valve Spring'!AA129^'Table 10-4 EstMin Tensile Strng'!$F$9,IF($D$11='Table 10-4 EstMin Tensile Strng'!$C$10,'Table 10-4 EstMin Tensile Strng'!$I$10/'Engine Valve Spring'!AA129^'Table 10-4 EstMin Tensile Strng'!$F$10,IF($D$11='Table 10-4 EstMin Tensile Strng'!$C$10,'Table 10-4 EstMin Tensile Strng'!$I$11/'Engine Valve Spring'!AA129^'Table 10-4 EstMin Tensile Strng'!$F$11,IF($D$11='Table 10-4 EstMin Tensile Strng'!$C$10,'Table 10-4 EstMin Tensile Strng'!$I$12/'Engine Valve Spring'!AA129^'Table 10-4 EstMin Tensile Strng'!$F$12,IF($D$11='Table 10-4 EstMin Tensile Strng'!$C$13,'Table 10-4 EstMin Tensile Strng'!$I$13/'Engine Valve Spring'!AA129^'Table 10-4 EstMin Tensile Strng'!$F$13,IF($D$11='Table 10-4 EstMin Tensile Strng'!$C$13,'Table 10-4 EstMin Tensile Strng'!$I$14/'Engine Valve Spring'!AA129^'Table 10-4 EstMin Tensile Strng'!$F$14,IF($D$11='Table 10-4 EstMin Tensile Strng'!$C$13,'Table 10-4 EstMin Tensile Strng'!$I$15/'Engine Valve Spring'!AA129^'Table 10-4 EstMin Tensile Strng'!$F$15)))))))))))</f>
        <v>701.27385519468328</v>
      </c>
      <c r="AC129">
        <f t="shared" si="1"/>
        <v>56.242464714380347</v>
      </c>
    </row>
    <row r="130" spans="27:29" x14ac:dyDescent="0.25">
      <c r="AA130">
        <v>12.6</v>
      </c>
      <c r="AB130">
        <f>0.56/$D$7*IF($D$11='Table 10-4 EstMin Tensile Strng'!$C$5,'Table 10-4 EstMin Tensile Strng'!$I$5/'Engine Valve Spring'!AA130^'Table 10-4 EstMin Tensile Strng'!$F$5,IF($D$11='Table 10-4 EstMin Tensile Strng'!$C$6,'Table 10-4 EstMin Tensile Strng'!$I$6/'Engine Valve Spring'!AA130^'Table 10-4 EstMin Tensile Strng'!$F$6,IF($D$11='Table 10-4 EstMin Tensile Strng'!$C$7,'Table 10-4 EstMin Tensile Strng'!$I$7/'Engine Valve Spring'!AA130^'Table 10-4 EstMin Tensile Strng'!$F$7,IF($D$11='Table 10-4 EstMin Tensile Strng'!$C$8,'Table 10-4 EstMin Tensile Strng'!$I$8/'Engine Valve Spring'!AA130^'Table 10-4 EstMin Tensile Strng'!$F$8,IF($D$11='Table 10-4 EstMin Tensile Strng'!$C$9,'Table 10-4 EstMin Tensile Strng'!$I$9/'Engine Valve Spring'!AA130^'Table 10-4 EstMin Tensile Strng'!$F$9,IF($D$11='Table 10-4 EstMin Tensile Strng'!$C$10,'Table 10-4 EstMin Tensile Strng'!$I$10/'Engine Valve Spring'!AA130^'Table 10-4 EstMin Tensile Strng'!$F$10,IF($D$11='Table 10-4 EstMin Tensile Strng'!$C$10,'Table 10-4 EstMin Tensile Strng'!$I$11/'Engine Valve Spring'!AA130^'Table 10-4 EstMin Tensile Strng'!$F$11,IF($D$11='Table 10-4 EstMin Tensile Strng'!$C$10,'Table 10-4 EstMin Tensile Strng'!$I$12/'Engine Valve Spring'!AA130^'Table 10-4 EstMin Tensile Strng'!$F$12,IF($D$11='Table 10-4 EstMin Tensile Strng'!$C$13,'Table 10-4 EstMin Tensile Strng'!$I$13/'Engine Valve Spring'!AA130^'Table 10-4 EstMin Tensile Strng'!$F$13,IF($D$11='Table 10-4 EstMin Tensile Strng'!$C$13,'Table 10-4 EstMin Tensile Strng'!$I$14/'Engine Valve Spring'!AA130^'Table 10-4 EstMin Tensile Strng'!$F$14,IF($D$11='Table 10-4 EstMin Tensile Strng'!$C$13,'Table 10-4 EstMin Tensile Strng'!$I$15/'Engine Valve Spring'!AA130^'Table 10-4 EstMin Tensile Strng'!$F$15)))))))))))</f>
        <v>700.67062493326614</v>
      </c>
      <c r="AC130">
        <f t="shared" si="1"/>
        <v>55.171144542323475</v>
      </c>
    </row>
    <row r="131" spans="27:29" x14ac:dyDescent="0.25">
      <c r="AA131">
        <v>12.7</v>
      </c>
      <c r="AB131">
        <f>0.56/$D$7*IF($D$11='Table 10-4 EstMin Tensile Strng'!$C$5,'Table 10-4 EstMin Tensile Strng'!$I$5/'Engine Valve Spring'!AA131^'Table 10-4 EstMin Tensile Strng'!$F$5,IF($D$11='Table 10-4 EstMin Tensile Strng'!$C$6,'Table 10-4 EstMin Tensile Strng'!$I$6/'Engine Valve Spring'!AA131^'Table 10-4 EstMin Tensile Strng'!$F$6,IF($D$11='Table 10-4 EstMin Tensile Strng'!$C$7,'Table 10-4 EstMin Tensile Strng'!$I$7/'Engine Valve Spring'!AA131^'Table 10-4 EstMin Tensile Strng'!$F$7,IF($D$11='Table 10-4 EstMin Tensile Strng'!$C$8,'Table 10-4 EstMin Tensile Strng'!$I$8/'Engine Valve Spring'!AA131^'Table 10-4 EstMin Tensile Strng'!$F$8,IF($D$11='Table 10-4 EstMin Tensile Strng'!$C$9,'Table 10-4 EstMin Tensile Strng'!$I$9/'Engine Valve Spring'!AA131^'Table 10-4 EstMin Tensile Strng'!$F$9,IF($D$11='Table 10-4 EstMin Tensile Strng'!$C$10,'Table 10-4 EstMin Tensile Strng'!$I$10/'Engine Valve Spring'!AA131^'Table 10-4 EstMin Tensile Strng'!$F$10,IF($D$11='Table 10-4 EstMin Tensile Strng'!$C$10,'Table 10-4 EstMin Tensile Strng'!$I$11/'Engine Valve Spring'!AA131^'Table 10-4 EstMin Tensile Strng'!$F$11,IF($D$11='Table 10-4 EstMin Tensile Strng'!$C$10,'Table 10-4 EstMin Tensile Strng'!$I$12/'Engine Valve Spring'!AA131^'Table 10-4 EstMin Tensile Strng'!$F$12,IF($D$11='Table 10-4 EstMin Tensile Strng'!$C$13,'Table 10-4 EstMin Tensile Strng'!$I$13/'Engine Valve Spring'!AA131^'Table 10-4 EstMin Tensile Strng'!$F$13,IF($D$11='Table 10-4 EstMin Tensile Strng'!$C$13,'Table 10-4 EstMin Tensile Strng'!$I$14/'Engine Valve Spring'!AA131^'Table 10-4 EstMin Tensile Strng'!$F$14,IF($D$11='Table 10-4 EstMin Tensile Strng'!$C$13,'Table 10-4 EstMin Tensile Strng'!$I$15/'Engine Valve Spring'!AA131^'Table 10-4 EstMin Tensile Strng'!$F$15)))))))))))</f>
        <v>700.07267609873236</v>
      </c>
      <c r="AC131">
        <f t="shared" si="1"/>
        <v>54.130978049553875</v>
      </c>
    </row>
    <row r="132" spans="27:29" x14ac:dyDescent="0.25">
      <c r="AA132">
        <v>12.8</v>
      </c>
      <c r="AB132">
        <f>0.56/$D$7*IF($D$11='Table 10-4 EstMin Tensile Strng'!$C$5,'Table 10-4 EstMin Tensile Strng'!$I$5/'Engine Valve Spring'!AA132^'Table 10-4 EstMin Tensile Strng'!$F$5,IF($D$11='Table 10-4 EstMin Tensile Strng'!$C$6,'Table 10-4 EstMin Tensile Strng'!$I$6/'Engine Valve Spring'!AA132^'Table 10-4 EstMin Tensile Strng'!$F$6,IF($D$11='Table 10-4 EstMin Tensile Strng'!$C$7,'Table 10-4 EstMin Tensile Strng'!$I$7/'Engine Valve Spring'!AA132^'Table 10-4 EstMin Tensile Strng'!$F$7,IF($D$11='Table 10-4 EstMin Tensile Strng'!$C$8,'Table 10-4 EstMin Tensile Strng'!$I$8/'Engine Valve Spring'!AA132^'Table 10-4 EstMin Tensile Strng'!$F$8,IF($D$11='Table 10-4 EstMin Tensile Strng'!$C$9,'Table 10-4 EstMin Tensile Strng'!$I$9/'Engine Valve Spring'!AA132^'Table 10-4 EstMin Tensile Strng'!$F$9,IF($D$11='Table 10-4 EstMin Tensile Strng'!$C$10,'Table 10-4 EstMin Tensile Strng'!$I$10/'Engine Valve Spring'!AA132^'Table 10-4 EstMin Tensile Strng'!$F$10,IF($D$11='Table 10-4 EstMin Tensile Strng'!$C$10,'Table 10-4 EstMin Tensile Strng'!$I$11/'Engine Valve Spring'!AA132^'Table 10-4 EstMin Tensile Strng'!$F$11,IF($D$11='Table 10-4 EstMin Tensile Strng'!$C$10,'Table 10-4 EstMin Tensile Strng'!$I$12/'Engine Valve Spring'!AA132^'Table 10-4 EstMin Tensile Strng'!$F$12,IF($D$11='Table 10-4 EstMin Tensile Strng'!$C$13,'Table 10-4 EstMin Tensile Strng'!$I$13/'Engine Valve Spring'!AA132^'Table 10-4 EstMin Tensile Strng'!$F$13,IF($D$11='Table 10-4 EstMin Tensile Strng'!$C$13,'Table 10-4 EstMin Tensile Strng'!$I$14/'Engine Valve Spring'!AA132^'Table 10-4 EstMin Tensile Strng'!$F$14,IF($D$11='Table 10-4 EstMin Tensile Strng'!$C$13,'Table 10-4 EstMin Tensile Strng'!$I$15/'Engine Valve Spring'!AA132^'Table 10-4 EstMin Tensile Strng'!$F$15)))))))))))</f>
        <v>699.47992140720794</v>
      </c>
      <c r="AC132">
        <f t="shared" si="1"/>
        <v>53.120815511484764</v>
      </c>
    </row>
    <row r="133" spans="27:29" x14ac:dyDescent="0.25">
      <c r="AA133">
        <v>12.9</v>
      </c>
      <c r="AB133">
        <f>0.56/$D$7*IF($D$11='Table 10-4 EstMin Tensile Strng'!$C$5,'Table 10-4 EstMin Tensile Strng'!$I$5/'Engine Valve Spring'!AA133^'Table 10-4 EstMin Tensile Strng'!$F$5,IF($D$11='Table 10-4 EstMin Tensile Strng'!$C$6,'Table 10-4 EstMin Tensile Strng'!$I$6/'Engine Valve Spring'!AA133^'Table 10-4 EstMin Tensile Strng'!$F$6,IF($D$11='Table 10-4 EstMin Tensile Strng'!$C$7,'Table 10-4 EstMin Tensile Strng'!$I$7/'Engine Valve Spring'!AA133^'Table 10-4 EstMin Tensile Strng'!$F$7,IF($D$11='Table 10-4 EstMin Tensile Strng'!$C$8,'Table 10-4 EstMin Tensile Strng'!$I$8/'Engine Valve Spring'!AA133^'Table 10-4 EstMin Tensile Strng'!$F$8,IF($D$11='Table 10-4 EstMin Tensile Strng'!$C$9,'Table 10-4 EstMin Tensile Strng'!$I$9/'Engine Valve Spring'!AA133^'Table 10-4 EstMin Tensile Strng'!$F$9,IF($D$11='Table 10-4 EstMin Tensile Strng'!$C$10,'Table 10-4 EstMin Tensile Strng'!$I$10/'Engine Valve Spring'!AA133^'Table 10-4 EstMin Tensile Strng'!$F$10,IF($D$11='Table 10-4 EstMin Tensile Strng'!$C$10,'Table 10-4 EstMin Tensile Strng'!$I$11/'Engine Valve Spring'!AA133^'Table 10-4 EstMin Tensile Strng'!$F$11,IF($D$11='Table 10-4 EstMin Tensile Strng'!$C$10,'Table 10-4 EstMin Tensile Strng'!$I$12/'Engine Valve Spring'!AA133^'Table 10-4 EstMin Tensile Strng'!$F$12,IF($D$11='Table 10-4 EstMin Tensile Strng'!$C$13,'Table 10-4 EstMin Tensile Strng'!$I$13/'Engine Valve Spring'!AA133^'Table 10-4 EstMin Tensile Strng'!$F$13,IF($D$11='Table 10-4 EstMin Tensile Strng'!$C$13,'Table 10-4 EstMin Tensile Strng'!$I$14/'Engine Valve Spring'!AA133^'Table 10-4 EstMin Tensile Strng'!$F$14,IF($D$11='Table 10-4 EstMin Tensile Strng'!$C$13,'Table 10-4 EstMin Tensile Strng'!$I$15/'Engine Valve Spring'!AA133^'Table 10-4 EstMin Tensile Strng'!$F$15)))))))))))</f>
        <v>698.89227568508636</v>
      </c>
      <c r="AC133">
        <f t="shared" ref="AC133:AC196" si="2">(4*($D$4/AA133)+2)/(4*($D$4/AA133)-3)*8*$D$3*$D$4/(PI()*AA133^3)</f>
        <v>52.13955865508651</v>
      </c>
    </row>
    <row r="134" spans="27:29" x14ac:dyDescent="0.25">
      <c r="AA134">
        <v>13</v>
      </c>
      <c r="AB134">
        <f>0.56/$D$7*IF($D$11='Table 10-4 EstMin Tensile Strng'!$C$5,'Table 10-4 EstMin Tensile Strng'!$I$5/'Engine Valve Spring'!AA134^'Table 10-4 EstMin Tensile Strng'!$F$5,IF($D$11='Table 10-4 EstMin Tensile Strng'!$C$6,'Table 10-4 EstMin Tensile Strng'!$I$6/'Engine Valve Spring'!AA134^'Table 10-4 EstMin Tensile Strng'!$F$6,IF($D$11='Table 10-4 EstMin Tensile Strng'!$C$7,'Table 10-4 EstMin Tensile Strng'!$I$7/'Engine Valve Spring'!AA134^'Table 10-4 EstMin Tensile Strng'!$F$7,IF($D$11='Table 10-4 EstMin Tensile Strng'!$C$8,'Table 10-4 EstMin Tensile Strng'!$I$8/'Engine Valve Spring'!AA134^'Table 10-4 EstMin Tensile Strng'!$F$8,IF($D$11='Table 10-4 EstMin Tensile Strng'!$C$9,'Table 10-4 EstMin Tensile Strng'!$I$9/'Engine Valve Spring'!AA134^'Table 10-4 EstMin Tensile Strng'!$F$9,IF($D$11='Table 10-4 EstMin Tensile Strng'!$C$10,'Table 10-4 EstMin Tensile Strng'!$I$10/'Engine Valve Spring'!AA134^'Table 10-4 EstMin Tensile Strng'!$F$10,IF($D$11='Table 10-4 EstMin Tensile Strng'!$C$10,'Table 10-4 EstMin Tensile Strng'!$I$11/'Engine Valve Spring'!AA134^'Table 10-4 EstMin Tensile Strng'!$F$11,IF($D$11='Table 10-4 EstMin Tensile Strng'!$C$10,'Table 10-4 EstMin Tensile Strng'!$I$12/'Engine Valve Spring'!AA134^'Table 10-4 EstMin Tensile Strng'!$F$12,IF($D$11='Table 10-4 EstMin Tensile Strng'!$C$13,'Table 10-4 EstMin Tensile Strng'!$I$13/'Engine Valve Spring'!AA134^'Table 10-4 EstMin Tensile Strng'!$F$13,IF($D$11='Table 10-4 EstMin Tensile Strng'!$C$13,'Table 10-4 EstMin Tensile Strng'!$I$14/'Engine Valve Spring'!AA134^'Table 10-4 EstMin Tensile Strng'!$F$14,IF($D$11='Table 10-4 EstMin Tensile Strng'!$C$13,'Table 10-4 EstMin Tensile Strng'!$I$15/'Engine Valve Spring'!AA134^'Table 10-4 EstMin Tensile Strng'!$F$15)))))))))))</f>
        <v>698.30965580211307</v>
      </c>
      <c r="AC134">
        <f t="shared" si="2"/>
        <v>51.186157971094765</v>
      </c>
    </row>
    <row r="135" spans="27:29" x14ac:dyDescent="0.25">
      <c r="AA135">
        <v>13.1</v>
      </c>
      <c r="AB135">
        <f>0.56/$D$7*IF($D$11='Table 10-4 EstMin Tensile Strng'!$C$5,'Table 10-4 EstMin Tensile Strng'!$I$5/'Engine Valve Spring'!AA135^'Table 10-4 EstMin Tensile Strng'!$F$5,IF($D$11='Table 10-4 EstMin Tensile Strng'!$C$6,'Table 10-4 EstMin Tensile Strng'!$I$6/'Engine Valve Spring'!AA135^'Table 10-4 EstMin Tensile Strng'!$F$6,IF($D$11='Table 10-4 EstMin Tensile Strng'!$C$7,'Table 10-4 EstMin Tensile Strng'!$I$7/'Engine Valve Spring'!AA135^'Table 10-4 EstMin Tensile Strng'!$F$7,IF($D$11='Table 10-4 EstMin Tensile Strng'!$C$8,'Table 10-4 EstMin Tensile Strng'!$I$8/'Engine Valve Spring'!AA135^'Table 10-4 EstMin Tensile Strng'!$F$8,IF($D$11='Table 10-4 EstMin Tensile Strng'!$C$9,'Table 10-4 EstMin Tensile Strng'!$I$9/'Engine Valve Spring'!AA135^'Table 10-4 EstMin Tensile Strng'!$F$9,IF($D$11='Table 10-4 EstMin Tensile Strng'!$C$10,'Table 10-4 EstMin Tensile Strng'!$I$10/'Engine Valve Spring'!AA135^'Table 10-4 EstMin Tensile Strng'!$F$10,IF($D$11='Table 10-4 EstMin Tensile Strng'!$C$10,'Table 10-4 EstMin Tensile Strng'!$I$11/'Engine Valve Spring'!AA135^'Table 10-4 EstMin Tensile Strng'!$F$11,IF($D$11='Table 10-4 EstMin Tensile Strng'!$C$10,'Table 10-4 EstMin Tensile Strng'!$I$12/'Engine Valve Spring'!AA135^'Table 10-4 EstMin Tensile Strng'!$F$12,IF($D$11='Table 10-4 EstMin Tensile Strng'!$C$13,'Table 10-4 EstMin Tensile Strng'!$I$13/'Engine Valve Spring'!AA135^'Table 10-4 EstMin Tensile Strng'!$F$13,IF($D$11='Table 10-4 EstMin Tensile Strng'!$C$13,'Table 10-4 EstMin Tensile Strng'!$I$14/'Engine Valve Spring'!AA135^'Table 10-4 EstMin Tensile Strng'!$F$14,IF($D$11='Table 10-4 EstMin Tensile Strng'!$C$13,'Table 10-4 EstMin Tensile Strng'!$I$15/'Engine Valve Spring'!AA135^'Table 10-4 EstMin Tensile Strng'!$F$15)))))))))))</f>
        <v>697.73198060708887</v>
      </c>
      <c r="AC135">
        <f t="shared" si="2"/>
        <v>50.259610186391825</v>
      </c>
    </row>
    <row r="136" spans="27:29" x14ac:dyDescent="0.25">
      <c r="AA136">
        <v>13.2</v>
      </c>
      <c r="AB136">
        <f>0.56/$D$7*IF($D$11='Table 10-4 EstMin Tensile Strng'!$C$5,'Table 10-4 EstMin Tensile Strng'!$I$5/'Engine Valve Spring'!AA136^'Table 10-4 EstMin Tensile Strng'!$F$5,IF($D$11='Table 10-4 EstMin Tensile Strng'!$C$6,'Table 10-4 EstMin Tensile Strng'!$I$6/'Engine Valve Spring'!AA136^'Table 10-4 EstMin Tensile Strng'!$F$6,IF($D$11='Table 10-4 EstMin Tensile Strng'!$C$7,'Table 10-4 EstMin Tensile Strng'!$I$7/'Engine Valve Spring'!AA136^'Table 10-4 EstMin Tensile Strng'!$F$7,IF($D$11='Table 10-4 EstMin Tensile Strng'!$C$8,'Table 10-4 EstMin Tensile Strng'!$I$8/'Engine Valve Spring'!AA136^'Table 10-4 EstMin Tensile Strng'!$F$8,IF($D$11='Table 10-4 EstMin Tensile Strng'!$C$9,'Table 10-4 EstMin Tensile Strng'!$I$9/'Engine Valve Spring'!AA136^'Table 10-4 EstMin Tensile Strng'!$F$9,IF($D$11='Table 10-4 EstMin Tensile Strng'!$C$10,'Table 10-4 EstMin Tensile Strng'!$I$10/'Engine Valve Spring'!AA136^'Table 10-4 EstMin Tensile Strng'!$F$10,IF($D$11='Table 10-4 EstMin Tensile Strng'!$C$10,'Table 10-4 EstMin Tensile Strng'!$I$11/'Engine Valve Spring'!AA136^'Table 10-4 EstMin Tensile Strng'!$F$11,IF($D$11='Table 10-4 EstMin Tensile Strng'!$C$10,'Table 10-4 EstMin Tensile Strng'!$I$12/'Engine Valve Spring'!AA136^'Table 10-4 EstMin Tensile Strng'!$F$12,IF($D$11='Table 10-4 EstMin Tensile Strng'!$C$13,'Table 10-4 EstMin Tensile Strng'!$I$13/'Engine Valve Spring'!AA136^'Table 10-4 EstMin Tensile Strng'!$F$13,IF($D$11='Table 10-4 EstMin Tensile Strng'!$C$13,'Table 10-4 EstMin Tensile Strng'!$I$14/'Engine Valve Spring'!AA136^'Table 10-4 EstMin Tensile Strng'!$F$14,IF($D$11='Table 10-4 EstMin Tensile Strng'!$C$13,'Table 10-4 EstMin Tensile Strng'!$I$15/'Engine Valve Spring'!AA136^'Table 10-4 EstMin Tensile Strng'!$F$15)))))))))))</f>
        <v>697.15917086606805</v>
      </c>
      <c r="AC136">
        <f t="shared" si="2"/>
        <v>49.358955885864184</v>
      </c>
    </row>
    <row r="137" spans="27:29" x14ac:dyDescent="0.25">
      <c r="AA137">
        <v>13.3</v>
      </c>
      <c r="AB137">
        <f>0.56/$D$7*IF($D$11='Table 10-4 EstMin Tensile Strng'!$C$5,'Table 10-4 EstMin Tensile Strng'!$I$5/'Engine Valve Spring'!AA137^'Table 10-4 EstMin Tensile Strng'!$F$5,IF($D$11='Table 10-4 EstMin Tensile Strng'!$C$6,'Table 10-4 EstMin Tensile Strng'!$I$6/'Engine Valve Spring'!AA137^'Table 10-4 EstMin Tensile Strng'!$F$6,IF($D$11='Table 10-4 EstMin Tensile Strng'!$C$7,'Table 10-4 EstMin Tensile Strng'!$I$7/'Engine Valve Spring'!AA137^'Table 10-4 EstMin Tensile Strng'!$F$7,IF($D$11='Table 10-4 EstMin Tensile Strng'!$C$8,'Table 10-4 EstMin Tensile Strng'!$I$8/'Engine Valve Spring'!AA137^'Table 10-4 EstMin Tensile Strng'!$F$8,IF($D$11='Table 10-4 EstMin Tensile Strng'!$C$9,'Table 10-4 EstMin Tensile Strng'!$I$9/'Engine Valve Spring'!AA137^'Table 10-4 EstMin Tensile Strng'!$F$9,IF($D$11='Table 10-4 EstMin Tensile Strng'!$C$10,'Table 10-4 EstMin Tensile Strng'!$I$10/'Engine Valve Spring'!AA137^'Table 10-4 EstMin Tensile Strng'!$F$10,IF($D$11='Table 10-4 EstMin Tensile Strng'!$C$10,'Table 10-4 EstMin Tensile Strng'!$I$11/'Engine Valve Spring'!AA137^'Table 10-4 EstMin Tensile Strng'!$F$11,IF($D$11='Table 10-4 EstMin Tensile Strng'!$C$10,'Table 10-4 EstMin Tensile Strng'!$I$12/'Engine Valve Spring'!AA137^'Table 10-4 EstMin Tensile Strng'!$F$12,IF($D$11='Table 10-4 EstMin Tensile Strng'!$C$13,'Table 10-4 EstMin Tensile Strng'!$I$13/'Engine Valve Spring'!AA137^'Table 10-4 EstMin Tensile Strng'!$F$13,IF($D$11='Table 10-4 EstMin Tensile Strng'!$C$13,'Table 10-4 EstMin Tensile Strng'!$I$14/'Engine Valve Spring'!AA137^'Table 10-4 EstMin Tensile Strng'!$F$14,IF($D$11='Table 10-4 EstMin Tensile Strng'!$C$13,'Table 10-4 EstMin Tensile Strng'!$I$15/'Engine Valve Spring'!AA137^'Table 10-4 EstMin Tensile Strng'!$F$15)))))))))))</f>
        <v>696.59114920294007</v>
      </c>
      <c r="AC137">
        <f t="shared" si="2"/>
        <v>48.483277273830538</v>
      </c>
    </row>
    <row r="138" spans="27:29" x14ac:dyDescent="0.25">
      <c r="AA138">
        <v>13.4</v>
      </c>
      <c r="AB138">
        <f>0.56/$D$7*IF($D$11='Table 10-4 EstMin Tensile Strng'!$C$5,'Table 10-4 EstMin Tensile Strng'!$I$5/'Engine Valve Spring'!AA138^'Table 10-4 EstMin Tensile Strng'!$F$5,IF($D$11='Table 10-4 EstMin Tensile Strng'!$C$6,'Table 10-4 EstMin Tensile Strng'!$I$6/'Engine Valve Spring'!AA138^'Table 10-4 EstMin Tensile Strng'!$F$6,IF($D$11='Table 10-4 EstMin Tensile Strng'!$C$7,'Table 10-4 EstMin Tensile Strng'!$I$7/'Engine Valve Spring'!AA138^'Table 10-4 EstMin Tensile Strng'!$F$7,IF($D$11='Table 10-4 EstMin Tensile Strng'!$C$8,'Table 10-4 EstMin Tensile Strng'!$I$8/'Engine Valve Spring'!AA138^'Table 10-4 EstMin Tensile Strng'!$F$8,IF($D$11='Table 10-4 EstMin Tensile Strng'!$C$9,'Table 10-4 EstMin Tensile Strng'!$I$9/'Engine Valve Spring'!AA138^'Table 10-4 EstMin Tensile Strng'!$F$9,IF($D$11='Table 10-4 EstMin Tensile Strng'!$C$10,'Table 10-4 EstMin Tensile Strng'!$I$10/'Engine Valve Spring'!AA138^'Table 10-4 EstMin Tensile Strng'!$F$10,IF($D$11='Table 10-4 EstMin Tensile Strng'!$C$10,'Table 10-4 EstMin Tensile Strng'!$I$11/'Engine Valve Spring'!AA138^'Table 10-4 EstMin Tensile Strng'!$F$11,IF($D$11='Table 10-4 EstMin Tensile Strng'!$C$10,'Table 10-4 EstMin Tensile Strng'!$I$12/'Engine Valve Spring'!AA138^'Table 10-4 EstMin Tensile Strng'!$F$12,IF($D$11='Table 10-4 EstMin Tensile Strng'!$C$13,'Table 10-4 EstMin Tensile Strng'!$I$13/'Engine Valve Spring'!AA138^'Table 10-4 EstMin Tensile Strng'!$F$13,IF($D$11='Table 10-4 EstMin Tensile Strng'!$C$13,'Table 10-4 EstMin Tensile Strng'!$I$14/'Engine Valve Spring'!AA138^'Table 10-4 EstMin Tensile Strng'!$F$14,IF($D$11='Table 10-4 EstMin Tensile Strng'!$C$13,'Table 10-4 EstMin Tensile Strng'!$I$15/'Engine Valve Spring'!AA138^'Table 10-4 EstMin Tensile Strng'!$F$15)))))))))))</f>
        <v>696.02784004228215</v>
      </c>
      <c r="AC138">
        <f t="shared" si="2"/>
        <v>47.631696065859209</v>
      </c>
    </row>
    <row r="139" spans="27:29" x14ac:dyDescent="0.25">
      <c r="AA139">
        <v>13.5</v>
      </c>
      <c r="AB139">
        <f>0.56/$D$7*IF($D$11='Table 10-4 EstMin Tensile Strng'!$C$5,'Table 10-4 EstMin Tensile Strng'!$I$5/'Engine Valve Spring'!AA139^'Table 10-4 EstMin Tensile Strng'!$F$5,IF($D$11='Table 10-4 EstMin Tensile Strng'!$C$6,'Table 10-4 EstMin Tensile Strng'!$I$6/'Engine Valve Spring'!AA139^'Table 10-4 EstMin Tensile Strng'!$F$6,IF($D$11='Table 10-4 EstMin Tensile Strng'!$C$7,'Table 10-4 EstMin Tensile Strng'!$I$7/'Engine Valve Spring'!AA139^'Table 10-4 EstMin Tensile Strng'!$F$7,IF($D$11='Table 10-4 EstMin Tensile Strng'!$C$8,'Table 10-4 EstMin Tensile Strng'!$I$8/'Engine Valve Spring'!AA139^'Table 10-4 EstMin Tensile Strng'!$F$8,IF($D$11='Table 10-4 EstMin Tensile Strng'!$C$9,'Table 10-4 EstMin Tensile Strng'!$I$9/'Engine Valve Spring'!AA139^'Table 10-4 EstMin Tensile Strng'!$F$9,IF($D$11='Table 10-4 EstMin Tensile Strng'!$C$10,'Table 10-4 EstMin Tensile Strng'!$I$10/'Engine Valve Spring'!AA139^'Table 10-4 EstMin Tensile Strng'!$F$10,IF($D$11='Table 10-4 EstMin Tensile Strng'!$C$10,'Table 10-4 EstMin Tensile Strng'!$I$11/'Engine Valve Spring'!AA139^'Table 10-4 EstMin Tensile Strng'!$F$11,IF($D$11='Table 10-4 EstMin Tensile Strng'!$C$10,'Table 10-4 EstMin Tensile Strng'!$I$12/'Engine Valve Spring'!AA139^'Table 10-4 EstMin Tensile Strng'!$F$12,IF($D$11='Table 10-4 EstMin Tensile Strng'!$C$13,'Table 10-4 EstMin Tensile Strng'!$I$13/'Engine Valve Spring'!AA139^'Table 10-4 EstMin Tensile Strng'!$F$13,IF($D$11='Table 10-4 EstMin Tensile Strng'!$C$13,'Table 10-4 EstMin Tensile Strng'!$I$14/'Engine Valve Spring'!AA139^'Table 10-4 EstMin Tensile Strng'!$F$14,IF($D$11='Table 10-4 EstMin Tensile Strng'!$C$13,'Table 10-4 EstMin Tensile Strng'!$I$15/'Engine Valve Spring'!AA139^'Table 10-4 EstMin Tensile Strng'!$F$15)))))))))))</f>
        <v>695.46916955438303</v>
      </c>
      <c r="AC139">
        <f t="shared" si="2"/>
        <v>46.803371502462589</v>
      </c>
    </row>
    <row r="140" spans="27:29" x14ac:dyDescent="0.25">
      <c r="AA140">
        <v>13.6</v>
      </c>
      <c r="AB140">
        <f>0.56/$D$7*IF($D$11='Table 10-4 EstMin Tensile Strng'!$C$5,'Table 10-4 EstMin Tensile Strng'!$I$5/'Engine Valve Spring'!AA140^'Table 10-4 EstMin Tensile Strng'!$F$5,IF($D$11='Table 10-4 EstMin Tensile Strng'!$C$6,'Table 10-4 EstMin Tensile Strng'!$I$6/'Engine Valve Spring'!AA140^'Table 10-4 EstMin Tensile Strng'!$F$6,IF($D$11='Table 10-4 EstMin Tensile Strng'!$C$7,'Table 10-4 EstMin Tensile Strng'!$I$7/'Engine Valve Spring'!AA140^'Table 10-4 EstMin Tensile Strng'!$F$7,IF($D$11='Table 10-4 EstMin Tensile Strng'!$C$8,'Table 10-4 EstMin Tensile Strng'!$I$8/'Engine Valve Spring'!AA140^'Table 10-4 EstMin Tensile Strng'!$F$8,IF($D$11='Table 10-4 EstMin Tensile Strng'!$C$9,'Table 10-4 EstMin Tensile Strng'!$I$9/'Engine Valve Spring'!AA140^'Table 10-4 EstMin Tensile Strng'!$F$9,IF($D$11='Table 10-4 EstMin Tensile Strng'!$C$10,'Table 10-4 EstMin Tensile Strng'!$I$10/'Engine Valve Spring'!AA140^'Table 10-4 EstMin Tensile Strng'!$F$10,IF($D$11='Table 10-4 EstMin Tensile Strng'!$C$10,'Table 10-4 EstMin Tensile Strng'!$I$11/'Engine Valve Spring'!AA140^'Table 10-4 EstMin Tensile Strng'!$F$11,IF($D$11='Table 10-4 EstMin Tensile Strng'!$C$10,'Table 10-4 EstMin Tensile Strng'!$I$12/'Engine Valve Spring'!AA140^'Table 10-4 EstMin Tensile Strng'!$F$12,IF($D$11='Table 10-4 EstMin Tensile Strng'!$C$13,'Table 10-4 EstMin Tensile Strng'!$I$13/'Engine Valve Spring'!AA140^'Table 10-4 EstMin Tensile Strng'!$F$13,IF($D$11='Table 10-4 EstMin Tensile Strng'!$C$13,'Table 10-4 EstMin Tensile Strng'!$I$14/'Engine Valve Spring'!AA140^'Table 10-4 EstMin Tensile Strng'!$F$14,IF($D$11='Table 10-4 EstMin Tensile Strng'!$C$13,'Table 10-4 EstMin Tensile Strng'!$I$15/'Engine Valve Spring'!AA140^'Table 10-4 EstMin Tensile Strng'!$F$15)))))))))))</f>
        <v>694.91506560233734</v>
      </c>
      <c r="AC140">
        <f t="shared" si="2"/>
        <v>45.997498476770517</v>
      </c>
    </row>
    <row r="141" spans="27:29" x14ac:dyDescent="0.25">
      <c r="AA141">
        <v>13.7</v>
      </c>
      <c r="AB141">
        <f>0.56/$D$7*IF($D$11='Table 10-4 EstMin Tensile Strng'!$C$5,'Table 10-4 EstMin Tensile Strng'!$I$5/'Engine Valve Spring'!AA141^'Table 10-4 EstMin Tensile Strng'!$F$5,IF($D$11='Table 10-4 EstMin Tensile Strng'!$C$6,'Table 10-4 EstMin Tensile Strng'!$I$6/'Engine Valve Spring'!AA141^'Table 10-4 EstMin Tensile Strng'!$F$6,IF($D$11='Table 10-4 EstMin Tensile Strng'!$C$7,'Table 10-4 EstMin Tensile Strng'!$I$7/'Engine Valve Spring'!AA141^'Table 10-4 EstMin Tensile Strng'!$F$7,IF($D$11='Table 10-4 EstMin Tensile Strng'!$C$8,'Table 10-4 EstMin Tensile Strng'!$I$8/'Engine Valve Spring'!AA141^'Table 10-4 EstMin Tensile Strng'!$F$8,IF($D$11='Table 10-4 EstMin Tensile Strng'!$C$9,'Table 10-4 EstMin Tensile Strng'!$I$9/'Engine Valve Spring'!AA141^'Table 10-4 EstMin Tensile Strng'!$F$9,IF($D$11='Table 10-4 EstMin Tensile Strng'!$C$10,'Table 10-4 EstMin Tensile Strng'!$I$10/'Engine Valve Spring'!AA141^'Table 10-4 EstMin Tensile Strng'!$F$10,IF($D$11='Table 10-4 EstMin Tensile Strng'!$C$10,'Table 10-4 EstMin Tensile Strng'!$I$11/'Engine Valve Spring'!AA141^'Table 10-4 EstMin Tensile Strng'!$F$11,IF($D$11='Table 10-4 EstMin Tensile Strng'!$C$10,'Table 10-4 EstMin Tensile Strng'!$I$12/'Engine Valve Spring'!AA141^'Table 10-4 EstMin Tensile Strng'!$F$12,IF($D$11='Table 10-4 EstMin Tensile Strng'!$C$13,'Table 10-4 EstMin Tensile Strng'!$I$13/'Engine Valve Spring'!AA141^'Table 10-4 EstMin Tensile Strng'!$F$13,IF($D$11='Table 10-4 EstMin Tensile Strng'!$C$13,'Table 10-4 EstMin Tensile Strng'!$I$14/'Engine Valve Spring'!AA141^'Table 10-4 EstMin Tensile Strng'!$F$14,IF($D$11='Table 10-4 EstMin Tensile Strng'!$C$13,'Table 10-4 EstMin Tensile Strng'!$I$15/'Engine Valve Spring'!AA141^'Table 10-4 EstMin Tensile Strng'!$F$15)))))))))))</f>
        <v>694.36545769111899</v>
      </c>
      <c r="AC141">
        <f t="shared" si="2"/>
        <v>45.213305768850589</v>
      </c>
    </row>
    <row r="142" spans="27:29" x14ac:dyDescent="0.25">
      <c r="AA142">
        <v>13.8</v>
      </c>
      <c r="AB142">
        <f>0.56/$D$7*IF($D$11='Table 10-4 EstMin Tensile Strng'!$C$5,'Table 10-4 EstMin Tensile Strng'!$I$5/'Engine Valve Spring'!AA142^'Table 10-4 EstMin Tensile Strng'!$F$5,IF($D$11='Table 10-4 EstMin Tensile Strng'!$C$6,'Table 10-4 EstMin Tensile Strng'!$I$6/'Engine Valve Spring'!AA142^'Table 10-4 EstMin Tensile Strng'!$F$6,IF($D$11='Table 10-4 EstMin Tensile Strng'!$C$7,'Table 10-4 EstMin Tensile Strng'!$I$7/'Engine Valve Spring'!AA142^'Table 10-4 EstMin Tensile Strng'!$F$7,IF($D$11='Table 10-4 EstMin Tensile Strng'!$C$8,'Table 10-4 EstMin Tensile Strng'!$I$8/'Engine Valve Spring'!AA142^'Table 10-4 EstMin Tensile Strng'!$F$8,IF($D$11='Table 10-4 EstMin Tensile Strng'!$C$9,'Table 10-4 EstMin Tensile Strng'!$I$9/'Engine Valve Spring'!AA142^'Table 10-4 EstMin Tensile Strng'!$F$9,IF($D$11='Table 10-4 EstMin Tensile Strng'!$C$10,'Table 10-4 EstMin Tensile Strng'!$I$10/'Engine Valve Spring'!AA142^'Table 10-4 EstMin Tensile Strng'!$F$10,IF($D$11='Table 10-4 EstMin Tensile Strng'!$C$10,'Table 10-4 EstMin Tensile Strng'!$I$11/'Engine Valve Spring'!AA142^'Table 10-4 EstMin Tensile Strng'!$F$11,IF($D$11='Table 10-4 EstMin Tensile Strng'!$C$10,'Table 10-4 EstMin Tensile Strng'!$I$12/'Engine Valve Spring'!AA142^'Table 10-4 EstMin Tensile Strng'!$F$12,IF($D$11='Table 10-4 EstMin Tensile Strng'!$C$13,'Table 10-4 EstMin Tensile Strng'!$I$13/'Engine Valve Spring'!AA142^'Table 10-4 EstMin Tensile Strng'!$F$13,IF($D$11='Table 10-4 EstMin Tensile Strng'!$C$13,'Table 10-4 EstMin Tensile Strng'!$I$14/'Engine Valve Spring'!AA142^'Table 10-4 EstMin Tensile Strng'!$F$14,IF($D$11='Table 10-4 EstMin Tensile Strng'!$C$13,'Table 10-4 EstMin Tensile Strng'!$I$15/'Engine Valve Spring'!AA142^'Table 10-4 EstMin Tensile Strng'!$F$15)))))))))))</f>
        <v>693.82027691854648</v>
      </c>
      <c r="AC142">
        <f t="shared" si="2"/>
        <v>44.450054379865364</v>
      </c>
    </row>
    <row r="143" spans="27:29" x14ac:dyDescent="0.25">
      <c r="AA143">
        <v>13.9</v>
      </c>
      <c r="AB143">
        <f>0.56/$D$7*IF($D$11='Table 10-4 EstMin Tensile Strng'!$C$5,'Table 10-4 EstMin Tensile Strng'!$I$5/'Engine Valve Spring'!AA143^'Table 10-4 EstMin Tensile Strng'!$F$5,IF($D$11='Table 10-4 EstMin Tensile Strng'!$C$6,'Table 10-4 EstMin Tensile Strng'!$I$6/'Engine Valve Spring'!AA143^'Table 10-4 EstMin Tensile Strng'!$F$6,IF($D$11='Table 10-4 EstMin Tensile Strng'!$C$7,'Table 10-4 EstMin Tensile Strng'!$I$7/'Engine Valve Spring'!AA143^'Table 10-4 EstMin Tensile Strng'!$F$7,IF($D$11='Table 10-4 EstMin Tensile Strng'!$C$8,'Table 10-4 EstMin Tensile Strng'!$I$8/'Engine Valve Spring'!AA143^'Table 10-4 EstMin Tensile Strng'!$F$8,IF($D$11='Table 10-4 EstMin Tensile Strng'!$C$9,'Table 10-4 EstMin Tensile Strng'!$I$9/'Engine Valve Spring'!AA143^'Table 10-4 EstMin Tensile Strng'!$F$9,IF($D$11='Table 10-4 EstMin Tensile Strng'!$C$10,'Table 10-4 EstMin Tensile Strng'!$I$10/'Engine Valve Spring'!AA143^'Table 10-4 EstMin Tensile Strng'!$F$10,IF($D$11='Table 10-4 EstMin Tensile Strng'!$C$10,'Table 10-4 EstMin Tensile Strng'!$I$11/'Engine Valve Spring'!AA143^'Table 10-4 EstMin Tensile Strng'!$F$11,IF($D$11='Table 10-4 EstMin Tensile Strng'!$C$10,'Table 10-4 EstMin Tensile Strng'!$I$12/'Engine Valve Spring'!AA143^'Table 10-4 EstMin Tensile Strng'!$F$12,IF($D$11='Table 10-4 EstMin Tensile Strng'!$C$13,'Table 10-4 EstMin Tensile Strng'!$I$13/'Engine Valve Spring'!AA143^'Table 10-4 EstMin Tensile Strng'!$F$13,IF($D$11='Table 10-4 EstMin Tensile Strng'!$C$13,'Table 10-4 EstMin Tensile Strng'!$I$14/'Engine Valve Spring'!AA143^'Table 10-4 EstMin Tensile Strng'!$F$14,IF($D$11='Table 10-4 EstMin Tensile Strng'!$C$13,'Table 10-4 EstMin Tensile Strng'!$I$15/'Engine Valve Spring'!AA143^'Table 10-4 EstMin Tensile Strng'!$F$15)))))))))))</f>
        <v>693.2794559280552</v>
      </c>
      <c r="AC143">
        <f t="shared" si="2"/>
        <v>43.707035959737077</v>
      </c>
    </row>
    <row r="144" spans="27:29" x14ac:dyDescent="0.25">
      <c r="AA144">
        <v>14</v>
      </c>
      <c r="AB144">
        <f>0.56/$D$7*IF($D$11='Table 10-4 EstMin Tensile Strng'!$C$5,'Table 10-4 EstMin Tensile Strng'!$I$5/'Engine Valve Spring'!AA144^'Table 10-4 EstMin Tensile Strng'!$F$5,IF($D$11='Table 10-4 EstMin Tensile Strng'!$C$6,'Table 10-4 EstMin Tensile Strng'!$I$6/'Engine Valve Spring'!AA144^'Table 10-4 EstMin Tensile Strng'!$F$6,IF($D$11='Table 10-4 EstMin Tensile Strng'!$C$7,'Table 10-4 EstMin Tensile Strng'!$I$7/'Engine Valve Spring'!AA144^'Table 10-4 EstMin Tensile Strng'!$F$7,IF($D$11='Table 10-4 EstMin Tensile Strng'!$C$8,'Table 10-4 EstMin Tensile Strng'!$I$8/'Engine Valve Spring'!AA144^'Table 10-4 EstMin Tensile Strng'!$F$8,IF($D$11='Table 10-4 EstMin Tensile Strng'!$C$9,'Table 10-4 EstMin Tensile Strng'!$I$9/'Engine Valve Spring'!AA144^'Table 10-4 EstMin Tensile Strng'!$F$9,IF($D$11='Table 10-4 EstMin Tensile Strng'!$C$10,'Table 10-4 EstMin Tensile Strng'!$I$10/'Engine Valve Spring'!AA144^'Table 10-4 EstMin Tensile Strng'!$F$10,IF($D$11='Table 10-4 EstMin Tensile Strng'!$C$10,'Table 10-4 EstMin Tensile Strng'!$I$11/'Engine Valve Spring'!AA144^'Table 10-4 EstMin Tensile Strng'!$F$11,IF($D$11='Table 10-4 EstMin Tensile Strng'!$C$10,'Table 10-4 EstMin Tensile Strng'!$I$12/'Engine Valve Spring'!AA144^'Table 10-4 EstMin Tensile Strng'!$F$12,IF($D$11='Table 10-4 EstMin Tensile Strng'!$C$13,'Table 10-4 EstMin Tensile Strng'!$I$13/'Engine Valve Spring'!AA144^'Table 10-4 EstMin Tensile Strng'!$F$13,IF($D$11='Table 10-4 EstMin Tensile Strng'!$C$13,'Table 10-4 EstMin Tensile Strng'!$I$14/'Engine Valve Spring'!AA144^'Table 10-4 EstMin Tensile Strng'!$F$14,IF($D$11='Table 10-4 EstMin Tensile Strng'!$C$13,'Table 10-4 EstMin Tensile Strng'!$I$15/'Engine Valve Spring'!AA144^'Table 10-4 EstMin Tensile Strng'!$F$15)))))))))))</f>
        <v>692.74292886319904</v>
      </c>
      <c r="AC144">
        <f t="shared" si="2"/>
        <v>42.983571322434699</v>
      </c>
    </row>
    <row r="145" spans="27:29" x14ac:dyDescent="0.25">
      <c r="AA145">
        <v>14.1</v>
      </c>
      <c r="AB145">
        <f>0.56/$D$7*IF($D$11='Table 10-4 EstMin Tensile Strng'!$C$5,'Table 10-4 EstMin Tensile Strng'!$I$5/'Engine Valve Spring'!AA145^'Table 10-4 EstMin Tensile Strng'!$F$5,IF($D$11='Table 10-4 EstMin Tensile Strng'!$C$6,'Table 10-4 EstMin Tensile Strng'!$I$6/'Engine Valve Spring'!AA145^'Table 10-4 EstMin Tensile Strng'!$F$6,IF($D$11='Table 10-4 EstMin Tensile Strng'!$C$7,'Table 10-4 EstMin Tensile Strng'!$I$7/'Engine Valve Spring'!AA145^'Table 10-4 EstMin Tensile Strng'!$F$7,IF($D$11='Table 10-4 EstMin Tensile Strng'!$C$8,'Table 10-4 EstMin Tensile Strng'!$I$8/'Engine Valve Spring'!AA145^'Table 10-4 EstMin Tensile Strng'!$F$8,IF($D$11='Table 10-4 EstMin Tensile Strng'!$C$9,'Table 10-4 EstMin Tensile Strng'!$I$9/'Engine Valve Spring'!AA145^'Table 10-4 EstMin Tensile Strng'!$F$9,IF($D$11='Table 10-4 EstMin Tensile Strng'!$C$10,'Table 10-4 EstMin Tensile Strng'!$I$10/'Engine Valve Spring'!AA145^'Table 10-4 EstMin Tensile Strng'!$F$10,IF($D$11='Table 10-4 EstMin Tensile Strng'!$C$10,'Table 10-4 EstMin Tensile Strng'!$I$11/'Engine Valve Spring'!AA145^'Table 10-4 EstMin Tensile Strng'!$F$11,IF($D$11='Table 10-4 EstMin Tensile Strng'!$C$10,'Table 10-4 EstMin Tensile Strng'!$I$12/'Engine Valve Spring'!AA145^'Table 10-4 EstMin Tensile Strng'!$F$12,IF($D$11='Table 10-4 EstMin Tensile Strng'!$C$13,'Table 10-4 EstMin Tensile Strng'!$I$13/'Engine Valve Spring'!AA145^'Table 10-4 EstMin Tensile Strng'!$F$13,IF($D$11='Table 10-4 EstMin Tensile Strng'!$C$13,'Table 10-4 EstMin Tensile Strng'!$I$14/'Engine Valve Spring'!AA145^'Table 10-4 EstMin Tensile Strng'!$F$14,IF($D$11='Table 10-4 EstMin Tensile Strng'!$C$13,'Table 10-4 EstMin Tensile Strng'!$I$15/'Engine Valve Spring'!AA145^'Table 10-4 EstMin Tensile Strng'!$F$15)))))))))))</f>
        <v>692.21063132380493</v>
      </c>
      <c r="AC145">
        <f t="shared" si="2"/>
        <v>42.279009043408124</v>
      </c>
    </row>
    <row r="146" spans="27:29" x14ac:dyDescent="0.25">
      <c r="AA146">
        <v>14.2</v>
      </c>
      <c r="AB146">
        <f>0.56/$D$7*IF($D$11='Table 10-4 EstMin Tensile Strng'!$C$5,'Table 10-4 EstMin Tensile Strng'!$I$5/'Engine Valve Spring'!AA146^'Table 10-4 EstMin Tensile Strng'!$F$5,IF($D$11='Table 10-4 EstMin Tensile Strng'!$C$6,'Table 10-4 EstMin Tensile Strng'!$I$6/'Engine Valve Spring'!AA146^'Table 10-4 EstMin Tensile Strng'!$F$6,IF($D$11='Table 10-4 EstMin Tensile Strng'!$C$7,'Table 10-4 EstMin Tensile Strng'!$I$7/'Engine Valve Spring'!AA146^'Table 10-4 EstMin Tensile Strng'!$F$7,IF($D$11='Table 10-4 EstMin Tensile Strng'!$C$8,'Table 10-4 EstMin Tensile Strng'!$I$8/'Engine Valve Spring'!AA146^'Table 10-4 EstMin Tensile Strng'!$F$8,IF($D$11='Table 10-4 EstMin Tensile Strng'!$C$9,'Table 10-4 EstMin Tensile Strng'!$I$9/'Engine Valve Spring'!AA146^'Table 10-4 EstMin Tensile Strng'!$F$9,IF($D$11='Table 10-4 EstMin Tensile Strng'!$C$10,'Table 10-4 EstMin Tensile Strng'!$I$10/'Engine Valve Spring'!AA146^'Table 10-4 EstMin Tensile Strng'!$F$10,IF($D$11='Table 10-4 EstMin Tensile Strng'!$C$10,'Table 10-4 EstMin Tensile Strng'!$I$11/'Engine Valve Spring'!AA146^'Table 10-4 EstMin Tensile Strng'!$F$11,IF($D$11='Table 10-4 EstMin Tensile Strng'!$C$10,'Table 10-4 EstMin Tensile Strng'!$I$12/'Engine Valve Spring'!AA146^'Table 10-4 EstMin Tensile Strng'!$F$12,IF($D$11='Table 10-4 EstMin Tensile Strng'!$C$13,'Table 10-4 EstMin Tensile Strng'!$I$13/'Engine Valve Spring'!AA146^'Table 10-4 EstMin Tensile Strng'!$F$13,IF($D$11='Table 10-4 EstMin Tensile Strng'!$C$13,'Table 10-4 EstMin Tensile Strng'!$I$14/'Engine Valve Spring'!AA146^'Table 10-4 EstMin Tensile Strng'!$F$14,IF($D$11='Table 10-4 EstMin Tensile Strng'!$C$13,'Table 10-4 EstMin Tensile Strng'!$I$15/'Engine Valve Spring'!AA146^'Table 10-4 EstMin Tensile Strng'!$F$15)))))))))))</f>
        <v>691.68250032371077</v>
      </c>
      <c r="AC146">
        <f t="shared" si="2"/>
        <v>41.592724134072149</v>
      </c>
    </row>
    <row r="147" spans="27:29" x14ac:dyDescent="0.25">
      <c r="AA147">
        <v>14.3</v>
      </c>
      <c r="AB147">
        <f>0.56/$D$7*IF($D$11='Table 10-4 EstMin Tensile Strng'!$C$5,'Table 10-4 EstMin Tensile Strng'!$I$5/'Engine Valve Spring'!AA147^'Table 10-4 EstMin Tensile Strng'!$F$5,IF($D$11='Table 10-4 EstMin Tensile Strng'!$C$6,'Table 10-4 EstMin Tensile Strng'!$I$6/'Engine Valve Spring'!AA147^'Table 10-4 EstMin Tensile Strng'!$F$6,IF($D$11='Table 10-4 EstMin Tensile Strng'!$C$7,'Table 10-4 EstMin Tensile Strng'!$I$7/'Engine Valve Spring'!AA147^'Table 10-4 EstMin Tensile Strng'!$F$7,IF($D$11='Table 10-4 EstMin Tensile Strng'!$C$8,'Table 10-4 EstMin Tensile Strng'!$I$8/'Engine Valve Spring'!AA147^'Table 10-4 EstMin Tensile Strng'!$F$8,IF($D$11='Table 10-4 EstMin Tensile Strng'!$C$9,'Table 10-4 EstMin Tensile Strng'!$I$9/'Engine Valve Spring'!AA147^'Table 10-4 EstMin Tensile Strng'!$F$9,IF($D$11='Table 10-4 EstMin Tensile Strng'!$C$10,'Table 10-4 EstMin Tensile Strng'!$I$10/'Engine Valve Spring'!AA147^'Table 10-4 EstMin Tensile Strng'!$F$10,IF($D$11='Table 10-4 EstMin Tensile Strng'!$C$10,'Table 10-4 EstMin Tensile Strng'!$I$11/'Engine Valve Spring'!AA147^'Table 10-4 EstMin Tensile Strng'!$F$11,IF($D$11='Table 10-4 EstMin Tensile Strng'!$C$10,'Table 10-4 EstMin Tensile Strng'!$I$12/'Engine Valve Spring'!AA147^'Table 10-4 EstMin Tensile Strng'!$F$12,IF($D$11='Table 10-4 EstMin Tensile Strng'!$C$13,'Table 10-4 EstMin Tensile Strng'!$I$13/'Engine Valve Spring'!AA147^'Table 10-4 EstMin Tensile Strng'!$F$13,IF($D$11='Table 10-4 EstMin Tensile Strng'!$C$13,'Table 10-4 EstMin Tensile Strng'!$I$14/'Engine Valve Spring'!AA147^'Table 10-4 EstMin Tensile Strng'!$F$14,IF($D$11='Table 10-4 EstMin Tensile Strng'!$C$13,'Table 10-4 EstMin Tensile Strng'!$I$15/'Engine Valve Spring'!AA147^'Table 10-4 EstMin Tensile Strng'!$F$15)))))))))))</f>
        <v>691.15847425001573</v>
      </c>
      <c r="AC147">
        <f t="shared" si="2"/>
        <v>40.924116788593892</v>
      </c>
    </row>
    <row r="148" spans="27:29" x14ac:dyDescent="0.25">
      <c r="AA148">
        <v>14.4</v>
      </c>
      <c r="AB148">
        <f>0.56/$D$7*IF($D$11='Table 10-4 EstMin Tensile Strng'!$C$5,'Table 10-4 EstMin Tensile Strng'!$I$5/'Engine Valve Spring'!AA148^'Table 10-4 EstMin Tensile Strng'!$F$5,IF($D$11='Table 10-4 EstMin Tensile Strng'!$C$6,'Table 10-4 EstMin Tensile Strng'!$I$6/'Engine Valve Spring'!AA148^'Table 10-4 EstMin Tensile Strng'!$F$6,IF($D$11='Table 10-4 EstMin Tensile Strng'!$C$7,'Table 10-4 EstMin Tensile Strng'!$I$7/'Engine Valve Spring'!AA148^'Table 10-4 EstMin Tensile Strng'!$F$7,IF($D$11='Table 10-4 EstMin Tensile Strng'!$C$8,'Table 10-4 EstMin Tensile Strng'!$I$8/'Engine Valve Spring'!AA148^'Table 10-4 EstMin Tensile Strng'!$F$8,IF($D$11='Table 10-4 EstMin Tensile Strng'!$C$9,'Table 10-4 EstMin Tensile Strng'!$I$9/'Engine Valve Spring'!AA148^'Table 10-4 EstMin Tensile Strng'!$F$9,IF($D$11='Table 10-4 EstMin Tensile Strng'!$C$10,'Table 10-4 EstMin Tensile Strng'!$I$10/'Engine Valve Spring'!AA148^'Table 10-4 EstMin Tensile Strng'!$F$10,IF($D$11='Table 10-4 EstMin Tensile Strng'!$C$10,'Table 10-4 EstMin Tensile Strng'!$I$11/'Engine Valve Spring'!AA148^'Table 10-4 EstMin Tensile Strng'!$F$11,IF($D$11='Table 10-4 EstMin Tensile Strng'!$C$10,'Table 10-4 EstMin Tensile Strng'!$I$12/'Engine Valve Spring'!AA148^'Table 10-4 EstMin Tensile Strng'!$F$12,IF($D$11='Table 10-4 EstMin Tensile Strng'!$C$13,'Table 10-4 EstMin Tensile Strng'!$I$13/'Engine Valve Spring'!AA148^'Table 10-4 EstMin Tensile Strng'!$F$13,IF($D$11='Table 10-4 EstMin Tensile Strng'!$C$13,'Table 10-4 EstMin Tensile Strng'!$I$14/'Engine Valve Spring'!AA148^'Table 10-4 EstMin Tensile Strng'!$F$14,IF($D$11='Table 10-4 EstMin Tensile Strng'!$C$13,'Table 10-4 EstMin Tensile Strng'!$I$15/'Engine Valve Spring'!AA148^'Table 10-4 EstMin Tensile Strng'!$F$15)))))))))))</f>
        <v>690.63849282378226</v>
      </c>
      <c r="AC148">
        <f t="shared" si="2"/>
        <v>40.272611198559879</v>
      </c>
    </row>
    <row r="149" spans="27:29" x14ac:dyDescent="0.25">
      <c r="AA149">
        <v>14.5</v>
      </c>
      <c r="AB149">
        <f>0.56/$D$7*IF($D$11='Table 10-4 EstMin Tensile Strng'!$C$5,'Table 10-4 EstMin Tensile Strng'!$I$5/'Engine Valve Spring'!AA149^'Table 10-4 EstMin Tensile Strng'!$F$5,IF($D$11='Table 10-4 EstMin Tensile Strng'!$C$6,'Table 10-4 EstMin Tensile Strng'!$I$6/'Engine Valve Spring'!AA149^'Table 10-4 EstMin Tensile Strng'!$F$6,IF($D$11='Table 10-4 EstMin Tensile Strng'!$C$7,'Table 10-4 EstMin Tensile Strng'!$I$7/'Engine Valve Spring'!AA149^'Table 10-4 EstMin Tensile Strng'!$F$7,IF($D$11='Table 10-4 EstMin Tensile Strng'!$C$8,'Table 10-4 EstMin Tensile Strng'!$I$8/'Engine Valve Spring'!AA149^'Table 10-4 EstMin Tensile Strng'!$F$8,IF($D$11='Table 10-4 EstMin Tensile Strng'!$C$9,'Table 10-4 EstMin Tensile Strng'!$I$9/'Engine Valve Spring'!AA149^'Table 10-4 EstMin Tensile Strng'!$F$9,IF($D$11='Table 10-4 EstMin Tensile Strng'!$C$10,'Table 10-4 EstMin Tensile Strng'!$I$10/'Engine Valve Spring'!AA149^'Table 10-4 EstMin Tensile Strng'!$F$10,IF($D$11='Table 10-4 EstMin Tensile Strng'!$C$10,'Table 10-4 EstMin Tensile Strng'!$I$11/'Engine Valve Spring'!AA149^'Table 10-4 EstMin Tensile Strng'!$F$11,IF($D$11='Table 10-4 EstMin Tensile Strng'!$C$10,'Table 10-4 EstMin Tensile Strng'!$I$12/'Engine Valve Spring'!AA149^'Table 10-4 EstMin Tensile Strng'!$F$12,IF($D$11='Table 10-4 EstMin Tensile Strng'!$C$13,'Table 10-4 EstMin Tensile Strng'!$I$13/'Engine Valve Spring'!AA149^'Table 10-4 EstMin Tensile Strng'!$F$13,IF($D$11='Table 10-4 EstMin Tensile Strng'!$C$13,'Table 10-4 EstMin Tensile Strng'!$I$14/'Engine Valve Spring'!AA149^'Table 10-4 EstMin Tensile Strng'!$F$14,IF($D$11='Table 10-4 EstMin Tensile Strng'!$C$13,'Table 10-4 EstMin Tensile Strng'!$I$15/'Engine Valve Spring'!AA149^'Table 10-4 EstMin Tensile Strng'!$F$15)))))))))))</f>
        <v>690.1224970621264</v>
      </c>
      <c r="AC149">
        <f t="shared" si="2"/>
        <v>39.637654431399326</v>
      </c>
    </row>
    <row r="150" spans="27:29" x14ac:dyDescent="0.25">
      <c r="AA150">
        <v>14.6</v>
      </c>
      <c r="AB150">
        <f>0.56/$D$7*IF($D$11='Table 10-4 EstMin Tensile Strng'!$C$5,'Table 10-4 EstMin Tensile Strng'!$I$5/'Engine Valve Spring'!AA150^'Table 10-4 EstMin Tensile Strng'!$F$5,IF($D$11='Table 10-4 EstMin Tensile Strng'!$C$6,'Table 10-4 EstMin Tensile Strng'!$I$6/'Engine Valve Spring'!AA150^'Table 10-4 EstMin Tensile Strng'!$F$6,IF($D$11='Table 10-4 EstMin Tensile Strng'!$C$7,'Table 10-4 EstMin Tensile Strng'!$I$7/'Engine Valve Spring'!AA150^'Table 10-4 EstMin Tensile Strng'!$F$7,IF($D$11='Table 10-4 EstMin Tensile Strng'!$C$8,'Table 10-4 EstMin Tensile Strng'!$I$8/'Engine Valve Spring'!AA150^'Table 10-4 EstMin Tensile Strng'!$F$8,IF($D$11='Table 10-4 EstMin Tensile Strng'!$C$9,'Table 10-4 EstMin Tensile Strng'!$I$9/'Engine Valve Spring'!AA150^'Table 10-4 EstMin Tensile Strng'!$F$9,IF($D$11='Table 10-4 EstMin Tensile Strng'!$C$10,'Table 10-4 EstMin Tensile Strng'!$I$10/'Engine Valve Spring'!AA150^'Table 10-4 EstMin Tensile Strng'!$F$10,IF($D$11='Table 10-4 EstMin Tensile Strng'!$C$10,'Table 10-4 EstMin Tensile Strng'!$I$11/'Engine Valve Spring'!AA150^'Table 10-4 EstMin Tensile Strng'!$F$11,IF($D$11='Table 10-4 EstMin Tensile Strng'!$C$10,'Table 10-4 EstMin Tensile Strng'!$I$12/'Engine Valve Spring'!AA150^'Table 10-4 EstMin Tensile Strng'!$F$12,IF($D$11='Table 10-4 EstMin Tensile Strng'!$C$13,'Table 10-4 EstMin Tensile Strng'!$I$13/'Engine Valve Spring'!AA150^'Table 10-4 EstMin Tensile Strng'!$F$13,IF($D$11='Table 10-4 EstMin Tensile Strng'!$C$13,'Table 10-4 EstMin Tensile Strng'!$I$14/'Engine Valve Spring'!AA150^'Table 10-4 EstMin Tensile Strng'!$F$14,IF($D$11='Table 10-4 EstMin Tensile Strng'!$C$13,'Table 10-4 EstMin Tensile Strng'!$I$15/'Engine Valve Spring'!AA150^'Table 10-4 EstMin Tensile Strng'!$F$15)))))))))))</f>
        <v>689.61042924163814</v>
      </c>
      <c r="AC150">
        <f t="shared" si="2"/>
        <v>39.01871536871689</v>
      </c>
    </row>
    <row r="151" spans="27:29" x14ac:dyDescent="0.25">
      <c r="AA151">
        <v>14.7</v>
      </c>
      <c r="AB151">
        <f>0.56/$D$7*IF($D$11='Table 10-4 EstMin Tensile Strng'!$C$5,'Table 10-4 EstMin Tensile Strng'!$I$5/'Engine Valve Spring'!AA151^'Table 10-4 EstMin Tensile Strng'!$F$5,IF($D$11='Table 10-4 EstMin Tensile Strng'!$C$6,'Table 10-4 EstMin Tensile Strng'!$I$6/'Engine Valve Spring'!AA151^'Table 10-4 EstMin Tensile Strng'!$F$6,IF($D$11='Table 10-4 EstMin Tensile Strng'!$C$7,'Table 10-4 EstMin Tensile Strng'!$I$7/'Engine Valve Spring'!AA151^'Table 10-4 EstMin Tensile Strng'!$F$7,IF($D$11='Table 10-4 EstMin Tensile Strng'!$C$8,'Table 10-4 EstMin Tensile Strng'!$I$8/'Engine Valve Spring'!AA151^'Table 10-4 EstMin Tensile Strng'!$F$8,IF($D$11='Table 10-4 EstMin Tensile Strng'!$C$9,'Table 10-4 EstMin Tensile Strng'!$I$9/'Engine Valve Spring'!AA151^'Table 10-4 EstMin Tensile Strng'!$F$9,IF($D$11='Table 10-4 EstMin Tensile Strng'!$C$10,'Table 10-4 EstMin Tensile Strng'!$I$10/'Engine Valve Spring'!AA151^'Table 10-4 EstMin Tensile Strng'!$F$10,IF($D$11='Table 10-4 EstMin Tensile Strng'!$C$10,'Table 10-4 EstMin Tensile Strng'!$I$11/'Engine Valve Spring'!AA151^'Table 10-4 EstMin Tensile Strng'!$F$11,IF($D$11='Table 10-4 EstMin Tensile Strng'!$C$10,'Table 10-4 EstMin Tensile Strng'!$I$12/'Engine Valve Spring'!AA151^'Table 10-4 EstMin Tensile Strng'!$F$12,IF($D$11='Table 10-4 EstMin Tensile Strng'!$C$13,'Table 10-4 EstMin Tensile Strng'!$I$13/'Engine Valve Spring'!AA151^'Table 10-4 EstMin Tensile Strng'!$F$13,IF($D$11='Table 10-4 EstMin Tensile Strng'!$C$13,'Table 10-4 EstMin Tensile Strng'!$I$14/'Engine Valve Spring'!AA151^'Table 10-4 EstMin Tensile Strng'!$F$14,IF($D$11='Table 10-4 EstMin Tensile Strng'!$C$13,'Table 10-4 EstMin Tensile Strng'!$I$15/'Engine Valve Spring'!AA151^'Table 10-4 EstMin Tensile Strng'!$F$15)))))))))))</f>
        <v>689.10223286307712</v>
      </c>
      <c r="AC151">
        <f t="shared" si="2"/>
        <v>38.415283700945423</v>
      </c>
    </row>
    <row r="152" spans="27:29" x14ac:dyDescent="0.25">
      <c r="AA152">
        <v>14.8</v>
      </c>
      <c r="AB152">
        <f>0.56/$D$7*IF($D$11='Table 10-4 EstMin Tensile Strng'!$C$5,'Table 10-4 EstMin Tensile Strng'!$I$5/'Engine Valve Spring'!AA152^'Table 10-4 EstMin Tensile Strng'!$F$5,IF($D$11='Table 10-4 EstMin Tensile Strng'!$C$6,'Table 10-4 EstMin Tensile Strng'!$I$6/'Engine Valve Spring'!AA152^'Table 10-4 EstMin Tensile Strng'!$F$6,IF($D$11='Table 10-4 EstMin Tensile Strng'!$C$7,'Table 10-4 EstMin Tensile Strng'!$I$7/'Engine Valve Spring'!AA152^'Table 10-4 EstMin Tensile Strng'!$F$7,IF($D$11='Table 10-4 EstMin Tensile Strng'!$C$8,'Table 10-4 EstMin Tensile Strng'!$I$8/'Engine Valve Spring'!AA152^'Table 10-4 EstMin Tensile Strng'!$F$8,IF($D$11='Table 10-4 EstMin Tensile Strng'!$C$9,'Table 10-4 EstMin Tensile Strng'!$I$9/'Engine Valve Spring'!AA152^'Table 10-4 EstMin Tensile Strng'!$F$9,IF($D$11='Table 10-4 EstMin Tensile Strng'!$C$10,'Table 10-4 EstMin Tensile Strng'!$I$10/'Engine Valve Spring'!AA152^'Table 10-4 EstMin Tensile Strng'!$F$10,IF($D$11='Table 10-4 EstMin Tensile Strng'!$C$10,'Table 10-4 EstMin Tensile Strng'!$I$11/'Engine Valve Spring'!AA152^'Table 10-4 EstMin Tensile Strng'!$F$11,IF($D$11='Table 10-4 EstMin Tensile Strng'!$C$10,'Table 10-4 EstMin Tensile Strng'!$I$12/'Engine Valve Spring'!AA152^'Table 10-4 EstMin Tensile Strng'!$F$12,IF($D$11='Table 10-4 EstMin Tensile Strng'!$C$13,'Table 10-4 EstMin Tensile Strng'!$I$13/'Engine Valve Spring'!AA152^'Table 10-4 EstMin Tensile Strng'!$F$13,IF($D$11='Table 10-4 EstMin Tensile Strng'!$C$13,'Table 10-4 EstMin Tensile Strng'!$I$14/'Engine Valve Spring'!AA152^'Table 10-4 EstMin Tensile Strng'!$F$14,IF($D$11='Table 10-4 EstMin Tensile Strng'!$C$13,'Table 10-4 EstMin Tensile Strng'!$I$15/'Engine Valve Spring'!AA152^'Table 10-4 EstMin Tensile Strng'!$F$15)))))))))))</f>
        <v>688.59785261728996</v>
      </c>
      <c r="AC152">
        <f t="shared" si="2"/>
        <v>37.826868974966985</v>
      </c>
    </row>
    <row r="153" spans="27:29" x14ac:dyDescent="0.25">
      <c r="AA153">
        <v>14.9</v>
      </c>
      <c r="AB153">
        <f>0.56/$D$7*IF($D$11='Table 10-4 EstMin Tensile Strng'!$C$5,'Table 10-4 EstMin Tensile Strng'!$I$5/'Engine Valve Spring'!AA153^'Table 10-4 EstMin Tensile Strng'!$F$5,IF($D$11='Table 10-4 EstMin Tensile Strng'!$C$6,'Table 10-4 EstMin Tensile Strng'!$I$6/'Engine Valve Spring'!AA153^'Table 10-4 EstMin Tensile Strng'!$F$6,IF($D$11='Table 10-4 EstMin Tensile Strng'!$C$7,'Table 10-4 EstMin Tensile Strng'!$I$7/'Engine Valve Spring'!AA153^'Table 10-4 EstMin Tensile Strng'!$F$7,IF($D$11='Table 10-4 EstMin Tensile Strng'!$C$8,'Table 10-4 EstMin Tensile Strng'!$I$8/'Engine Valve Spring'!AA153^'Table 10-4 EstMin Tensile Strng'!$F$8,IF($D$11='Table 10-4 EstMin Tensile Strng'!$C$9,'Table 10-4 EstMin Tensile Strng'!$I$9/'Engine Valve Spring'!AA153^'Table 10-4 EstMin Tensile Strng'!$F$9,IF($D$11='Table 10-4 EstMin Tensile Strng'!$C$10,'Table 10-4 EstMin Tensile Strng'!$I$10/'Engine Valve Spring'!AA153^'Table 10-4 EstMin Tensile Strng'!$F$10,IF($D$11='Table 10-4 EstMin Tensile Strng'!$C$10,'Table 10-4 EstMin Tensile Strng'!$I$11/'Engine Valve Spring'!AA153^'Table 10-4 EstMin Tensile Strng'!$F$11,IF($D$11='Table 10-4 EstMin Tensile Strng'!$C$10,'Table 10-4 EstMin Tensile Strng'!$I$12/'Engine Valve Spring'!AA153^'Table 10-4 EstMin Tensile Strng'!$F$12,IF($D$11='Table 10-4 EstMin Tensile Strng'!$C$13,'Table 10-4 EstMin Tensile Strng'!$I$13/'Engine Valve Spring'!AA153^'Table 10-4 EstMin Tensile Strng'!$F$13,IF($D$11='Table 10-4 EstMin Tensile Strng'!$C$13,'Table 10-4 EstMin Tensile Strng'!$I$14/'Engine Valve Spring'!AA153^'Table 10-4 EstMin Tensile Strng'!$F$14,IF($D$11='Table 10-4 EstMin Tensile Strng'!$C$13,'Table 10-4 EstMin Tensile Strng'!$I$15/'Engine Valve Spring'!AA153^'Table 10-4 EstMin Tensile Strng'!$F$15)))))))))))</f>
        <v>688.09723435230012</v>
      </c>
      <c r="AC153">
        <f t="shared" si="2"/>
        <v>37.252999691571596</v>
      </c>
    </row>
    <row r="154" spans="27:29" x14ac:dyDescent="0.25">
      <c r="AA154">
        <v>15</v>
      </c>
      <c r="AB154">
        <f>0.56/$D$7*IF($D$11='Table 10-4 EstMin Tensile Strng'!$C$5,'Table 10-4 EstMin Tensile Strng'!$I$5/'Engine Valve Spring'!AA154^'Table 10-4 EstMin Tensile Strng'!$F$5,IF($D$11='Table 10-4 EstMin Tensile Strng'!$C$6,'Table 10-4 EstMin Tensile Strng'!$I$6/'Engine Valve Spring'!AA154^'Table 10-4 EstMin Tensile Strng'!$F$6,IF($D$11='Table 10-4 EstMin Tensile Strng'!$C$7,'Table 10-4 EstMin Tensile Strng'!$I$7/'Engine Valve Spring'!AA154^'Table 10-4 EstMin Tensile Strng'!$F$7,IF($D$11='Table 10-4 EstMin Tensile Strng'!$C$8,'Table 10-4 EstMin Tensile Strng'!$I$8/'Engine Valve Spring'!AA154^'Table 10-4 EstMin Tensile Strng'!$F$8,IF($D$11='Table 10-4 EstMin Tensile Strng'!$C$9,'Table 10-4 EstMin Tensile Strng'!$I$9/'Engine Valve Spring'!AA154^'Table 10-4 EstMin Tensile Strng'!$F$9,IF($D$11='Table 10-4 EstMin Tensile Strng'!$C$10,'Table 10-4 EstMin Tensile Strng'!$I$10/'Engine Valve Spring'!AA154^'Table 10-4 EstMin Tensile Strng'!$F$10,IF($D$11='Table 10-4 EstMin Tensile Strng'!$C$10,'Table 10-4 EstMin Tensile Strng'!$I$11/'Engine Valve Spring'!AA154^'Table 10-4 EstMin Tensile Strng'!$F$11,IF($D$11='Table 10-4 EstMin Tensile Strng'!$C$10,'Table 10-4 EstMin Tensile Strng'!$I$12/'Engine Valve Spring'!AA154^'Table 10-4 EstMin Tensile Strng'!$F$12,IF($D$11='Table 10-4 EstMin Tensile Strng'!$C$13,'Table 10-4 EstMin Tensile Strng'!$I$13/'Engine Valve Spring'!AA154^'Table 10-4 EstMin Tensile Strng'!$F$13,IF($D$11='Table 10-4 EstMin Tensile Strng'!$C$13,'Table 10-4 EstMin Tensile Strng'!$I$14/'Engine Valve Spring'!AA154^'Table 10-4 EstMin Tensile Strng'!$F$14,IF($D$11='Table 10-4 EstMin Tensile Strng'!$C$13,'Table 10-4 EstMin Tensile Strng'!$I$15/'Engine Valve Spring'!AA154^'Table 10-4 EstMin Tensile Strng'!$F$15)))))))))))</f>
        <v>687.60032504152196</v>
      </c>
      <c r="AC154">
        <f t="shared" si="2"/>
        <v>36.693222449827516</v>
      </c>
    </row>
    <row r="155" spans="27:29" x14ac:dyDescent="0.25">
      <c r="AA155">
        <v>15.1</v>
      </c>
      <c r="AB155">
        <f>0.56/$D$7*IF($D$11='Table 10-4 EstMin Tensile Strng'!$C$5,'Table 10-4 EstMin Tensile Strng'!$I$5/'Engine Valve Spring'!AA155^'Table 10-4 EstMin Tensile Strng'!$F$5,IF($D$11='Table 10-4 EstMin Tensile Strng'!$C$6,'Table 10-4 EstMin Tensile Strng'!$I$6/'Engine Valve Spring'!AA155^'Table 10-4 EstMin Tensile Strng'!$F$6,IF($D$11='Table 10-4 EstMin Tensile Strng'!$C$7,'Table 10-4 EstMin Tensile Strng'!$I$7/'Engine Valve Spring'!AA155^'Table 10-4 EstMin Tensile Strng'!$F$7,IF($D$11='Table 10-4 EstMin Tensile Strng'!$C$8,'Table 10-4 EstMin Tensile Strng'!$I$8/'Engine Valve Spring'!AA155^'Table 10-4 EstMin Tensile Strng'!$F$8,IF($D$11='Table 10-4 EstMin Tensile Strng'!$C$9,'Table 10-4 EstMin Tensile Strng'!$I$9/'Engine Valve Spring'!AA155^'Table 10-4 EstMin Tensile Strng'!$F$9,IF($D$11='Table 10-4 EstMin Tensile Strng'!$C$10,'Table 10-4 EstMin Tensile Strng'!$I$10/'Engine Valve Spring'!AA155^'Table 10-4 EstMin Tensile Strng'!$F$10,IF($D$11='Table 10-4 EstMin Tensile Strng'!$C$10,'Table 10-4 EstMin Tensile Strng'!$I$11/'Engine Valve Spring'!AA155^'Table 10-4 EstMin Tensile Strng'!$F$11,IF($D$11='Table 10-4 EstMin Tensile Strng'!$C$10,'Table 10-4 EstMin Tensile Strng'!$I$12/'Engine Valve Spring'!AA155^'Table 10-4 EstMin Tensile Strng'!$F$12,IF($D$11='Table 10-4 EstMin Tensile Strng'!$C$13,'Table 10-4 EstMin Tensile Strng'!$I$13/'Engine Valve Spring'!AA155^'Table 10-4 EstMin Tensile Strng'!$F$13,IF($D$11='Table 10-4 EstMin Tensile Strng'!$C$13,'Table 10-4 EstMin Tensile Strng'!$I$14/'Engine Valve Spring'!AA155^'Table 10-4 EstMin Tensile Strng'!$F$14,IF($D$11='Table 10-4 EstMin Tensile Strng'!$C$13,'Table 10-4 EstMin Tensile Strng'!$I$15/'Engine Valve Spring'!AA155^'Table 10-4 EstMin Tensile Strng'!$F$15)))))))))))</f>
        <v>687.10707275305219</v>
      </c>
      <c r="AC155">
        <f t="shared" si="2"/>
        <v>36.147101135627743</v>
      </c>
    </row>
    <row r="156" spans="27:29" x14ac:dyDescent="0.25">
      <c r="AA156">
        <v>15.2</v>
      </c>
      <c r="AB156">
        <f>0.56/$D$7*IF($D$11='Table 10-4 EstMin Tensile Strng'!$C$5,'Table 10-4 EstMin Tensile Strng'!$I$5/'Engine Valve Spring'!AA156^'Table 10-4 EstMin Tensile Strng'!$F$5,IF($D$11='Table 10-4 EstMin Tensile Strng'!$C$6,'Table 10-4 EstMin Tensile Strng'!$I$6/'Engine Valve Spring'!AA156^'Table 10-4 EstMin Tensile Strng'!$F$6,IF($D$11='Table 10-4 EstMin Tensile Strng'!$C$7,'Table 10-4 EstMin Tensile Strng'!$I$7/'Engine Valve Spring'!AA156^'Table 10-4 EstMin Tensile Strng'!$F$7,IF($D$11='Table 10-4 EstMin Tensile Strng'!$C$8,'Table 10-4 EstMin Tensile Strng'!$I$8/'Engine Valve Spring'!AA156^'Table 10-4 EstMin Tensile Strng'!$F$8,IF($D$11='Table 10-4 EstMin Tensile Strng'!$C$9,'Table 10-4 EstMin Tensile Strng'!$I$9/'Engine Valve Spring'!AA156^'Table 10-4 EstMin Tensile Strng'!$F$9,IF($D$11='Table 10-4 EstMin Tensile Strng'!$C$10,'Table 10-4 EstMin Tensile Strng'!$I$10/'Engine Valve Spring'!AA156^'Table 10-4 EstMin Tensile Strng'!$F$10,IF($D$11='Table 10-4 EstMin Tensile Strng'!$C$10,'Table 10-4 EstMin Tensile Strng'!$I$11/'Engine Valve Spring'!AA156^'Table 10-4 EstMin Tensile Strng'!$F$11,IF($D$11='Table 10-4 EstMin Tensile Strng'!$C$10,'Table 10-4 EstMin Tensile Strng'!$I$12/'Engine Valve Spring'!AA156^'Table 10-4 EstMin Tensile Strng'!$F$12,IF($D$11='Table 10-4 EstMin Tensile Strng'!$C$13,'Table 10-4 EstMin Tensile Strng'!$I$13/'Engine Valve Spring'!AA156^'Table 10-4 EstMin Tensile Strng'!$F$13,IF($D$11='Table 10-4 EstMin Tensile Strng'!$C$13,'Table 10-4 EstMin Tensile Strng'!$I$14/'Engine Valve Spring'!AA156^'Table 10-4 EstMin Tensile Strng'!$F$14,IF($D$11='Table 10-4 EstMin Tensile Strng'!$C$13,'Table 10-4 EstMin Tensile Strng'!$I$15/'Engine Valve Spring'!AA156^'Table 10-4 EstMin Tensile Strng'!$F$15)))))))))))</f>
        <v>686.61742661999779</v>
      </c>
      <c r="AC156">
        <f t="shared" si="2"/>
        <v>35.614216151853441</v>
      </c>
    </row>
    <row r="157" spans="27:29" x14ac:dyDescent="0.25">
      <c r="AA157">
        <v>15.3</v>
      </c>
      <c r="AB157">
        <f>0.56/$D$7*IF($D$11='Table 10-4 EstMin Tensile Strng'!$C$5,'Table 10-4 EstMin Tensile Strng'!$I$5/'Engine Valve Spring'!AA157^'Table 10-4 EstMin Tensile Strng'!$F$5,IF($D$11='Table 10-4 EstMin Tensile Strng'!$C$6,'Table 10-4 EstMin Tensile Strng'!$I$6/'Engine Valve Spring'!AA157^'Table 10-4 EstMin Tensile Strng'!$F$6,IF($D$11='Table 10-4 EstMin Tensile Strng'!$C$7,'Table 10-4 EstMin Tensile Strng'!$I$7/'Engine Valve Spring'!AA157^'Table 10-4 EstMin Tensile Strng'!$F$7,IF($D$11='Table 10-4 EstMin Tensile Strng'!$C$8,'Table 10-4 EstMin Tensile Strng'!$I$8/'Engine Valve Spring'!AA157^'Table 10-4 EstMin Tensile Strng'!$F$8,IF($D$11='Table 10-4 EstMin Tensile Strng'!$C$9,'Table 10-4 EstMin Tensile Strng'!$I$9/'Engine Valve Spring'!AA157^'Table 10-4 EstMin Tensile Strng'!$F$9,IF($D$11='Table 10-4 EstMin Tensile Strng'!$C$10,'Table 10-4 EstMin Tensile Strng'!$I$10/'Engine Valve Spring'!AA157^'Table 10-4 EstMin Tensile Strng'!$F$10,IF($D$11='Table 10-4 EstMin Tensile Strng'!$C$10,'Table 10-4 EstMin Tensile Strng'!$I$11/'Engine Valve Spring'!AA157^'Table 10-4 EstMin Tensile Strng'!$F$11,IF($D$11='Table 10-4 EstMin Tensile Strng'!$C$10,'Table 10-4 EstMin Tensile Strng'!$I$12/'Engine Valve Spring'!AA157^'Table 10-4 EstMin Tensile Strng'!$F$12,IF($D$11='Table 10-4 EstMin Tensile Strng'!$C$13,'Table 10-4 EstMin Tensile Strng'!$I$13/'Engine Valve Spring'!AA157^'Table 10-4 EstMin Tensile Strng'!$F$13,IF($D$11='Table 10-4 EstMin Tensile Strng'!$C$13,'Table 10-4 EstMin Tensile Strng'!$I$14/'Engine Valve Spring'!AA157^'Table 10-4 EstMin Tensile Strng'!$F$14,IF($D$11='Table 10-4 EstMin Tensile Strng'!$C$13,'Table 10-4 EstMin Tensile Strng'!$I$15/'Engine Valve Spring'!AA157^'Table 10-4 EstMin Tensile Strng'!$F$15)))))))))))</f>
        <v>686.13133681179659</v>
      </c>
      <c r="AC157">
        <f t="shared" si="2"/>
        <v>35.094163687759419</v>
      </c>
    </row>
    <row r="158" spans="27:29" x14ac:dyDescent="0.25">
      <c r="AA158">
        <v>15.4</v>
      </c>
      <c r="AB158">
        <f>0.56/$D$7*IF($D$11='Table 10-4 EstMin Tensile Strng'!$C$5,'Table 10-4 EstMin Tensile Strng'!$I$5/'Engine Valve Spring'!AA158^'Table 10-4 EstMin Tensile Strng'!$F$5,IF($D$11='Table 10-4 EstMin Tensile Strng'!$C$6,'Table 10-4 EstMin Tensile Strng'!$I$6/'Engine Valve Spring'!AA158^'Table 10-4 EstMin Tensile Strng'!$F$6,IF($D$11='Table 10-4 EstMin Tensile Strng'!$C$7,'Table 10-4 EstMin Tensile Strng'!$I$7/'Engine Valve Spring'!AA158^'Table 10-4 EstMin Tensile Strng'!$F$7,IF($D$11='Table 10-4 EstMin Tensile Strng'!$C$8,'Table 10-4 EstMin Tensile Strng'!$I$8/'Engine Valve Spring'!AA158^'Table 10-4 EstMin Tensile Strng'!$F$8,IF($D$11='Table 10-4 EstMin Tensile Strng'!$C$9,'Table 10-4 EstMin Tensile Strng'!$I$9/'Engine Valve Spring'!AA158^'Table 10-4 EstMin Tensile Strng'!$F$9,IF($D$11='Table 10-4 EstMin Tensile Strng'!$C$10,'Table 10-4 EstMin Tensile Strng'!$I$10/'Engine Valve Spring'!AA158^'Table 10-4 EstMin Tensile Strng'!$F$10,IF($D$11='Table 10-4 EstMin Tensile Strng'!$C$10,'Table 10-4 EstMin Tensile Strng'!$I$11/'Engine Valve Spring'!AA158^'Table 10-4 EstMin Tensile Strng'!$F$11,IF($D$11='Table 10-4 EstMin Tensile Strng'!$C$10,'Table 10-4 EstMin Tensile Strng'!$I$12/'Engine Valve Spring'!AA158^'Table 10-4 EstMin Tensile Strng'!$F$12,IF($D$11='Table 10-4 EstMin Tensile Strng'!$C$13,'Table 10-4 EstMin Tensile Strng'!$I$13/'Engine Valve Spring'!AA158^'Table 10-4 EstMin Tensile Strng'!$F$13,IF($D$11='Table 10-4 EstMin Tensile Strng'!$C$13,'Table 10-4 EstMin Tensile Strng'!$I$14/'Engine Valve Spring'!AA158^'Table 10-4 EstMin Tensile Strng'!$F$14,IF($D$11='Table 10-4 EstMin Tensile Strng'!$C$13,'Table 10-4 EstMin Tensile Strng'!$I$15/'Engine Valve Spring'!AA158^'Table 10-4 EstMin Tensile Strng'!$F$15)))))))))))</f>
        <v>685.64875450649163</v>
      </c>
      <c r="AC158">
        <f t="shared" si="2"/>
        <v>34.586555025339571</v>
      </c>
    </row>
    <row r="159" spans="27:29" x14ac:dyDescent="0.25">
      <c r="AA159">
        <v>15.5</v>
      </c>
      <c r="AB159">
        <f>0.56/$D$7*IF($D$11='Table 10-4 EstMin Tensile Strng'!$C$5,'Table 10-4 EstMin Tensile Strng'!$I$5/'Engine Valve Spring'!AA159^'Table 10-4 EstMin Tensile Strng'!$F$5,IF($D$11='Table 10-4 EstMin Tensile Strng'!$C$6,'Table 10-4 EstMin Tensile Strng'!$I$6/'Engine Valve Spring'!AA159^'Table 10-4 EstMin Tensile Strng'!$F$6,IF($D$11='Table 10-4 EstMin Tensile Strng'!$C$7,'Table 10-4 EstMin Tensile Strng'!$I$7/'Engine Valve Spring'!AA159^'Table 10-4 EstMin Tensile Strng'!$F$7,IF($D$11='Table 10-4 EstMin Tensile Strng'!$C$8,'Table 10-4 EstMin Tensile Strng'!$I$8/'Engine Valve Spring'!AA159^'Table 10-4 EstMin Tensile Strng'!$F$8,IF($D$11='Table 10-4 EstMin Tensile Strng'!$C$9,'Table 10-4 EstMin Tensile Strng'!$I$9/'Engine Valve Spring'!AA159^'Table 10-4 EstMin Tensile Strng'!$F$9,IF($D$11='Table 10-4 EstMin Tensile Strng'!$C$10,'Table 10-4 EstMin Tensile Strng'!$I$10/'Engine Valve Spring'!AA159^'Table 10-4 EstMin Tensile Strng'!$F$10,IF($D$11='Table 10-4 EstMin Tensile Strng'!$C$10,'Table 10-4 EstMin Tensile Strng'!$I$11/'Engine Valve Spring'!AA159^'Table 10-4 EstMin Tensile Strng'!$F$11,IF($D$11='Table 10-4 EstMin Tensile Strng'!$C$10,'Table 10-4 EstMin Tensile Strng'!$I$12/'Engine Valve Spring'!AA159^'Table 10-4 EstMin Tensile Strng'!$F$12,IF($D$11='Table 10-4 EstMin Tensile Strng'!$C$13,'Table 10-4 EstMin Tensile Strng'!$I$13/'Engine Valve Spring'!AA159^'Table 10-4 EstMin Tensile Strng'!$F$13,IF($D$11='Table 10-4 EstMin Tensile Strng'!$C$13,'Table 10-4 EstMin Tensile Strng'!$I$14/'Engine Valve Spring'!AA159^'Table 10-4 EstMin Tensile Strng'!$F$14,IF($D$11='Table 10-4 EstMin Tensile Strng'!$C$13,'Table 10-4 EstMin Tensile Strng'!$I$15/'Engine Valve Spring'!AA159^'Table 10-4 EstMin Tensile Strng'!$F$15)))))))))))</f>
        <v>685.16963186392286</v>
      </c>
      <c r="AC159">
        <f t="shared" si="2"/>
        <v>34.091015880571909</v>
      </c>
    </row>
    <row r="160" spans="27:29" x14ac:dyDescent="0.25">
      <c r="AA160">
        <v>15.6</v>
      </c>
      <c r="AB160">
        <f>0.56/$D$7*IF($D$11='Table 10-4 EstMin Tensile Strng'!$C$5,'Table 10-4 EstMin Tensile Strng'!$I$5/'Engine Valve Spring'!AA160^'Table 10-4 EstMin Tensile Strng'!$F$5,IF($D$11='Table 10-4 EstMin Tensile Strng'!$C$6,'Table 10-4 EstMin Tensile Strng'!$I$6/'Engine Valve Spring'!AA160^'Table 10-4 EstMin Tensile Strng'!$F$6,IF($D$11='Table 10-4 EstMin Tensile Strng'!$C$7,'Table 10-4 EstMin Tensile Strng'!$I$7/'Engine Valve Spring'!AA160^'Table 10-4 EstMin Tensile Strng'!$F$7,IF($D$11='Table 10-4 EstMin Tensile Strng'!$C$8,'Table 10-4 EstMin Tensile Strng'!$I$8/'Engine Valve Spring'!AA160^'Table 10-4 EstMin Tensile Strng'!$F$8,IF($D$11='Table 10-4 EstMin Tensile Strng'!$C$9,'Table 10-4 EstMin Tensile Strng'!$I$9/'Engine Valve Spring'!AA160^'Table 10-4 EstMin Tensile Strng'!$F$9,IF($D$11='Table 10-4 EstMin Tensile Strng'!$C$10,'Table 10-4 EstMin Tensile Strng'!$I$10/'Engine Valve Spring'!AA160^'Table 10-4 EstMin Tensile Strng'!$F$10,IF($D$11='Table 10-4 EstMin Tensile Strng'!$C$10,'Table 10-4 EstMin Tensile Strng'!$I$11/'Engine Valve Spring'!AA160^'Table 10-4 EstMin Tensile Strng'!$F$11,IF($D$11='Table 10-4 EstMin Tensile Strng'!$C$10,'Table 10-4 EstMin Tensile Strng'!$I$12/'Engine Valve Spring'!AA160^'Table 10-4 EstMin Tensile Strng'!$F$12,IF($D$11='Table 10-4 EstMin Tensile Strng'!$C$13,'Table 10-4 EstMin Tensile Strng'!$I$13/'Engine Valve Spring'!AA160^'Table 10-4 EstMin Tensile Strng'!$F$13,IF($D$11='Table 10-4 EstMin Tensile Strng'!$C$13,'Table 10-4 EstMin Tensile Strng'!$I$14/'Engine Valve Spring'!AA160^'Table 10-4 EstMin Tensile Strng'!$F$14,IF($D$11='Table 10-4 EstMin Tensile Strng'!$C$13,'Table 10-4 EstMin Tensile Strng'!$I$15/'Engine Valve Spring'!AA160^'Table 10-4 EstMin Tensile Strng'!$F$15)))))))))))</f>
        <v>684.69392199979825</v>
      </c>
      <c r="AC160">
        <f t="shared" si="2"/>
        <v>33.607185777574919</v>
      </c>
    </row>
    <row r="161" spans="27:29" x14ac:dyDescent="0.25">
      <c r="AA161">
        <v>15.7</v>
      </c>
      <c r="AB161">
        <f>0.56/$D$7*IF($D$11='Table 10-4 EstMin Tensile Strng'!$C$5,'Table 10-4 EstMin Tensile Strng'!$I$5/'Engine Valve Spring'!AA161^'Table 10-4 EstMin Tensile Strng'!$F$5,IF($D$11='Table 10-4 EstMin Tensile Strng'!$C$6,'Table 10-4 EstMin Tensile Strng'!$I$6/'Engine Valve Spring'!AA161^'Table 10-4 EstMin Tensile Strng'!$F$6,IF($D$11='Table 10-4 EstMin Tensile Strng'!$C$7,'Table 10-4 EstMin Tensile Strng'!$I$7/'Engine Valve Spring'!AA161^'Table 10-4 EstMin Tensile Strng'!$F$7,IF($D$11='Table 10-4 EstMin Tensile Strng'!$C$8,'Table 10-4 EstMin Tensile Strng'!$I$8/'Engine Valve Spring'!AA161^'Table 10-4 EstMin Tensile Strng'!$F$8,IF($D$11='Table 10-4 EstMin Tensile Strng'!$C$9,'Table 10-4 EstMin Tensile Strng'!$I$9/'Engine Valve Spring'!AA161^'Table 10-4 EstMin Tensile Strng'!$F$9,IF($D$11='Table 10-4 EstMin Tensile Strng'!$C$10,'Table 10-4 EstMin Tensile Strng'!$I$10/'Engine Valve Spring'!AA161^'Table 10-4 EstMin Tensile Strng'!$F$10,IF($D$11='Table 10-4 EstMin Tensile Strng'!$C$10,'Table 10-4 EstMin Tensile Strng'!$I$11/'Engine Valve Spring'!AA161^'Table 10-4 EstMin Tensile Strng'!$F$11,IF($D$11='Table 10-4 EstMin Tensile Strng'!$C$10,'Table 10-4 EstMin Tensile Strng'!$I$12/'Engine Valve Spring'!AA161^'Table 10-4 EstMin Tensile Strng'!$F$12,IF($D$11='Table 10-4 EstMin Tensile Strng'!$C$13,'Table 10-4 EstMin Tensile Strng'!$I$13/'Engine Valve Spring'!AA161^'Table 10-4 EstMin Tensile Strng'!$F$13,IF($D$11='Table 10-4 EstMin Tensile Strng'!$C$13,'Table 10-4 EstMin Tensile Strng'!$I$14/'Engine Valve Spring'!AA161^'Table 10-4 EstMin Tensile Strng'!$F$14,IF($D$11='Table 10-4 EstMin Tensile Strng'!$C$13,'Table 10-4 EstMin Tensile Strng'!$I$15/'Engine Valve Spring'!AA161^'Table 10-4 EstMin Tensile Strng'!$F$15)))))))))))</f>
        <v>684.2215789606114</v>
      </c>
      <c r="AC161">
        <f t="shared" si="2"/>
        <v>33.134717453830397</v>
      </c>
    </row>
    <row r="162" spans="27:29" x14ac:dyDescent="0.25">
      <c r="AA162">
        <v>15.8</v>
      </c>
      <c r="AB162">
        <f>0.56/$D$7*IF($D$11='Table 10-4 EstMin Tensile Strng'!$C$5,'Table 10-4 EstMin Tensile Strng'!$I$5/'Engine Valve Spring'!AA162^'Table 10-4 EstMin Tensile Strng'!$F$5,IF($D$11='Table 10-4 EstMin Tensile Strng'!$C$6,'Table 10-4 EstMin Tensile Strng'!$I$6/'Engine Valve Spring'!AA162^'Table 10-4 EstMin Tensile Strng'!$F$6,IF($D$11='Table 10-4 EstMin Tensile Strng'!$C$7,'Table 10-4 EstMin Tensile Strng'!$I$7/'Engine Valve Spring'!AA162^'Table 10-4 EstMin Tensile Strng'!$F$7,IF($D$11='Table 10-4 EstMin Tensile Strng'!$C$8,'Table 10-4 EstMin Tensile Strng'!$I$8/'Engine Valve Spring'!AA162^'Table 10-4 EstMin Tensile Strng'!$F$8,IF($D$11='Table 10-4 EstMin Tensile Strng'!$C$9,'Table 10-4 EstMin Tensile Strng'!$I$9/'Engine Valve Spring'!AA162^'Table 10-4 EstMin Tensile Strng'!$F$9,IF($D$11='Table 10-4 EstMin Tensile Strng'!$C$10,'Table 10-4 EstMin Tensile Strng'!$I$10/'Engine Valve Spring'!AA162^'Table 10-4 EstMin Tensile Strng'!$F$10,IF($D$11='Table 10-4 EstMin Tensile Strng'!$C$10,'Table 10-4 EstMin Tensile Strng'!$I$11/'Engine Valve Spring'!AA162^'Table 10-4 EstMin Tensile Strng'!$F$11,IF($D$11='Table 10-4 EstMin Tensile Strng'!$C$10,'Table 10-4 EstMin Tensile Strng'!$I$12/'Engine Valve Spring'!AA162^'Table 10-4 EstMin Tensile Strng'!$F$12,IF($D$11='Table 10-4 EstMin Tensile Strng'!$C$13,'Table 10-4 EstMin Tensile Strng'!$I$13/'Engine Valve Spring'!AA162^'Table 10-4 EstMin Tensile Strng'!$F$13,IF($D$11='Table 10-4 EstMin Tensile Strng'!$C$13,'Table 10-4 EstMin Tensile Strng'!$I$14/'Engine Valve Spring'!AA162^'Table 10-4 EstMin Tensile Strng'!$F$14,IF($D$11='Table 10-4 EstMin Tensile Strng'!$C$13,'Table 10-4 EstMin Tensile Strng'!$I$15/'Engine Valve Spring'!AA162^'Table 10-4 EstMin Tensile Strng'!$F$15)))))))))))</f>
        <v>683.75255769937235</v>
      </c>
      <c r="AC162">
        <f t="shared" si="2"/>
        <v>32.673276294741967</v>
      </c>
    </row>
    <row r="163" spans="27:29" x14ac:dyDescent="0.25">
      <c r="AA163">
        <v>15.9</v>
      </c>
      <c r="AB163">
        <f>0.56/$D$7*IF($D$11='Table 10-4 EstMin Tensile Strng'!$C$5,'Table 10-4 EstMin Tensile Strng'!$I$5/'Engine Valve Spring'!AA163^'Table 10-4 EstMin Tensile Strng'!$F$5,IF($D$11='Table 10-4 EstMin Tensile Strng'!$C$6,'Table 10-4 EstMin Tensile Strng'!$I$6/'Engine Valve Spring'!AA163^'Table 10-4 EstMin Tensile Strng'!$F$6,IF($D$11='Table 10-4 EstMin Tensile Strng'!$C$7,'Table 10-4 EstMin Tensile Strng'!$I$7/'Engine Valve Spring'!AA163^'Table 10-4 EstMin Tensile Strng'!$F$7,IF($D$11='Table 10-4 EstMin Tensile Strng'!$C$8,'Table 10-4 EstMin Tensile Strng'!$I$8/'Engine Valve Spring'!AA163^'Table 10-4 EstMin Tensile Strng'!$F$8,IF($D$11='Table 10-4 EstMin Tensile Strng'!$C$9,'Table 10-4 EstMin Tensile Strng'!$I$9/'Engine Valve Spring'!AA163^'Table 10-4 EstMin Tensile Strng'!$F$9,IF($D$11='Table 10-4 EstMin Tensile Strng'!$C$10,'Table 10-4 EstMin Tensile Strng'!$I$10/'Engine Valve Spring'!AA163^'Table 10-4 EstMin Tensile Strng'!$F$10,IF($D$11='Table 10-4 EstMin Tensile Strng'!$C$10,'Table 10-4 EstMin Tensile Strng'!$I$11/'Engine Valve Spring'!AA163^'Table 10-4 EstMin Tensile Strng'!$F$11,IF($D$11='Table 10-4 EstMin Tensile Strng'!$C$10,'Table 10-4 EstMin Tensile Strng'!$I$12/'Engine Valve Spring'!AA163^'Table 10-4 EstMin Tensile Strng'!$F$12,IF($D$11='Table 10-4 EstMin Tensile Strng'!$C$13,'Table 10-4 EstMin Tensile Strng'!$I$13/'Engine Valve Spring'!AA163^'Table 10-4 EstMin Tensile Strng'!$F$13,IF($D$11='Table 10-4 EstMin Tensile Strng'!$C$13,'Table 10-4 EstMin Tensile Strng'!$I$14/'Engine Valve Spring'!AA163^'Table 10-4 EstMin Tensile Strng'!$F$14,IF($D$11='Table 10-4 EstMin Tensile Strng'!$C$13,'Table 10-4 EstMin Tensile Strng'!$I$15/'Engine Valve Spring'!AA163^'Table 10-4 EstMin Tensile Strng'!$F$15)))))))))))</f>
        <v>683.28681405211967</v>
      </c>
      <c r="AC163">
        <f t="shared" si="2"/>
        <v>32.22253979590576</v>
      </c>
    </row>
    <row r="164" spans="27:29" x14ac:dyDescent="0.25">
      <c r="AA164">
        <v>16</v>
      </c>
      <c r="AB164">
        <f>0.56/$D$7*IF($D$11='Table 10-4 EstMin Tensile Strng'!$C$5,'Table 10-4 EstMin Tensile Strng'!$I$5/'Engine Valve Spring'!AA164^'Table 10-4 EstMin Tensile Strng'!$F$5,IF($D$11='Table 10-4 EstMin Tensile Strng'!$C$6,'Table 10-4 EstMin Tensile Strng'!$I$6/'Engine Valve Spring'!AA164^'Table 10-4 EstMin Tensile Strng'!$F$6,IF($D$11='Table 10-4 EstMin Tensile Strng'!$C$7,'Table 10-4 EstMin Tensile Strng'!$I$7/'Engine Valve Spring'!AA164^'Table 10-4 EstMin Tensile Strng'!$F$7,IF($D$11='Table 10-4 EstMin Tensile Strng'!$C$8,'Table 10-4 EstMin Tensile Strng'!$I$8/'Engine Valve Spring'!AA164^'Table 10-4 EstMin Tensile Strng'!$F$8,IF($D$11='Table 10-4 EstMin Tensile Strng'!$C$9,'Table 10-4 EstMin Tensile Strng'!$I$9/'Engine Valve Spring'!AA164^'Table 10-4 EstMin Tensile Strng'!$F$9,IF($D$11='Table 10-4 EstMin Tensile Strng'!$C$10,'Table 10-4 EstMin Tensile Strng'!$I$10/'Engine Valve Spring'!AA164^'Table 10-4 EstMin Tensile Strng'!$F$10,IF($D$11='Table 10-4 EstMin Tensile Strng'!$C$10,'Table 10-4 EstMin Tensile Strng'!$I$11/'Engine Valve Spring'!AA164^'Table 10-4 EstMin Tensile Strng'!$F$11,IF($D$11='Table 10-4 EstMin Tensile Strng'!$C$10,'Table 10-4 EstMin Tensile Strng'!$I$12/'Engine Valve Spring'!AA164^'Table 10-4 EstMin Tensile Strng'!$F$12,IF($D$11='Table 10-4 EstMin Tensile Strng'!$C$13,'Table 10-4 EstMin Tensile Strng'!$I$13/'Engine Valve Spring'!AA164^'Table 10-4 EstMin Tensile Strng'!$F$13,IF($D$11='Table 10-4 EstMin Tensile Strng'!$C$13,'Table 10-4 EstMin Tensile Strng'!$I$14/'Engine Valve Spring'!AA164^'Table 10-4 EstMin Tensile Strng'!$F$14,IF($D$11='Table 10-4 EstMin Tensile Strng'!$C$13,'Table 10-4 EstMin Tensile Strng'!$I$15/'Engine Valve Spring'!AA164^'Table 10-4 EstMin Tensile Strng'!$F$15)))))))))))</f>
        <v>682.82430471518603</v>
      </c>
      <c r="AC164">
        <f t="shared" si="2"/>
        <v>31.782197051568854</v>
      </c>
    </row>
    <row r="165" spans="27:29" x14ac:dyDescent="0.25">
      <c r="AA165">
        <v>16.100000000000001</v>
      </c>
      <c r="AB165">
        <f>0.56/$D$7*IF($D$11='Table 10-4 EstMin Tensile Strng'!$C$5,'Table 10-4 EstMin Tensile Strng'!$I$5/'Engine Valve Spring'!AA165^'Table 10-4 EstMin Tensile Strng'!$F$5,IF($D$11='Table 10-4 EstMin Tensile Strng'!$C$6,'Table 10-4 EstMin Tensile Strng'!$I$6/'Engine Valve Spring'!AA165^'Table 10-4 EstMin Tensile Strng'!$F$6,IF($D$11='Table 10-4 EstMin Tensile Strng'!$C$7,'Table 10-4 EstMin Tensile Strng'!$I$7/'Engine Valve Spring'!AA165^'Table 10-4 EstMin Tensile Strng'!$F$7,IF($D$11='Table 10-4 EstMin Tensile Strng'!$C$8,'Table 10-4 EstMin Tensile Strng'!$I$8/'Engine Valve Spring'!AA165^'Table 10-4 EstMin Tensile Strng'!$F$8,IF($D$11='Table 10-4 EstMin Tensile Strng'!$C$9,'Table 10-4 EstMin Tensile Strng'!$I$9/'Engine Valve Spring'!AA165^'Table 10-4 EstMin Tensile Strng'!$F$9,IF($D$11='Table 10-4 EstMin Tensile Strng'!$C$10,'Table 10-4 EstMin Tensile Strng'!$I$10/'Engine Valve Spring'!AA165^'Table 10-4 EstMin Tensile Strng'!$F$10,IF($D$11='Table 10-4 EstMin Tensile Strng'!$C$10,'Table 10-4 EstMin Tensile Strng'!$I$11/'Engine Valve Spring'!AA165^'Table 10-4 EstMin Tensile Strng'!$F$11,IF($D$11='Table 10-4 EstMin Tensile Strng'!$C$10,'Table 10-4 EstMin Tensile Strng'!$I$12/'Engine Valve Spring'!AA165^'Table 10-4 EstMin Tensile Strng'!$F$12,IF($D$11='Table 10-4 EstMin Tensile Strng'!$C$13,'Table 10-4 EstMin Tensile Strng'!$I$13/'Engine Valve Spring'!AA165^'Table 10-4 EstMin Tensile Strng'!$F$13,IF($D$11='Table 10-4 EstMin Tensile Strng'!$C$13,'Table 10-4 EstMin Tensile Strng'!$I$14/'Engine Valve Spring'!AA165^'Table 10-4 EstMin Tensile Strng'!$F$14,IF($D$11='Table 10-4 EstMin Tensile Strng'!$C$13,'Table 10-4 EstMin Tensile Strng'!$I$15/'Engine Valve Spring'!AA165^'Table 10-4 EstMin Tensile Strng'!$F$15)))))))))))</f>
        <v>682.36498722318458</v>
      </c>
      <c r="AC165">
        <f t="shared" si="2"/>
        <v>31.351948267844577</v>
      </c>
    </row>
    <row r="166" spans="27:29" x14ac:dyDescent="0.25">
      <c r="AA166">
        <v>16.2</v>
      </c>
      <c r="AB166">
        <f>0.56/$D$7*IF($D$11='Table 10-4 EstMin Tensile Strng'!$C$5,'Table 10-4 EstMin Tensile Strng'!$I$5/'Engine Valve Spring'!AA166^'Table 10-4 EstMin Tensile Strng'!$F$5,IF($D$11='Table 10-4 EstMin Tensile Strng'!$C$6,'Table 10-4 EstMin Tensile Strng'!$I$6/'Engine Valve Spring'!AA166^'Table 10-4 EstMin Tensile Strng'!$F$6,IF($D$11='Table 10-4 EstMin Tensile Strng'!$C$7,'Table 10-4 EstMin Tensile Strng'!$I$7/'Engine Valve Spring'!AA166^'Table 10-4 EstMin Tensile Strng'!$F$7,IF($D$11='Table 10-4 EstMin Tensile Strng'!$C$8,'Table 10-4 EstMin Tensile Strng'!$I$8/'Engine Valve Spring'!AA166^'Table 10-4 EstMin Tensile Strng'!$F$8,IF($D$11='Table 10-4 EstMin Tensile Strng'!$C$9,'Table 10-4 EstMin Tensile Strng'!$I$9/'Engine Valve Spring'!AA166^'Table 10-4 EstMin Tensile Strng'!$F$9,IF($D$11='Table 10-4 EstMin Tensile Strng'!$C$10,'Table 10-4 EstMin Tensile Strng'!$I$10/'Engine Valve Spring'!AA166^'Table 10-4 EstMin Tensile Strng'!$F$10,IF($D$11='Table 10-4 EstMin Tensile Strng'!$C$10,'Table 10-4 EstMin Tensile Strng'!$I$11/'Engine Valve Spring'!AA166^'Table 10-4 EstMin Tensile Strng'!$F$11,IF($D$11='Table 10-4 EstMin Tensile Strng'!$C$10,'Table 10-4 EstMin Tensile Strng'!$I$12/'Engine Valve Spring'!AA166^'Table 10-4 EstMin Tensile Strng'!$F$12,IF($D$11='Table 10-4 EstMin Tensile Strng'!$C$13,'Table 10-4 EstMin Tensile Strng'!$I$13/'Engine Valve Spring'!AA166^'Table 10-4 EstMin Tensile Strng'!$F$13,IF($D$11='Table 10-4 EstMin Tensile Strng'!$C$13,'Table 10-4 EstMin Tensile Strng'!$I$14/'Engine Valve Spring'!AA166^'Table 10-4 EstMin Tensile Strng'!$F$14,IF($D$11='Table 10-4 EstMin Tensile Strng'!$C$13,'Table 10-4 EstMin Tensile Strng'!$I$15/'Engine Valve Spring'!AA166^'Table 10-4 EstMin Tensile Strng'!$F$15)))))))))))</f>
        <v>681.90881992769414</v>
      </c>
      <c r="AC166">
        <f t="shared" si="2"/>
        <v>30.931504299339846</v>
      </c>
    </row>
    <row r="167" spans="27:29" x14ac:dyDescent="0.25">
      <c r="AA167">
        <v>16.3</v>
      </c>
      <c r="AB167">
        <f>0.56/$D$7*IF($D$11='Table 10-4 EstMin Tensile Strng'!$C$5,'Table 10-4 EstMin Tensile Strng'!$I$5/'Engine Valve Spring'!AA167^'Table 10-4 EstMin Tensile Strng'!$F$5,IF($D$11='Table 10-4 EstMin Tensile Strng'!$C$6,'Table 10-4 EstMin Tensile Strng'!$I$6/'Engine Valve Spring'!AA167^'Table 10-4 EstMin Tensile Strng'!$F$6,IF($D$11='Table 10-4 EstMin Tensile Strng'!$C$7,'Table 10-4 EstMin Tensile Strng'!$I$7/'Engine Valve Spring'!AA167^'Table 10-4 EstMin Tensile Strng'!$F$7,IF($D$11='Table 10-4 EstMin Tensile Strng'!$C$8,'Table 10-4 EstMin Tensile Strng'!$I$8/'Engine Valve Spring'!AA167^'Table 10-4 EstMin Tensile Strng'!$F$8,IF($D$11='Table 10-4 EstMin Tensile Strng'!$C$9,'Table 10-4 EstMin Tensile Strng'!$I$9/'Engine Valve Spring'!AA167^'Table 10-4 EstMin Tensile Strng'!$F$9,IF($D$11='Table 10-4 EstMin Tensile Strng'!$C$10,'Table 10-4 EstMin Tensile Strng'!$I$10/'Engine Valve Spring'!AA167^'Table 10-4 EstMin Tensile Strng'!$F$10,IF($D$11='Table 10-4 EstMin Tensile Strng'!$C$10,'Table 10-4 EstMin Tensile Strng'!$I$11/'Engine Valve Spring'!AA167^'Table 10-4 EstMin Tensile Strng'!$F$11,IF($D$11='Table 10-4 EstMin Tensile Strng'!$C$10,'Table 10-4 EstMin Tensile Strng'!$I$12/'Engine Valve Spring'!AA167^'Table 10-4 EstMin Tensile Strng'!$F$12,IF($D$11='Table 10-4 EstMin Tensile Strng'!$C$13,'Table 10-4 EstMin Tensile Strng'!$I$13/'Engine Valve Spring'!AA167^'Table 10-4 EstMin Tensile Strng'!$F$13,IF($D$11='Table 10-4 EstMin Tensile Strng'!$C$13,'Table 10-4 EstMin Tensile Strng'!$I$14/'Engine Valve Spring'!AA167^'Table 10-4 EstMin Tensile Strng'!$F$14,IF($D$11='Table 10-4 EstMin Tensile Strng'!$C$13,'Table 10-4 EstMin Tensile Strng'!$I$15/'Engine Valve Spring'!AA167^'Table 10-4 EstMin Tensile Strng'!$F$15)))))))))))</f>
        <v>681.45576197661205</v>
      </c>
      <c r="AC167">
        <f t="shared" si="2"/>
        <v>30.520586207930855</v>
      </c>
    </row>
    <row r="168" spans="27:29" x14ac:dyDescent="0.25">
      <c r="AA168">
        <v>16.399999999999999</v>
      </c>
      <c r="AB168">
        <f>0.56/$D$7*IF($D$11='Table 10-4 EstMin Tensile Strng'!$C$5,'Table 10-4 EstMin Tensile Strng'!$I$5/'Engine Valve Spring'!AA168^'Table 10-4 EstMin Tensile Strng'!$F$5,IF($D$11='Table 10-4 EstMin Tensile Strng'!$C$6,'Table 10-4 EstMin Tensile Strng'!$I$6/'Engine Valve Spring'!AA168^'Table 10-4 EstMin Tensile Strng'!$F$6,IF($D$11='Table 10-4 EstMin Tensile Strng'!$C$7,'Table 10-4 EstMin Tensile Strng'!$I$7/'Engine Valve Spring'!AA168^'Table 10-4 EstMin Tensile Strng'!$F$7,IF($D$11='Table 10-4 EstMin Tensile Strng'!$C$8,'Table 10-4 EstMin Tensile Strng'!$I$8/'Engine Valve Spring'!AA168^'Table 10-4 EstMin Tensile Strng'!$F$8,IF($D$11='Table 10-4 EstMin Tensile Strng'!$C$9,'Table 10-4 EstMin Tensile Strng'!$I$9/'Engine Valve Spring'!AA168^'Table 10-4 EstMin Tensile Strng'!$F$9,IF($D$11='Table 10-4 EstMin Tensile Strng'!$C$10,'Table 10-4 EstMin Tensile Strng'!$I$10/'Engine Valve Spring'!AA168^'Table 10-4 EstMin Tensile Strng'!$F$10,IF($D$11='Table 10-4 EstMin Tensile Strng'!$C$10,'Table 10-4 EstMin Tensile Strng'!$I$11/'Engine Valve Spring'!AA168^'Table 10-4 EstMin Tensile Strng'!$F$11,IF($D$11='Table 10-4 EstMin Tensile Strng'!$C$10,'Table 10-4 EstMin Tensile Strng'!$I$12/'Engine Valve Spring'!AA168^'Table 10-4 EstMin Tensile Strng'!$F$12,IF($D$11='Table 10-4 EstMin Tensile Strng'!$C$13,'Table 10-4 EstMin Tensile Strng'!$I$13/'Engine Valve Spring'!AA168^'Table 10-4 EstMin Tensile Strng'!$F$13,IF($D$11='Table 10-4 EstMin Tensile Strng'!$C$13,'Table 10-4 EstMin Tensile Strng'!$I$14/'Engine Valve Spring'!AA168^'Table 10-4 EstMin Tensile Strng'!$F$14,IF($D$11='Table 10-4 EstMin Tensile Strng'!$C$13,'Table 10-4 EstMin Tensile Strng'!$I$15/'Engine Valve Spring'!AA168^'Table 10-4 EstMin Tensile Strng'!$F$15)))))))))))</f>
        <v>681.00577329415307</v>
      </c>
      <c r="AC168">
        <f t="shared" si="2"/>
        <v>30.118924842499521</v>
      </c>
    </row>
    <row r="169" spans="27:29" x14ac:dyDescent="0.25">
      <c r="AA169">
        <v>16.5</v>
      </c>
      <c r="AB169">
        <f>0.56/$D$7*IF($D$11='Table 10-4 EstMin Tensile Strng'!$C$5,'Table 10-4 EstMin Tensile Strng'!$I$5/'Engine Valve Spring'!AA169^'Table 10-4 EstMin Tensile Strng'!$F$5,IF($D$11='Table 10-4 EstMin Tensile Strng'!$C$6,'Table 10-4 EstMin Tensile Strng'!$I$6/'Engine Valve Spring'!AA169^'Table 10-4 EstMin Tensile Strng'!$F$6,IF($D$11='Table 10-4 EstMin Tensile Strng'!$C$7,'Table 10-4 EstMin Tensile Strng'!$I$7/'Engine Valve Spring'!AA169^'Table 10-4 EstMin Tensile Strng'!$F$7,IF($D$11='Table 10-4 EstMin Tensile Strng'!$C$8,'Table 10-4 EstMin Tensile Strng'!$I$8/'Engine Valve Spring'!AA169^'Table 10-4 EstMin Tensile Strng'!$F$8,IF($D$11='Table 10-4 EstMin Tensile Strng'!$C$9,'Table 10-4 EstMin Tensile Strng'!$I$9/'Engine Valve Spring'!AA169^'Table 10-4 EstMin Tensile Strng'!$F$9,IF($D$11='Table 10-4 EstMin Tensile Strng'!$C$10,'Table 10-4 EstMin Tensile Strng'!$I$10/'Engine Valve Spring'!AA169^'Table 10-4 EstMin Tensile Strng'!$F$10,IF($D$11='Table 10-4 EstMin Tensile Strng'!$C$10,'Table 10-4 EstMin Tensile Strng'!$I$11/'Engine Valve Spring'!AA169^'Table 10-4 EstMin Tensile Strng'!$F$11,IF($D$11='Table 10-4 EstMin Tensile Strng'!$C$10,'Table 10-4 EstMin Tensile Strng'!$I$12/'Engine Valve Spring'!AA169^'Table 10-4 EstMin Tensile Strng'!$F$12,IF($D$11='Table 10-4 EstMin Tensile Strng'!$C$13,'Table 10-4 EstMin Tensile Strng'!$I$13/'Engine Valve Spring'!AA169^'Table 10-4 EstMin Tensile Strng'!$F$13,IF($D$11='Table 10-4 EstMin Tensile Strng'!$C$13,'Table 10-4 EstMin Tensile Strng'!$I$14/'Engine Valve Spring'!AA169^'Table 10-4 EstMin Tensile Strng'!$F$14,IF($D$11='Table 10-4 EstMin Tensile Strng'!$C$13,'Table 10-4 EstMin Tensile Strng'!$I$15/'Engine Valve Spring'!AA169^'Table 10-4 EstMin Tensile Strng'!$F$15)))))))))))</f>
        <v>680.55881456146847</v>
      </c>
      <c r="AC169">
        <f t="shared" si="2"/>
        <v>29.726260438512636</v>
      </c>
    </row>
    <row r="170" spans="27:29" x14ac:dyDescent="0.25">
      <c r="AA170">
        <v>16.600000000000001</v>
      </c>
      <c r="AB170">
        <f>0.56/$D$7*IF($D$11='Table 10-4 EstMin Tensile Strng'!$C$5,'Table 10-4 EstMin Tensile Strng'!$I$5/'Engine Valve Spring'!AA170^'Table 10-4 EstMin Tensile Strng'!$F$5,IF($D$11='Table 10-4 EstMin Tensile Strng'!$C$6,'Table 10-4 EstMin Tensile Strng'!$I$6/'Engine Valve Spring'!AA170^'Table 10-4 EstMin Tensile Strng'!$F$6,IF($D$11='Table 10-4 EstMin Tensile Strng'!$C$7,'Table 10-4 EstMin Tensile Strng'!$I$7/'Engine Valve Spring'!AA170^'Table 10-4 EstMin Tensile Strng'!$F$7,IF($D$11='Table 10-4 EstMin Tensile Strng'!$C$8,'Table 10-4 EstMin Tensile Strng'!$I$8/'Engine Valve Spring'!AA170^'Table 10-4 EstMin Tensile Strng'!$F$8,IF($D$11='Table 10-4 EstMin Tensile Strng'!$C$9,'Table 10-4 EstMin Tensile Strng'!$I$9/'Engine Valve Spring'!AA170^'Table 10-4 EstMin Tensile Strng'!$F$9,IF($D$11='Table 10-4 EstMin Tensile Strng'!$C$10,'Table 10-4 EstMin Tensile Strng'!$I$10/'Engine Valve Spring'!AA170^'Table 10-4 EstMin Tensile Strng'!$F$10,IF($D$11='Table 10-4 EstMin Tensile Strng'!$C$10,'Table 10-4 EstMin Tensile Strng'!$I$11/'Engine Valve Spring'!AA170^'Table 10-4 EstMin Tensile Strng'!$F$11,IF($D$11='Table 10-4 EstMin Tensile Strng'!$C$10,'Table 10-4 EstMin Tensile Strng'!$I$12/'Engine Valve Spring'!AA170^'Table 10-4 EstMin Tensile Strng'!$F$12,IF($D$11='Table 10-4 EstMin Tensile Strng'!$C$13,'Table 10-4 EstMin Tensile Strng'!$I$13/'Engine Valve Spring'!AA170^'Table 10-4 EstMin Tensile Strng'!$F$13,IF($D$11='Table 10-4 EstMin Tensile Strng'!$C$13,'Table 10-4 EstMin Tensile Strng'!$I$14/'Engine Valve Spring'!AA170^'Table 10-4 EstMin Tensile Strng'!$F$14,IF($D$11='Table 10-4 EstMin Tensile Strng'!$C$13,'Table 10-4 EstMin Tensile Strng'!$I$15/'Engine Valve Spring'!AA170^'Table 10-4 EstMin Tensile Strng'!$F$15)))))))))))</f>
        <v>680.11484719786358</v>
      </c>
      <c r="AC170">
        <f t="shared" si="2"/>
        <v>29.342342236393009</v>
      </c>
    </row>
    <row r="171" spans="27:29" x14ac:dyDescent="0.25">
      <c r="AA171">
        <v>16.7</v>
      </c>
      <c r="AB171">
        <f>0.56/$D$7*IF($D$11='Table 10-4 EstMin Tensile Strng'!$C$5,'Table 10-4 EstMin Tensile Strng'!$I$5/'Engine Valve Spring'!AA171^'Table 10-4 EstMin Tensile Strng'!$F$5,IF($D$11='Table 10-4 EstMin Tensile Strng'!$C$6,'Table 10-4 EstMin Tensile Strng'!$I$6/'Engine Valve Spring'!AA171^'Table 10-4 EstMin Tensile Strng'!$F$6,IF($D$11='Table 10-4 EstMin Tensile Strng'!$C$7,'Table 10-4 EstMin Tensile Strng'!$I$7/'Engine Valve Spring'!AA171^'Table 10-4 EstMin Tensile Strng'!$F$7,IF($D$11='Table 10-4 EstMin Tensile Strng'!$C$8,'Table 10-4 EstMin Tensile Strng'!$I$8/'Engine Valve Spring'!AA171^'Table 10-4 EstMin Tensile Strng'!$F$8,IF($D$11='Table 10-4 EstMin Tensile Strng'!$C$9,'Table 10-4 EstMin Tensile Strng'!$I$9/'Engine Valve Spring'!AA171^'Table 10-4 EstMin Tensile Strng'!$F$9,IF($D$11='Table 10-4 EstMin Tensile Strng'!$C$10,'Table 10-4 EstMin Tensile Strng'!$I$10/'Engine Valve Spring'!AA171^'Table 10-4 EstMin Tensile Strng'!$F$10,IF($D$11='Table 10-4 EstMin Tensile Strng'!$C$10,'Table 10-4 EstMin Tensile Strng'!$I$11/'Engine Valve Spring'!AA171^'Table 10-4 EstMin Tensile Strng'!$F$11,IF($D$11='Table 10-4 EstMin Tensile Strng'!$C$10,'Table 10-4 EstMin Tensile Strng'!$I$12/'Engine Valve Spring'!AA171^'Table 10-4 EstMin Tensile Strng'!$F$12,IF($D$11='Table 10-4 EstMin Tensile Strng'!$C$13,'Table 10-4 EstMin Tensile Strng'!$I$13/'Engine Valve Spring'!AA171^'Table 10-4 EstMin Tensile Strng'!$F$13,IF($D$11='Table 10-4 EstMin Tensile Strng'!$C$13,'Table 10-4 EstMin Tensile Strng'!$I$14/'Engine Valve Spring'!AA171^'Table 10-4 EstMin Tensile Strng'!$F$14,IF($D$11='Table 10-4 EstMin Tensile Strng'!$C$13,'Table 10-4 EstMin Tensile Strng'!$I$15/'Engine Valve Spring'!AA171^'Table 10-4 EstMin Tensile Strng'!$F$15)))))))))))</f>
        <v>679.67383334259159</v>
      </c>
      <c r="AC171">
        <f t="shared" si="2"/>
        <v>28.966928117692618</v>
      </c>
    </row>
    <row r="172" spans="27:29" x14ac:dyDescent="0.25">
      <c r="AA172">
        <v>16.8</v>
      </c>
      <c r="AB172">
        <f>0.56/$D$7*IF($D$11='Table 10-4 EstMin Tensile Strng'!$C$5,'Table 10-4 EstMin Tensile Strng'!$I$5/'Engine Valve Spring'!AA172^'Table 10-4 EstMin Tensile Strng'!$F$5,IF($D$11='Table 10-4 EstMin Tensile Strng'!$C$6,'Table 10-4 EstMin Tensile Strng'!$I$6/'Engine Valve Spring'!AA172^'Table 10-4 EstMin Tensile Strng'!$F$6,IF($D$11='Table 10-4 EstMin Tensile Strng'!$C$7,'Table 10-4 EstMin Tensile Strng'!$I$7/'Engine Valve Spring'!AA172^'Table 10-4 EstMin Tensile Strng'!$F$7,IF($D$11='Table 10-4 EstMin Tensile Strng'!$C$8,'Table 10-4 EstMin Tensile Strng'!$I$8/'Engine Valve Spring'!AA172^'Table 10-4 EstMin Tensile Strng'!$F$8,IF($D$11='Table 10-4 EstMin Tensile Strng'!$C$9,'Table 10-4 EstMin Tensile Strng'!$I$9/'Engine Valve Spring'!AA172^'Table 10-4 EstMin Tensile Strng'!$F$9,IF($D$11='Table 10-4 EstMin Tensile Strng'!$C$10,'Table 10-4 EstMin Tensile Strng'!$I$10/'Engine Valve Spring'!AA172^'Table 10-4 EstMin Tensile Strng'!$F$10,IF($D$11='Table 10-4 EstMin Tensile Strng'!$C$10,'Table 10-4 EstMin Tensile Strng'!$I$11/'Engine Valve Spring'!AA172^'Table 10-4 EstMin Tensile Strng'!$F$11,IF($D$11='Table 10-4 EstMin Tensile Strng'!$C$10,'Table 10-4 EstMin Tensile Strng'!$I$12/'Engine Valve Spring'!AA172^'Table 10-4 EstMin Tensile Strng'!$F$12,IF($D$11='Table 10-4 EstMin Tensile Strng'!$C$13,'Table 10-4 EstMin Tensile Strng'!$I$13/'Engine Valve Spring'!AA172^'Table 10-4 EstMin Tensile Strng'!$F$13,IF($D$11='Table 10-4 EstMin Tensile Strng'!$C$13,'Table 10-4 EstMin Tensile Strng'!$I$14/'Engine Valve Spring'!AA172^'Table 10-4 EstMin Tensile Strng'!$F$14,IF($D$11='Table 10-4 EstMin Tensile Strng'!$C$13,'Table 10-4 EstMin Tensile Strng'!$I$15/'Engine Valve Spring'!AA172^'Table 10-4 EstMin Tensile Strng'!$F$15)))))))))))</f>
        <v>679.2357358372011</v>
      </c>
      <c r="AC172">
        <f t="shared" si="2"/>
        <v>28.599784258136072</v>
      </c>
    </row>
    <row r="173" spans="27:29" x14ac:dyDescent="0.25">
      <c r="AA173">
        <v>16.899999999999999</v>
      </c>
      <c r="AB173">
        <f>0.56/$D$7*IF($D$11='Table 10-4 EstMin Tensile Strng'!$C$5,'Table 10-4 EstMin Tensile Strng'!$I$5/'Engine Valve Spring'!AA173^'Table 10-4 EstMin Tensile Strng'!$F$5,IF($D$11='Table 10-4 EstMin Tensile Strng'!$C$6,'Table 10-4 EstMin Tensile Strng'!$I$6/'Engine Valve Spring'!AA173^'Table 10-4 EstMin Tensile Strng'!$F$6,IF($D$11='Table 10-4 EstMin Tensile Strng'!$C$7,'Table 10-4 EstMin Tensile Strng'!$I$7/'Engine Valve Spring'!AA173^'Table 10-4 EstMin Tensile Strng'!$F$7,IF($D$11='Table 10-4 EstMin Tensile Strng'!$C$8,'Table 10-4 EstMin Tensile Strng'!$I$8/'Engine Valve Spring'!AA173^'Table 10-4 EstMin Tensile Strng'!$F$8,IF($D$11='Table 10-4 EstMin Tensile Strng'!$C$9,'Table 10-4 EstMin Tensile Strng'!$I$9/'Engine Valve Spring'!AA173^'Table 10-4 EstMin Tensile Strng'!$F$9,IF($D$11='Table 10-4 EstMin Tensile Strng'!$C$10,'Table 10-4 EstMin Tensile Strng'!$I$10/'Engine Valve Spring'!AA173^'Table 10-4 EstMin Tensile Strng'!$F$10,IF($D$11='Table 10-4 EstMin Tensile Strng'!$C$10,'Table 10-4 EstMin Tensile Strng'!$I$11/'Engine Valve Spring'!AA173^'Table 10-4 EstMin Tensile Strng'!$F$11,IF($D$11='Table 10-4 EstMin Tensile Strng'!$C$10,'Table 10-4 EstMin Tensile Strng'!$I$12/'Engine Valve Spring'!AA173^'Table 10-4 EstMin Tensile Strng'!$F$12,IF($D$11='Table 10-4 EstMin Tensile Strng'!$C$13,'Table 10-4 EstMin Tensile Strng'!$I$13/'Engine Valve Spring'!AA173^'Table 10-4 EstMin Tensile Strng'!$F$13,IF($D$11='Table 10-4 EstMin Tensile Strng'!$C$13,'Table 10-4 EstMin Tensile Strng'!$I$14/'Engine Valve Spring'!AA173^'Table 10-4 EstMin Tensile Strng'!$F$14,IF($D$11='Table 10-4 EstMin Tensile Strng'!$C$13,'Table 10-4 EstMin Tensile Strng'!$I$15/'Engine Valve Spring'!AA173^'Table 10-4 EstMin Tensile Strng'!$F$15)))))))))))</f>
        <v>678.8005182084205</v>
      </c>
      <c r="AC173">
        <f t="shared" si="2"/>
        <v>28.240684796656822</v>
      </c>
    </row>
    <row r="174" spans="27:29" x14ac:dyDescent="0.25">
      <c r="AA174">
        <v>17</v>
      </c>
      <c r="AB174">
        <f>0.56/$D$7*IF($D$11='Table 10-4 EstMin Tensile Strng'!$C$5,'Table 10-4 EstMin Tensile Strng'!$I$5/'Engine Valve Spring'!AA174^'Table 10-4 EstMin Tensile Strng'!$F$5,IF($D$11='Table 10-4 EstMin Tensile Strng'!$C$6,'Table 10-4 EstMin Tensile Strng'!$I$6/'Engine Valve Spring'!AA174^'Table 10-4 EstMin Tensile Strng'!$F$6,IF($D$11='Table 10-4 EstMin Tensile Strng'!$C$7,'Table 10-4 EstMin Tensile Strng'!$I$7/'Engine Valve Spring'!AA174^'Table 10-4 EstMin Tensile Strng'!$F$7,IF($D$11='Table 10-4 EstMin Tensile Strng'!$C$8,'Table 10-4 EstMin Tensile Strng'!$I$8/'Engine Valve Spring'!AA174^'Table 10-4 EstMin Tensile Strng'!$F$8,IF($D$11='Table 10-4 EstMin Tensile Strng'!$C$9,'Table 10-4 EstMin Tensile Strng'!$I$9/'Engine Valve Spring'!AA174^'Table 10-4 EstMin Tensile Strng'!$F$9,IF($D$11='Table 10-4 EstMin Tensile Strng'!$C$10,'Table 10-4 EstMin Tensile Strng'!$I$10/'Engine Valve Spring'!AA174^'Table 10-4 EstMin Tensile Strng'!$F$10,IF($D$11='Table 10-4 EstMin Tensile Strng'!$C$10,'Table 10-4 EstMin Tensile Strng'!$I$11/'Engine Valve Spring'!AA174^'Table 10-4 EstMin Tensile Strng'!$F$11,IF($D$11='Table 10-4 EstMin Tensile Strng'!$C$10,'Table 10-4 EstMin Tensile Strng'!$I$12/'Engine Valve Spring'!AA174^'Table 10-4 EstMin Tensile Strng'!$F$12,IF($D$11='Table 10-4 EstMin Tensile Strng'!$C$13,'Table 10-4 EstMin Tensile Strng'!$I$13/'Engine Valve Spring'!AA174^'Table 10-4 EstMin Tensile Strng'!$F$13,IF($D$11='Table 10-4 EstMin Tensile Strng'!$C$13,'Table 10-4 EstMin Tensile Strng'!$I$14/'Engine Valve Spring'!AA174^'Table 10-4 EstMin Tensile Strng'!$F$14,IF($D$11='Table 10-4 EstMin Tensile Strng'!$C$13,'Table 10-4 EstMin Tensile Strng'!$I$15/'Engine Valve Spring'!AA174^'Table 10-4 EstMin Tensile Strng'!$F$15)))))))))))</f>
        <v>678.36814465155601</v>
      </c>
      <c r="AC174">
        <f t="shared" si="2"/>
        <v>27.889411519598774</v>
      </c>
    </row>
    <row r="175" spans="27:29" x14ac:dyDescent="0.25">
      <c r="AA175">
        <v>17.100000000000001</v>
      </c>
      <c r="AB175">
        <f>0.56/$D$7*IF($D$11='Table 10-4 EstMin Tensile Strng'!$C$5,'Table 10-4 EstMin Tensile Strng'!$I$5/'Engine Valve Spring'!AA175^'Table 10-4 EstMin Tensile Strng'!$F$5,IF($D$11='Table 10-4 EstMin Tensile Strng'!$C$6,'Table 10-4 EstMin Tensile Strng'!$I$6/'Engine Valve Spring'!AA175^'Table 10-4 EstMin Tensile Strng'!$F$6,IF($D$11='Table 10-4 EstMin Tensile Strng'!$C$7,'Table 10-4 EstMin Tensile Strng'!$I$7/'Engine Valve Spring'!AA175^'Table 10-4 EstMin Tensile Strng'!$F$7,IF($D$11='Table 10-4 EstMin Tensile Strng'!$C$8,'Table 10-4 EstMin Tensile Strng'!$I$8/'Engine Valve Spring'!AA175^'Table 10-4 EstMin Tensile Strng'!$F$8,IF($D$11='Table 10-4 EstMin Tensile Strng'!$C$9,'Table 10-4 EstMin Tensile Strng'!$I$9/'Engine Valve Spring'!AA175^'Table 10-4 EstMin Tensile Strng'!$F$9,IF($D$11='Table 10-4 EstMin Tensile Strng'!$C$10,'Table 10-4 EstMin Tensile Strng'!$I$10/'Engine Valve Spring'!AA175^'Table 10-4 EstMin Tensile Strng'!$F$10,IF($D$11='Table 10-4 EstMin Tensile Strng'!$C$10,'Table 10-4 EstMin Tensile Strng'!$I$11/'Engine Valve Spring'!AA175^'Table 10-4 EstMin Tensile Strng'!$F$11,IF($D$11='Table 10-4 EstMin Tensile Strng'!$C$10,'Table 10-4 EstMin Tensile Strng'!$I$12/'Engine Valve Spring'!AA175^'Table 10-4 EstMin Tensile Strng'!$F$12,IF($D$11='Table 10-4 EstMin Tensile Strng'!$C$13,'Table 10-4 EstMin Tensile Strng'!$I$13/'Engine Valve Spring'!AA175^'Table 10-4 EstMin Tensile Strng'!$F$13,IF($D$11='Table 10-4 EstMin Tensile Strng'!$C$13,'Table 10-4 EstMin Tensile Strng'!$I$14/'Engine Valve Spring'!AA175^'Table 10-4 EstMin Tensile Strng'!$F$14,IF($D$11='Table 10-4 EstMin Tensile Strng'!$C$13,'Table 10-4 EstMin Tensile Strng'!$I$15/'Engine Valve Spring'!AA175^'Table 10-4 EstMin Tensile Strng'!$F$15)))))))))))</f>
        <v>677.93858001438923</v>
      </c>
      <c r="AC175">
        <f t="shared" si="2"/>
        <v>27.545753559304035</v>
      </c>
    </row>
    <row r="176" spans="27:29" x14ac:dyDescent="0.25">
      <c r="AA176">
        <v>17.2</v>
      </c>
      <c r="AB176">
        <f>0.56/$D$7*IF($D$11='Table 10-4 EstMin Tensile Strng'!$C$5,'Table 10-4 EstMin Tensile Strng'!$I$5/'Engine Valve Spring'!AA176^'Table 10-4 EstMin Tensile Strng'!$F$5,IF($D$11='Table 10-4 EstMin Tensile Strng'!$C$6,'Table 10-4 EstMin Tensile Strng'!$I$6/'Engine Valve Spring'!AA176^'Table 10-4 EstMin Tensile Strng'!$F$6,IF($D$11='Table 10-4 EstMin Tensile Strng'!$C$7,'Table 10-4 EstMin Tensile Strng'!$I$7/'Engine Valve Spring'!AA176^'Table 10-4 EstMin Tensile Strng'!$F$7,IF($D$11='Table 10-4 EstMin Tensile Strng'!$C$8,'Table 10-4 EstMin Tensile Strng'!$I$8/'Engine Valve Spring'!AA176^'Table 10-4 EstMin Tensile Strng'!$F$8,IF($D$11='Table 10-4 EstMin Tensile Strng'!$C$9,'Table 10-4 EstMin Tensile Strng'!$I$9/'Engine Valve Spring'!AA176^'Table 10-4 EstMin Tensile Strng'!$F$9,IF($D$11='Table 10-4 EstMin Tensile Strng'!$C$10,'Table 10-4 EstMin Tensile Strng'!$I$10/'Engine Valve Spring'!AA176^'Table 10-4 EstMin Tensile Strng'!$F$10,IF($D$11='Table 10-4 EstMin Tensile Strng'!$C$10,'Table 10-4 EstMin Tensile Strng'!$I$11/'Engine Valve Spring'!AA176^'Table 10-4 EstMin Tensile Strng'!$F$11,IF($D$11='Table 10-4 EstMin Tensile Strng'!$C$10,'Table 10-4 EstMin Tensile Strng'!$I$12/'Engine Valve Spring'!AA176^'Table 10-4 EstMin Tensile Strng'!$F$12,IF($D$11='Table 10-4 EstMin Tensile Strng'!$C$13,'Table 10-4 EstMin Tensile Strng'!$I$13/'Engine Valve Spring'!AA176^'Table 10-4 EstMin Tensile Strng'!$F$13,IF($D$11='Table 10-4 EstMin Tensile Strng'!$C$13,'Table 10-4 EstMin Tensile Strng'!$I$14/'Engine Valve Spring'!AA176^'Table 10-4 EstMin Tensile Strng'!$F$14,IF($D$11='Table 10-4 EstMin Tensile Strng'!$C$13,'Table 10-4 EstMin Tensile Strng'!$I$15/'Engine Valve Spring'!AA176^'Table 10-4 EstMin Tensile Strng'!$F$15)))))))))))</f>
        <v>677.51178978155178</v>
      </c>
      <c r="AC176">
        <f t="shared" si="2"/>
        <v>27.209507106351353</v>
      </c>
    </row>
    <row r="177" spans="27:29" x14ac:dyDescent="0.25">
      <c r="AA177">
        <v>17.3</v>
      </c>
      <c r="AB177">
        <f>0.56/$D$7*IF($D$11='Table 10-4 EstMin Tensile Strng'!$C$5,'Table 10-4 EstMin Tensile Strng'!$I$5/'Engine Valve Spring'!AA177^'Table 10-4 EstMin Tensile Strng'!$F$5,IF($D$11='Table 10-4 EstMin Tensile Strng'!$C$6,'Table 10-4 EstMin Tensile Strng'!$I$6/'Engine Valve Spring'!AA177^'Table 10-4 EstMin Tensile Strng'!$F$6,IF($D$11='Table 10-4 EstMin Tensile Strng'!$C$7,'Table 10-4 EstMin Tensile Strng'!$I$7/'Engine Valve Spring'!AA177^'Table 10-4 EstMin Tensile Strng'!$F$7,IF($D$11='Table 10-4 EstMin Tensile Strng'!$C$8,'Table 10-4 EstMin Tensile Strng'!$I$8/'Engine Valve Spring'!AA177^'Table 10-4 EstMin Tensile Strng'!$F$8,IF($D$11='Table 10-4 EstMin Tensile Strng'!$C$9,'Table 10-4 EstMin Tensile Strng'!$I$9/'Engine Valve Spring'!AA177^'Table 10-4 EstMin Tensile Strng'!$F$9,IF($D$11='Table 10-4 EstMin Tensile Strng'!$C$10,'Table 10-4 EstMin Tensile Strng'!$I$10/'Engine Valve Spring'!AA177^'Table 10-4 EstMin Tensile Strng'!$F$10,IF($D$11='Table 10-4 EstMin Tensile Strng'!$C$10,'Table 10-4 EstMin Tensile Strng'!$I$11/'Engine Valve Spring'!AA177^'Table 10-4 EstMin Tensile Strng'!$F$11,IF($D$11='Table 10-4 EstMin Tensile Strng'!$C$10,'Table 10-4 EstMin Tensile Strng'!$I$12/'Engine Valve Spring'!AA177^'Table 10-4 EstMin Tensile Strng'!$F$12,IF($D$11='Table 10-4 EstMin Tensile Strng'!$C$13,'Table 10-4 EstMin Tensile Strng'!$I$13/'Engine Valve Spring'!AA177^'Table 10-4 EstMin Tensile Strng'!$F$13,IF($D$11='Table 10-4 EstMin Tensile Strng'!$C$13,'Table 10-4 EstMin Tensile Strng'!$I$14/'Engine Valve Spring'!AA177^'Table 10-4 EstMin Tensile Strng'!$F$14,IF($D$11='Table 10-4 EstMin Tensile Strng'!$C$13,'Table 10-4 EstMin Tensile Strng'!$I$15/'Engine Valve Spring'!AA177^'Table 10-4 EstMin Tensile Strng'!$F$15)))))))))))</f>
        <v>677.08774005936414</v>
      </c>
      <c r="AC177">
        <f t="shared" si="2"/>
        <v>26.880475134751851</v>
      </c>
    </row>
    <row r="178" spans="27:29" x14ac:dyDescent="0.25">
      <c r="AA178">
        <v>17.399999999999999</v>
      </c>
      <c r="AB178">
        <f>0.56/$D$7*IF($D$11='Table 10-4 EstMin Tensile Strng'!$C$5,'Table 10-4 EstMin Tensile Strng'!$I$5/'Engine Valve Spring'!AA178^'Table 10-4 EstMin Tensile Strng'!$F$5,IF($D$11='Table 10-4 EstMin Tensile Strng'!$C$6,'Table 10-4 EstMin Tensile Strng'!$I$6/'Engine Valve Spring'!AA178^'Table 10-4 EstMin Tensile Strng'!$F$6,IF($D$11='Table 10-4 EstMin Tensile Strng'!$C$7,'Table 10-4 EstMin Tensile Strng'!$I$7/'Engine Valve Spring'!AA178^'Table 10-4 EstMin Tensile Strng'!$F$7,IF($D$11='Table 10-4 EstMin Tensile Strng'!$C$8,'Table 10-4 EstMin Tensile Strng'!$I$8/'Engine Valve Spring'!AA178^'Table 10-4 EstMin Tensile Strng'!$F$8,IF($D$11='Table 10-4 EstMin Tensile Strng'!$C$9,'Table 10-4 EstMin Tensile Strng'!$I$9/'Engine Valve Spring'!AA178^'Table 10-4 EstMin Tensile Strng'!$F$9,IF($D$11='Table 10-4 EstMin Tensile Strng'!$C$10,'Table 10-4 EstMin Tensile Strng'!$I$10/'Engine Valve Spring'!AA178^'Table 10-4 EstMin Tensile Strng'!$F$10,IF($D$11='Table 10-4 EstMin Tensile Strng'!$C$10,'Table 10-4 EstMin Tensile Strng'!$I$11/'Engine Valve Spring'!AA178^'Table 10-4 EstMin Tensile Strng'!$F$11,IF($D$11='Table 10-4 EstMin Tensile Strng'!$C$10,'Table 10-4 EstMin Tensile Strng'!$I$12/'Engine Valve Spring'!AA178^'Table 10-4 EstMin Tensile Strng'!$F$12,IF($D$11='Table 10-4 EstMin Tensile Strng'!$C$13,'Table 10-4 EstMin Tensile Strng'!$I$13/'Engine Valve Spring'!AA178^'Table 10-4 EstMin Tensile Strng'!$F$13,IF($D$11='Table 10-4 EstMin Tensile Strng'!$C$13,'Table 10-4 EstMin Tensile Strng'!$I$14/'Engine Valve Spring'!AA178^'Table 10-4 EstMin Tensile Strng'!$F$14,IF($D$11='Table 10-4 EstMin Tensile Strng'!$C$13,'Table 10-4 EstMin Tensile Strng'!$I$15/'Engine Valve Spring'!AA178^'Table 10-4 EstMin Tensile Strng'!$F$15)))))))))))</f>
        <v>676.66639756111999</v>
      </c>
      <c r="AC178">
        <f t="shared" si="2"/>
        <v>26.558467139447995</v>
      </c>
    </row>
    <row r="179" spans="27:29" x14ac:dyDescent="0.25">
      <c r="AA179">
        <v>17.5</v>
      </c>
      <c r="AB179">
        <f>0.56/$D$7*IF($D$11='Table 10-4 EstMin Tensile Strng'!$C$5,'Table 10-4 EstMin Tensile Strng'!$I$5/'Engine Valve Spring'!AA179^'Table 10-4 EstMin Tensile Strng'!$F$5,IF($D$11='Table 10-4 EstMin Tensile Strng'!$C$6,'Table 10-4 EstMin Tensile Strng'!$I$6/'Engine Valve Spring'!AA179^'Table 10-4 EstMin Tensile Strng'!$F$6,IF($D$11='Table 10-4 EstMin Tensile Strng'!$C$7,'Table 10-4 EstMin Tensile Strng'!$I$7/'Engine Valve Spring'!AA179^'Table 10-4 EstMin Tensile Strng'!$F$7,IF($D$11='Table 10-4 EstMin Tensile Strng'!$C$8,'Table 10-4 EstMin Tensile Strng'!$I$8/'Engine Valve Spring'!AA179^'Table 10-4 EstMin Tensile Strng'!$F$8,IF($D$11='Table 10-4 EstMin Tensile Strng'!$C$9,'Table 10-4 EstMin Tensile Strng'!$I$9/'Engine Valve Spring'!AA179^'Table 10-4 EstMin Tensile Strng'!$F$9,IF($D$11='Table 10-4 EstMin Tensile Strng'!$C$10,'Table 10-4 EstMin Tensile Strng'!$I$10/'Engine Valve Spring'!AA179^'Table 10-4 EstMin Tensile Strng'!$F$10,IF($D$11='Table 10-4 EstMin Tensile Strng'!$C$10,'Table 10-4 EstMin Tensile Strng'!$I$11/'Engine Valve Spring'!AA179^'Table 10-4 EstMin Tensile Strng'!$F$11,IF($D$11='Table 10-4 EstMin Tensile Strng'!$C$10,'Table 10-4 EstMin Tensile Strng'!$I$12/'Engine Valve Spring'!AA179^'Table 10-4 EstMin Tensile Strng'!$F$12,IF($D$11='Table 10-4 EstMin Tensile Strng'!$C$13,'Table 10-4 EstMin Tensile Strng'!$I$13/'Engine Valve Spring'!AA179^'Table 10-4 EstMin Tensile Strng'!$F$13,IF($D$11='Table 10-4 EstMin Tensile Strng'!$C$13,'Table 10-4 EstMin Tensile Strng'!$I$14/'Engine Valve Spring'!AA179^'Table 10-4 EstMin Tensile Strng'!$F$14,IF($D$11='Table 10-4 EstMin Tensile Strng'!$C$13,'Table 10-4 EstMin Tensile Strng'!$I$15/'Engine Valve Spring'!AA179^'Table 10-4 EstMin Tensile Strng'!$F$15)))))))))))</f>
        <v>676.24772959280108</v>
      </c>
      <c r="AC179">
        <f t="shared" si="2"/>
        <v>26.243298885497477</v>
      </c>
    </row>
    <row r="180" spans="27:29" x14ac:dyDescent="0.25">
      <c r="AA180">
        <v>17.600000000000001</v>
      </c>
      <c r="AB180">
        <f>0.56/$D$7*IF($D$11='Table 10-4 EstMin Tensile Strng'!$C$5,'Table 10-4 EstMin Tensile Strng'!$I$5/'Engine Valve Spring'!AA180^'Table 10-4 EstMin Tensile Strng'!$F$5,IF($D$11='Table 10-4 EstMin Tensile Strng'!$C$6,'Table 10-4 EstMin Tensile Strng'!$I$6/'Engine Valve Spring'!AA180^'Table 10-4 EstMin Tensile Strng'!$F$6,IF($D$11='Table 10-4 EstMin Tensile Strng'!$C$7,'Table 10-4 EstMin Tensile Strng'!$I$7/'Engine Valve Spring'!AA180^'Table 10-4 EstMin Tensile Strng'!$F$7,IF($D$11='Table 10-4 EstMin Tensile Strng'!$C$8,'Table 10-4 EstMin Tensile Strng'!$I$8/'Engine Valve Spring'!AA180^'Table 10-4 EstMin Tensile Strng'!$F$8,IF($D$11='Table 10-4 EstMin Tensile Strng'!$C$9,'Table 10-4 EstMin Tensile Strng'!$I$9/'Engine Valve Spring'!AA180^'Table 10-4 EstMin Tensile Strng'!$F$9,IF($D$11='Table 10-4 EstMin Tensile Strng'!$C$10,'Table 10-4 EstMin Tensile Strng'!$I$10/'Engine Valve Spring'!AA180^'Table 10-4 EstMin Tensile Strng'!$F$10,IF($D$11='Table 10-4 EstMin Tensile Strng'!$C$10,'Table 10-4 EstMin Tensile Strng'!$I$11/'Engine Valve Spring'!AA180^'Table 10-4 EstMin Tensile Strng'!$F$11,IF($D$11='Table 10-4 EstMin Tensile Strng'!$C$10,'Table 10-4 EstMin Tensile Strng'!$I$12/'Engine Valve Spring'!AA180^'Table 10-4 EstMin Tensile Strng'!$F$12,IF($D$11='Table 10-4 EstMin Tensile Strng'!$C$13,'Table 10-4 EstMin Tensile Strng'!$I$13/'Engine Valve Spring'!AA180^'Table 10-4 EstMin Tensile Strng'!$F$13,IF($D$11='Table 10-4 EstMin Tensile Strng'!$C$13,'Table 10-4 EstMin Tensile Strng'!$I$14/'Engine Valve Spring'!AA180^'Table 10-4 EstMin Tensile Strng'!$F$14,IF($D$11='Table 10-4 EstMin Tensile Strng'!$C$13,'Table 10-4 EstMin Tensile Strng'!$I$15/'Engine Valve Spring'!AA180^'Table 10-4 EstMin Tensile Strng'!$F$15)))))))))))</f>
        <v>675.83170403920906</v>
      </c>
      <c r="AC180">
        <f t="shared" si="2"/>
        <v>25.934792168359479</v>
      </c>
    </row>
    <row r="181" spans="27:29" x14ac:dyDescent="0.25">
      <c r="AA181">
        <v>17.7</v>
      </c>
      <c r="AB181">
        <f>0.56/$D$7*IF($D$11='Table 10-4 EstMin Tensile Strng'!$C$5,'Table 10-4 EstMin Tensile Strng'!$I$5/'Engine Valve Spring'!AA181^'Table 10-4 EstMin Tensile Strng'!$F$5,IF($D$11='Table 10-4 EstMin Tensile Strng'!$C$6,'Table 10-4 EstMin Tensile Strng'!$I$6/'Engine Valve Spring'!AA181^'Table 10-4 EstMin Tensile Strng'!$F$6,IF($D$11='Table 10-4 EstMin Tensile Strng'!$C$7,'Table 10-4 EstMin Tensile Strng'!$I$7/'Engine Valve Spring'!AA181^'Table 10-4 EstMin Tensile Strng'!$F$7,IF($D$11='Table 10-4 EstMin Tensile Strng'!$C$8,'Table 10-4 EstMin Tensile Strng'!$I$8/'Engine Valve Spring'!AA181^'Table 10-4 EstMin Tensile Strng'!$F$8,IF($D$11='Table 10-4 EstMin Tensile Strng'!$C$9,'Table 10-4 EstMin Tensile Strng'!$I$9/'Engine Valve Spring'!AA181^'Table 10-4 EstMin Tensile Strng'!$F$9,IF($D$11='Table 10-4 EstMin Tensile Strng'!$C$10,'Table 10-4 EstMin Tensile Strng'!$I$10/'Engine Valve Spring'!AA181^'Table 10-4 EstMin Tensile Strng'!$F$10,IF($D$11='Table 10-4 EstMin Tensile Strng'!$C$10,'Table 10-4 EstMin Tensile Strng'!$I$11/'Engine Valve Spring'!AA181^'Table 10-4 EstMin Tensile Strng'!$F$11,IF($D$11='Table 10-4 EstMin Tensile Strng'!$C$10,'Table 10-4 EstMin Tensile Strng'!$I$12/'Engine Valve Spring'!AA181^'Table 10-4 EstMin Tensile Strng'!$F$12,IF($D$11='Table 10-4 EstMin Tensile Strng'!$C$13,'Table 10-4 EstMin Tensile Strng'!$I$13/'Engine Valve Spring'!AA181^'Table 10-4 EstMin Tensile Strng'!$F$13,IF($D$11='Table 10-4 EstMin Tensile Strng'!$C$13,'Table 10-4 EstMin Tensile Strng'!$I$14/'Engine Valve Spring'!AA181^'Table 10-4 EstMin Tensile Strng'!$F$14,IF($D$11='Table 10-4 EstMin Tensile Strng'!$C$13,'Table 10-4 EstMin Tensile Strng'!$I$15/'Engine Valve Spring'!AA181^'Table 10-4 EstMin Tensile Strng'!$F$15)))))))))))</f>
        <v>675.41828935049625</v>
      </c>
      <c r="AC181">
        <f t="shared" si="2"/>
        <v>25.632774584731816</v>
      </c>
    </row>
    <row r="182" spans="27:29" x14ac:dyDescent="0.25">
      <c r="AA182">
        <v>17.8</v>
      </c>
      <c r="AB182">
        <f>0.56/$D$7*IF($D$11='Table 10-4 EstMin Tensile Strng'!$C$5,'Table 10-4 EstMin Tensile Strng'!$I$5/'Engine Valve Spring'!AA182^'Table 10-4 EstMin Tensile Strng'!$F$5,IF($D$11='Table 10-4 EstMin Tensile Strng'!$C$6,'Table 10-4 EstMin Tensile Strng'!$I$6/'Engine Valve Spring'!AA182^'Table 10-4 EstMin Tensile Strng'!$F$6,IF($D$11='Table 10-4 EstMin Tensile Strng'!$C$7,'Table 10-4 EstMin Tensile Strng'!$I$7/'Engine Valve Spring'!AA182^'Table 10-4 EstMin Tensile Strng'!$F$7,IF($D$11='Table 10-4 EstMin Tensile Strng'!$C$8,'Table 10-4 EstMin Tensile Strng'!$I$8/'Engine Valve Spring'!AA182^'Table 10-4 EstMin Tensile Strng'!$F$8,IF($D$11='Table 10-4 EstMin Tensile Strng'!$C$9,'Table 10-4 EstMin Tensile Strng'!$I$9/'Engine Valve Spring'!AA182^'Table 10-4 EstMin Tensile Strng'!$F$9,IF($D$11='Table 10-4 EstMin Tensile Strng'!$C$10,'Table 10-4 EstMin Tensile Strng'!$I$10/'Engine Valve Spring'!AA182^'Table 10-4 EstMin Tensile Strng'!$F$10,IF($D$11='Table 10-4 EstMin Tensile Strng'!$C$10,'Table 10-4 EstMin Tensile Strng'!$I$11/'Engine Valve Spring'!AA182^'Table 10-4 EstMin Tensile Strng'!$F$11,IF($D$11='Table 10-4 EstMin Tensile Strng'!$C$10,'Table 10-4 EstMin Tensile Strng'!$I$12/'Engine Valve Spring'!AA182^'Table 10-4 EstMin Tensile Strng'!$F$12,IF($D$11='Table 10-4 EstMin Tensile Strng'!$C$13,'Table 10-4 EstMin Tensile Strng'!$I$13/'Engine Valve Spring'!AA182^'Table 10-4 EstMin Tensile Strng'!$F$13,IF($D$11='Table 10-4 EstMin Tensile Strng'!$C$13,'Table 10-4 EstMin Tensile Strng'!$I$14/'Engine Valve Spring'!AA182^'Table 10-4 EstMin Tensile Strng'!$F$14,IF($D$11='Table 10-4 EstMin Tensile Strng'!$C$13,'Table 10-4 EstMin Tensile Strng'!$I$15/'Engine Valve Spring'!AA182^'Table 10-4 EstMin Tensile Strng'!$F$15)))))))))))</f>
        <v>675.00745452908586</v>
      </c>
      <c r="AC182">
        <f t="shared" si="2"/>
        <v>25.337079313418599</v>
      </c>
    </row>
    <row r="183" spans="27:29" x14ac:dyDescent="0.25">
      <c r="AA183">
        <v>17.899999999999999</v>
      </c>
      <c r="AB183">
        <f>0.56/$D$7*IF($D$11='Table 10-4 EstMin Tensile Strng'!$C$5,'Table 10-4 EstMin Tensile Strng'!$I$5/'Engine Valve Spring'!AA183^'Table 10-4 EstMin Tensile Strng'!$F$5,IF($D$11='Table 10-4 EstMin Tensile Strng'!$C$6,'Table 10-4 EstMin Tensile Strng'!$I$6/'Engine Valve Spring'!AA183^'Table 10-4 EstMin Tensile Strng'!$F$6,IF($D$11='Table 10-4 EstMin Tensile Strng'!$C$7,'Table 10-4 EstMin Tensile Strng'!$I$7/'Engine Valve Spring'!AA183^'Table 10-4 EstMin Tensile Strng'!$F$7,IF($D$11='Table 10-4 EstMin Tensile Strng'!$C$8,'Table 10-4 EstMin Tensile Strng'!$I$8/'Engine Valve Spring'!AA183^'Table 10-4 EstMin Tensile Strng'!$F$8,IF($D$11='Table 10-4 EstMin Tensile Strng'!$C$9,'Table 10-4 EstMin Tensile Strng'!$I$9/'Engine Valve Spring'!AA183^'Table 10-4 EstMin Tensile Strng'!$F$9,IF($D$11='Table 10-4 EstMin Tensile Strng'!$C$10,'Table 10-4 EstMin Tensile Strng'!$I$10/'Engine Valve Spring'!AA183^'Table 10-4 EstMin Tensile Strng'!$F$10,IF($D$11='Table 10-4 EstMin Tensile Strng'!$C$10,'Table 10-4 EstMin Tensile Strng'!$I$11/'Engine Valve Spring'!AA183^'Table 10-4 EstMin Tensile Strng'!$F$11,IF($D$11='Table 10-4 EstMin Tensile Strng'!$C$10,'Table 10-4 EstMin Tensile Strng'!$I$12/'Engine Valve Spring'!AA183^'Table 10-4 EstMin Tensile Strng'!$F$12,IF($D$11='Table 10-4 EstMin Tensile Strng'!$C$13,'Table 10-4 EstMin Tensile Strng'!$I$13/'Engine Valve Spring'!AA183^'Table 10-4 EstMin Tensile Strng'!$F$13,IF($D$11='Table 10-4 EstMin Tensile Strng'!$C$13,'Table 10-4 EstMin Tensile Strng'!$I$14/'Engine Valve Spring'!AA183^'Table 10-4 EstMin Tensile Strng'!$F$14,IF($D$11='Table 10-4 EstMin Tensile Strng'!$C$13,'Table 10-4 EstMin Tensile Strng'!$I$15/'Engine Valve Spring'!AA183^'Table 10-4 EstMin Tensile Strng'!$F$15)))))))))))</f>
        <v>674.59916911696575</v>
      </c>
      <c r="AC183">
        <f t="shared" si="2"/>
        <v>25.047544905736501</v>
      </c>
    </row>
    <row r="184" spans="27:29" x14ac:dyDescent="0.25">
      <c r="AA184">
        <v>18</v>
      </c>
      <c r="AB184">
        <f>0.56/$D$7*IF($D$11='Table 10-4 EstMin Tensile Strng'!$C$5,'Table 10-4 EstMin Tensile Strng'!$I$5/'Engine Valve Spring'!AA184^'Table 10-4 EstMin Tensile Strng'!$F$5,IF($D$11='Table 10-4 EstMin Tensile Strng'!$C$6,'Table 10-4 EstMin Tensile Strng'!$I$6/'Engine Valve Spring'!AA184^'Table 10-4 EstMin Tensile Strng'!$F$6,IF($D$11='Table 10-4 EstMin Tensile Strng'!$C$7,'Table 10-4 EstMin Tensile Strng'!$I$7/'Engine Valve Spring'!AA184^'Table 10-4 EstMin Tensile Strng'!$F$7,IF($D$11='Table 10-4 EstMin Tensile Strng'!$C$8,'Table 10-4 EstMin Tensile Strng'!$I$8/'Engine Valve Spring'!AA184^'Table 10-4 EstMin Tensile Strng'!$F$8,IF($D$11='Table 10-4 EstMin Tensile Strng'!$C$9,'Table 10-4 EstMin Tensile Strng'!$I$9/'Engine Valve Spring'!AA184^'Table 10-4 EstMin Tensile Strng'!$F$9,IF($D$11='Table 10-4 EstMin Tensile Strng'!$C$10,'Table 10-4 EstMin Tensile Strng'!$I$10/'Engine Valve Spring'!AA184^'Table 10-4 EstMin Tensile Strng'!$F$10,IF($D$11='Table 10-4 EstMin Tensile Strng'!$C$10,'Table 10-4 EstMin Tensile Strng'!$I$11/'Engine Valve Spring'!AA184^'Table 10-4 EstMin Tensile Strng'!$F$11,IF($D$11='Table 10-4 EstMin Tensile Strng'!$C$10,'Table 10-4 EstMin Tensile Strng'!$I$12/'Engine Valve Spring'!AA184^'Table 10-4 EstMin Tensile Strng'!$F$12,IF($D$11='Table 10-4 EstMin Tensile Strng'!$C$13,'Table 10-4 EstMin Tensile Strng'!$I$13/'Engine Valve Spring'!AA184^'Table 10-4 EstMin Tensile Strng'!$F$13,IF($D$11='Table 10-4 EstMin Tensile Strng'!$C$13,'Table 10-4 EstMin Tensile Strng'!$I$14/'Engine Valve Spring'!AA184^'Table 10-4 EstMin Tensile Strng'!$F$14,IF($D$11='Table 10-4 EstMin Tensile Strng'!$C$13,'Table 10-4 EstMin Tensile Strng'!$I$15/'Engine Valve Spring'!AA184^'Table 10-4 EstMin Tensile Strng'!$F$15)))))))))))</f>
        <v>674.19340318334332</v>
      </c>
      <c r="AC184">
        <f t="shared" si="2"/>
        <v>24.764015084994085</v>
      </c>
    </row>
    <row r="185" spans="27:29" x14ac:dyDescent="0.25">
      <c r="AA185">
        <v>18.100000000000001</v>
      </c>
      <c r="AB185">
        <f>0.56/$D$7*IF($D$11='Table 10-4 EstMin Tensile Strng'!$C$5,'Table 10-4 EstMin Tensile Strng'!$I$5/'Engine Valve Spring'!AA185^'Table 10-4 EstMin Tensile Strng'!$F$5,IF($D$11='Table 10-4 EstMin Tensile Strng'!$C$6,'Table 10-4 EstMin Tensile Strng'!$I$6/'Engine Valve Spring'!AA185^'Table 10-4 EstMin Tensile Strng'!$F$6,IF($D$11='Table 10-4 EstMin Tensile Strng'!$C$7,'Table 10-4 EstMin Tensile Strng'!$I$7/'Engine Valve Spring'!AA185^'Table 10-4 EstMin Tensile Strng'!$F$7,IF($D$11='Table 10-4 EstMin Tensile Strng'!$C$8,'Table 10-4 EstMin Tensile Strng'!$I$8/'Engine Valve Spring'!AA185^'Table 10-4 EstMin Tensile Strng'!$F$8,IF($D$11='Table 10-4 EstMin Tensile Strng'!$C$9,'Table 10-4 EstMin Tensile Strng'!$I$9/'Engine Valve Spring'!AA185^'Table 10-4 EstMin Tensile Strng'!$F$9,IF($D$11='Table 10-4 EstMin Tensile Strng'!$C$10,'Table 10-4 EstMin Tensile Strng'!$I$10/'Engine Valve Spring'!AA185^'Table 10-4 EstMin Tensile Strng'!$F$10,IF($D$11='Table 10-4 EstMin Tensile Strng'!$C$10,'Table 10-4 EstMin Tensile Strng'!$I$11/'Engine Valve Spring'!AA185^'Table 10-4 EstMin Tensile Strng'!$F$11,IF($D$11='Table 10-4 EstMin Tensile Strng'!$C$10,'Table 10-4 EstMin Tensile Strng'!$I$12/'Engine Valve Spring'!AA185^'Table 10-4 EstMin Tensile Strng'!$F$12,IF($D$11='Table 10-4 EstMin Tensile Strng'!$C$13,'Table 10-4 EstMin Tensile Strng'!$I$13/'Engine Valve Spring'!AA185^'Table 10-4 EstMin Tensile Strng'!$F$13,IF($D$11='Table 10-4 EstMin Tensile Strng'!$C$13,'Table 10-4 EstMin Tensile Strng'!$I$14/'Engine Valve Spring'!AA185^'Table 10-4 EstMin Tensile Strng'!$F$14,IF($D$11='Table 10-4 EstMin Tensile Strng'!$C$13,'Table 10-4 EstMin Tensile Strng'!$I$15/'Engine Valve Spring'!AA185^'Table 10-4 EstMin Tensile Strng'!$F$15)))))))))))</f>
        <v>673.79012731265004</v>
      </c>
      <c r="AC185">
        <f t="shared" si="2"/>
        <v>24.486338554604483</v>
      </c>
    </row>
    <row r="186" spans="27:29" x14ac:dyDescent="0.25">
      <c r="AA186">
        <v>18.2</v>
      </c>
      <c r="AB186">
        <f>0.56/$D$7*IF($D$11='Table 10-4 EstMin Tensile Strng'!$C$5,'Table 10-4 EstMin Tensile Strng'!$I$5/'Engine Valve Spring'!AA186^'Table 10-4 EstMin Tensile Strng'!$F$5,IF($D$11='Table 10-4 EstMin Tensile Strng'!$C$6,'Table 10-4 EstMin Tensile Strng'!$I$6/'Engine Valve Spring'!AA186^'Table 10-4 EstMin Tensile Strng'!$F$6,IF($D$11='Table 10-4 EstMin Tensile Strng'!$C$7,'Table 10-4 EstMin Tensile Strng'!$I$7/'Engine Valve Spring'!AA186^'Table 10-4 EstMin Tensile Strng'!$F$7,IF($D$11='Table 10-4 EstMin Tensile Strng'!$C$8,'Table 10-4 EstMin Tensile Strng'!$I$8/'Engine Valve Spring'!AA186^'Table 10-4 EstMin Tensile Strng'!$F$8,IF($D$11='Table 10-4 EstMin Tensile Strng'!$C$9,'Table 10-4 EstMin Tensile Strng'!$I$9/'Engine Valve Spring'!AA186^'Table 10-4 EstMin Tensile Strng'!$F$9,IF($D$11='Table 10-4 EstMin Tensile Strng'!$C$10,'Table 10-4 EstMin Tensile Strng'!$I$10/'Engine Valve Spring'!AA186^'Table 10-4 EstMin Tensile Strng'!$F$10,IF($D$11='Table 10-4 EstMin Tensile Strng'!$C$10,'Table 10-4 EstMin Tensile Strng'!$I$11/'Engine Valve Spring'!AA186^'Table 10-4 EstMin Tensile Strng'!$F$11,IF($D$11='Table 10-4 EstMin Tensile Strng'!$C$10,'Table 10-4 EstMin Tensile Strng'!$I$12/'Engine Valve Spring'!AA186^'Table 10-4 EstMin Tensile Strng'!$F$12,IF($D$11='Table 10-4 EstMin Tensile Strng'!$C$13,'Table 10-4 EstMin Tensile Strng'!$I$13/'Engine Valve Spring'!AA186^'Table 10-4 EstMin Tensile Strng'!$F$13,IF($D$11='Table 10-4 EstMin Tensile Strng'!$C$13,'Table 10-4 EstMin Tensile Strng'!$I$14/'Engine Valve Spring'!AA186^'Table 10-4 EstMin Tensile Strng'!$F$14,IF($D$11='Table 10-4 EstMin Tensile Strng'!$C$13,'Table 10-4 EstMin Tensile Strng'!$I$15/'Engine Valve Spring'!AA186^'Table 10-4 EstMin Tensile Strng'!$F$15)))))))))))</f>
        <v>673.38931259288404</v>
      </c>
      <c r="AC186">
        <f t="shared" si="2"/>
        <v>24.214368814414939</v>
      </c>
    </row>
    <row r="187" spans="27:29" x14ac:dyDescent="0.25">
      <c r="AA187">
        <v>18.3</v>
      </c>
      <c r="AB187">
        <f>0.56/$D$7*IF($D$11='Table 10-4 EstMin Tensile Strng'!$C$5,'Table 10-4 EstMin Tensile Strng'!$I$5/'Engine Valve Spring'!AA187^'Table 10-4 EstMin Tensile Strng'!$F$5,IF($D$11='Table 10-4 EstMin Tensile Strng'!$C$6,'Table 10-4 EstMin Tensile Strng'!$I$6/'Engine Valve Spring'!AA187^'Table 10-4 EstMin Tensile Strng'!$F$6,IF($D$11='Table 10-4 EstMin Tensile Strng'!$C$7,'Table 10-4 EstMin Tensile Strng'!$I$7/'Engine Valve Spring'!AA187^'Table 10-4 EstMin Tensile Strng'!$F$7,IF($D$11='Table 10-4 EstMin Tensile Strng'!$C$8,'Table 10-4 EstMin Tensile Strng'!$I$8/'Engine Valve Spring'!AA187^'Table 10-4 EstMin Tensile Strng'!$F$8,IF($D$11='Table 10-4 EstMin Tensile Strng'!$C$9,'Table 10-4 EstMin Tensile Strng'!$I$9/'Engine Valve Spring'!AA187^'Table 10-4 EstMin Tensile Strng'!$F$9,IF($D$11='Table 10-4 EstMin Tensile Strng'!$C$10,'Table 10-4 EstMin Tensile Strng'!$I$10/'Engine Valve Spring'!AA187^'Table 10-4 EstMin Tensile Strng'!$F$10,IF($D$11='Table 10-4 EstMin Tensile Strng'!$C$10,'Table 10-4 EstMin Tensile Strng'!$I$11/'Engine Valve Spring'!AA187^'Table 10-4 EstMin Tensile Strng'!$F$11,IF($D$11='Table 10-4 EstMin Tensile Strng'!$C$10,'Table 10-4 EstMin Tensile Strng'!$I$12/'Engine Valve Spring'!AA187^'Table 10-4 EstMin Tensile Strng'!$F$12,IF($D$11='Table 10-4 EstMin Tensile Strng'!$C$13,'Table 10-4 EstMin Tensile Strng'!$I$13/'Engine Valve Spring'!AA187^'Table 10-4 EstMin Tensile Strng'!$F$13,IF($D$11='Table 10-4 EstMin Tensile Strng'!$C$13,'Table 10-4 EstMin Tensile Strng'!$I$14/'Engine Valve Spring'!AA187^'Table 10-4 EstMin Tensile Strng'!$F$14,IF($D$11='Table 10-4 EstMin Tensile Strng'!$C$13,'Table 10-4 EstMin Tensile Strng'!$I$15/'Engine Valve Spring'!AA187^'Table 10-4 EstMin Tensile Strng'!$F$15)))))))))))</f>
        <v>672.99093060427685</v>
      </c>
      <c r="AC187">
        <f t="shared" si="2"/>
        <v>23.947963984859197</v>
      </c>
    </row>
    <row r="188" spans="27:29" x14ac:dyDescent="0.25">
      <c r="AA188">
        <v>18.399999999999999</v>
      </c>
      <c r="AB188">
        <f>0.56/$D$7*IF($D$11='Table 10-4 EstMin Tensile Strng'!$C$5,'Table 10-4 EstMin Tensile Strng'!$I$5/'Engine Valve Spring'!AA188^'Table 10-4 EstMin Tensile Strng'!$F$5,IF($D$11='Table 10-4 EstMin Tensile Strng'!$C$6,'Table 10-4 EstMin Tensile Strng'!$I$6/'Engine Valve Spring'!AA188^'Table 10-4 EstMin Tensile Strng'!$F$6,IF($D$11='Table 10-4 EstMin Tensile Strng'!$C$7,'Table 10-4 EstMin Tensile Strng'!$I$7/'Engine Valve Spring'!AA188^'Table 10-4 EstMin Tensile Strng'!$F$7,IF($D$11='Table 10-4 EstMin Tensile Strng'!$C$8,'Table 10-4 EstMin Tensile Strng'!$I$8/'Engine Valve Spring'!AA188^'Table 10-4 EstMin Tensile Strng'!$F$8,IF($D$11='Table 10-4 EstMin Tensile Strng'!$C$9,'Table 10-4 EstMin Tensile Strng'!$I$9/'Engine Valve Spring'!AA188^'Table 10-4 EstMin Tensile Strng'!$F$9,IF($D$11='Table 10-4 EstMin Tensile Strng'!$C$10,'Table 10-4 EstMin Tensile Strng'!$I$10/'Engine Valve Spring'!AA188^'Table 10-4 EstMin Tensile Strng'!$F$10,IF($D$11='Table 10-4 EstMin Tensile Strng'!$C$10,'Table 10-4 EstMin Tensile Strng'!$I$11/'Engine Valve Spring'!AA188^'Table 10-4 EstMin Tensile Strng'!$F$11,IF($D$11='Table 10-4 EstMin Tensile Strng'!$C$10,'Table 10-4 EstMin Tensile Strng'!$I$12/'Engine Valve Spring'!AA188^'Table 10-4 EstMin Tensile Strng'!$F$12,IF($D$11='Table 10-4 EstMin Tensile Strng'!$C$13,'Table 10-4 EstMin Tensile Strng'!$I$13/'Engine Valve Spring'!AA188^'Table 10-4 EstMin Tensile Strng'!$F$13,IF($D$11='Table 10-4 EstMin Tensile Strng'!$C$13,'Table 10-4 EstMin Tensile Strng'!$I$14/'Engine Valve Spring'!AA188^'Table 10-4 EstMin Tensile Strng'!$F$14,IF($D$11='Table 10-4 EstMin Tensile Strng'!$C$13,'Table 10-4 EstMin Tensile Strng'!$I$15/'Engine Valve Spring'!AA188^'Table 10-4 EstMin Tensile Strng'!$F$15)))))))))))</f>
        <v>672.59495340827857</v>
      </c>
      <c r="AC188">
        <f t="shared" si="2"/>
        <v>23.686986638560033</v>
      </c>
    </row>
    <row r="189" spans="27:29" x14ac:dyDescent="0.25">
      <c r="AA189">
        <v>18.5</v>
      </c>
      <c r="AB189">
        <f>0.56/$D$7*IF($D$11='Table 10-4 EstMin Tensile Strng'!$C$5,'Table 10-4 EstMin Tensile Strng'!$I$5/'Engine Valve Spring'!AA189^'Table 10-4 EstMin Tensile Strng'!$F$5,IF($D$11='Table 10-4 EstMin Tensile Strng'!$C$6,'Table 10-4 EstMin Tensile Strng'!$I$6/'Engine Valve Spring'!AA189^'Table 10-4 EstMin Tensile Strng'!$F$6,IF($D$11='Table 10-4 EstMin Tensile Strng'!$C$7,'Table 10-4 EstMin Tensile Strng'!$I$7/'Engine Valve Spring'!AA189^'Table 10-4 EstMin Tensile Strng'!$F$7,IF($D$11='Table 10-4 EstMin Tensile Strng'!$C$8,'Table 10-4 EstMin Tensile Strng'!$I$8/'Engine Valve Spring'!AA189^'Table 10-4 EstMin Tensile Strng'!$F$8,IF($D$11='Table 10-4 EstMin Tensile Strng'!$C$9,'Table 10-4 EstMin Tensile Strng'!$I$9/'Engine Valve Spring'!AA189^'Table 10-4 EstMin Tensile Strng'!$F$9,IF($D$11='Table 10-4 EstMin Tensile Strng'!$C$10,'Table 10-4 EstMin Tensile Strng'!$I$10/'Engine Valve Spring'!AA189^'Table 10-4 EstMin Tensile Strng'!$F$10,IF($D$11='Table 10-4 EstMin Tensile Strng'!$C$10,'Table 10-4 EstMin Tensile Strng'!$I$11/'Engine Valve Spring'!AA189^'Table 10-4 EstMin Tensile Strng'!$F$11,IF($D$11='Table 10-4 EstMin Tensile Strng'!$C$10,'Table 10-4 EstMin Tensile Strng'!$I$12/'Engine Valve Spring'!AA189^'Table 10-4 EstMin Tensile Strng'!$F$12,IF($D$11='Table 10-4 EstMin Tensile Strng'!$C$13,'Table 10-4 EstMin Tensile Strng'!$I$13/'Engine Valve Spring'!AA189^'Table 10-4 EstMin Tensile Strng'!$F$13,IF($D$11='Table 10-4 EstMin Tensile Strng'!$C$13,'Table 10-4 EstMin Tensile Strng'!$I$14/'Engine Valve Spring'!AA189^'Table 10-4 EstMin Tensile Strng'!$F$14,IF($D$11='Table 10-4 EstMin Tensile Strng'!$C$13,'Table 10-4 EstMin Tensile Strng'!$I$15/'Engine Valve Spring'!AA189^'Table 10-4 EstMin Tensile Strng'!$F$15)))))))))))</f>
        <v>672.20135353684498</v>
      </c>
      <c r="AC189">
        <f t="shared" si="2"/>
        <v>23.431303639028336</v>
      </c>
    </row>
    <row r="190" spans="27:29" x14ac:dyDescent="0.25">
      <c r="AA190">
        <v>18.600000000000001</v>
      </c>
      <c r="AB190">
        <f>0.56/$D$7*IF($D$11='Table 10-4 EstMin Tensile Strng'!$C$5,'Table 10-4 EstMin Tensile Strng'!$I$5/'Engine Valve Spring'!AA190^'Table 10-4 EstMin Tensile Strng'!$F$5,IF($D$11='Table 10-4 EstMin Tensile Strng'!$C$6,'Table 10-4 EstMin Tensile Strng'!$I$6/'Engine Valve Spring'!AA190^'Table 10-4 EstMin Tensile Strng'!$F$6,IF($D$11='Table 10-4 EstMin Tensile Strng'!$C$7,'Table 10-4 EstMin Tensile Strng'!$I$7/'Engine Valve Spring'!AA190^'Table 10-4 EstMin Tensile Strng'!$F$7,IF($D$11='Table 10-4 EstMin Tensile Strng'!$C$8,'Table 10-4 EstMin Tensile Strng'!$I$8/'Engine Valve Spring'!AA190^'Table 10-4 EstMin Tensile Strng'!$F$8,IF($D$11='Table 10-4 EstMin Tensile Strng'!$C$9,'Table 10-4 EstMin Tensile Strng'!$I$9/'Engine Valve Spring'!AA190^'Table 10-4 EstMin Tensile Strng'!$F$9,IF($D$11='Table 10-4 EstMin Tensile Strng'!$C$10,'Table 10-4 EstMin Tensile Strng'!$I$10/'Engine Valve Spring'!AA190^'Table 10-4 EstMin Tensile Strng'!$F$10,IF($D$11='Table 10-4 EstMin Tensile Strng'!$C$10,'Table 10-4 EstMin Tensile Strng'!$I$11/'Engine Valve Spring'!AA190^'Table 10-4 EstMin Tensile Strng'!$F$11,IF($D$11='Table 10-4 EstMin Tensile Strng'!$C$10,'Table 10-4 EstMin Tensile Strng'!$I$12/'Engine Valve Spring'!AA190^'Table 10-4 EstMin Tensile Strng'!$F$12,IF($D$11='Table 10-4 EstMin Tensile Strng'!$C$13,'Table 10-4 EstMin Tensile Strng'!$I$13/'Engine Valve Spring'!AA190^'Table 10-4 EstMin Tensile Strng'!$F$13,IF($D$11='Table 10-4 EstMin Tensile Strng'!$C$13,'Table 10-4 EstMin Tensile Strng'!$I$14/'Engine Valve Spring'!AA190^'Table 10-4 EstMin Tensile Strng'!$F$14,IF($D$11='Table 10-4 EstMin Tensile Strng'!$C$13,'Table 10-4 EstMin Tensile Strng'!$I$15/'Engine Valve Spring'!AA190^'Table 10-4 EstMin Tensile Strng'!$F$15)))))))))))</f>
        <v>671.81010398202159</v>
      </c>
      <c r="AC190">
        <f t="shared" si="2"/>
        <v>23.18078598612454</v>
      </c>
    </row>
    <row r="191" spans="27:29" x14ac:dyDescent="0.25">
      <c r="AA191">
        <v>18.7</v>
      </c>
      <c r="AB191">
        <f>0.56/$D$7*IF($D$11='Table 10-4 EstMin Tensile Strng'!$C$5,'Table 10-4 EstMin Tensile Strng'!$I$5/'Engine Valve Spring'!AA191^'Table 10-4 EstMin Tensile Strng'!$F$5,IF($D$11='Table 10-4 EstMin Tensile Strng'!$C$6,'Table 10-4 EstMin Tensile Strng'!$I$6/'Engine Valve Spring'!AA191^'Table 10-4 EstMin Tensile Strng'!$F$6,IF($D$11='Table 10-4 EstMin Tensile Strng'!$C$7,'Table 10-4 EstMin Tensile Strng'!$I$7/'Engine Valve Spring'!AA191^'Table 10-4 EstMin Tensile Strng'!$F$7,IF($D$11='Table 10-4 EstMin Tensile Strng'!$C$8,'Table 10-4 EstMin Tensile Strng'!$I$8/'Engine Valve Spring'!AA191^'Table 10-4 EstMin Tensile Strng'!$F$8,IF($D$11='Table 10-4 EstMin Tensile Strng'!$C$9,'Table 10-4 EstMin Tensile Strng'!$I$9/'Engine Valve Spring'!AA191^'Table 10-4 EstMin Tensile Strng'!$F$9,IF($D$11='Table 10-4 EstMin Tensile Strng'!$C$10,'Table 10-4 EstMin Tensile Strng'!$I$10/'Engine Valve Spring'!AA191^'Table 10-4 EstMin Tensile Strng'!$F$10,IF($D$11='Table 10-4 EstMin Tensile Strng'!$C$10,'Table 10-4 EstMin Tensile Strng'!$I$11/'Engine Valve Spring'!AA191^'Table 10-4 EstMin Tensile Strng'!$F$11,IF($D$11='Table 10-4 EstMin Tensile Strng'!$C$10,'Table 10-4 EstMin Tensile Strng'!$I$12/'Engine Valve Spring'!AA191^'Table 10-4 EstMin Tensile Strng'!$F$12,IF($D$11='Table 10-4 EstMin Tensile Strng'!$C$13,'Table 10-4 EstMin Tensile Strng'!$I$13/'Engine Valve Spring'!AA191^'Table 10-4 EstMin Tensile Strng'!$F$13,IF($D$11='Table 10-4 EstMin Tensile Strng'!$C$13,'Table 10-4 EstMin Tensile Strng'!$I$14/'Engine Valve Spring'!AA191^'Table 10-4 EstMin Tensile Strng'!$F$14,IF($D$11='Table 10-4 EstMin Tensile Strng'!$C$13,'Table 10-4 EstMin Tensile Strng'!$I$15/'Engine Valve Spring'!AA191^'Table 10-4 EstMin Tensile Strng'!$F$15)))))))))))</f>
        <v>671.42117818581164</v>
      </c>
      <c r="AC191">
        <f t="shared" si="2"/>
        <v>22.935308667965174</v>
      </c>
    </row>
    <row r="192" spans="27:29" x14ac:dyDescent="0.25">
      <c r="AA192">
        <v>18.8</v>
      </c>
      <c r="AB192">
        <f>0.56/$D$7*IF($D$11='Table 10-4 EstMin Tensile Strng'!$C$5,'Table 10-4 EstMin Tensile Strng'!$I$5/'Engine Valve Spring'!AA192^'Table 10-4 EstMin Tensile Strng'!$F$5,IF($D$11='Table 10-4 EstMin Tensile Strng'!$C$6,'Table 10-4 EstMin Tensile Strng'!$I$6/'Engine Valve Spring'!AA192^'Table 10-4 EstMin Tensile Strng'!$F$6,IF($D$11='Table 10-4 EstMin Tensile Strng'!$C$7,'Table 10-4 EstMin Tensile Strng'!$I$7/'Engine Valve Spring'!AA192^'Table 10-4 EstMin Tensile Strng'!$F$7,IF($D$11='Table 10-4 EstMin Tensile Strng'!$C$8,'Table 10-4 EstMin Tensile Strng'!$I$8/'Engine Valve Spring'!AA192^'Table 10-4 EstMin Tensile Strng'!$F$8,IF($D$11='Table 10-4 EstMin Tensile Strng'!$C$9,'Table 10-4 EstMin Tensile Strng'!$I$9/'Engine Valve Spring'!AA192^'Table 10-4 EstMin Tensile Strng'!$F$9,IF($D$11='Table 10-4 EstMin Tensile Strng'!$C$10,'Table 10-4 EstMin Tensile Strng'!$I$10/'Engine Valve Spring'!AA192^'Table 10-4 EstMin Tensile Strng'!$F$10,IF($D$11='Table 10-4 EstMin Tensile Strng'!$C$10,'Table 10-4 EstMin Tensile Strng'!$I$11/'Engine Valve Spring'!AA192^'Table 10-4 EstMin Tensile Strng'!$F$11,IF($D$11='Table 10-4 EstMin Tensile Strng'!$C$10,'Table 10-4 EstMin Tensile Strng'!$I$12/'Engine Valve Spring'!AA192^'Table 10-4 EstMin Tensile Strng'!$F$12,IF($D$11='Table 10-4 EstMin Tensile Strng'!$C$13,'Table 10-4 EstMin Tensile Strng'!$I$13/'Engine Valve Spring'!AA192^'Table 10-4 EstMin Tensile Strng'!$F$13,IF($D$11='Table 10-4 EstMin Tensile Strng'!$C$13,'Table 10-4 EstMin Tensile Strng'!$I$14/'Engine Valve Spring'!AA192^'Table 10-4 EstMin Tensile Strng'!$F$14,IF($D$11='Table 10-4 EstMin Tensile Strng'!$C$13,'Table 10-4 EstMin Tensile Strng'!$I$15/'Engine Valve Spring'!AA192^'Table 10-4 EstMin Tensile Strng'!$F$15)))))))))))</f>
        <v>671.03455003032127</v>
      </c>
      <c r="AC192">
        <f t="shared" si="2"/>
        <v>22.694750518974057</v>
      </c>
    </row>
    <row r="193" spans="27:29" x14ac:dyDescent="0.25">
      <c r="AA193">
        <v>18.899999999999999</v>
      </c>
      <c r="AB193">
        <f>0.56/$D$7*IF($D$11='Table 10-4 EstMin Tensile Strng'!$C$5,'Table 10-4 EstMin Tensile Strng'!$I$5/'Engine Valve Spring'!AA193^'Table 10-4 EstMin Tensile Strng'!$F$5,IF($D$11='Table 10-4 EstMin Tensile Strng'!$C$6,'Table 10-4 EstMin Tensile Strng'!$I$6/'Engine Valve Spring'!AA193^'Table 10-4 EstMin Tensile Strng'!$F$6,IF($D$11='Table 10-4 EstMin Tensile Strng'!$C$7,'Table 10-4 EstMin Tensile Strng'!$I$7/'Engine Valve Spring'!AA193^'Table 10-4 EstMin Tensile Strng'!$F$7,IF($D$11='Table 10-4 EstMin Tensile Strng'!$C$8,'Table 10-4 EstMin Tensile Strng'!$I$8/'Engine Valve Spring'!AA193^'Table 10-4 EstMin Tensile Strng'!$F$8,IF($D$11='Table 10-4 EstMin Tensile Strng'!$C$9,'Table 10-4 EstMin Tensile Strng'!$I$9/'Engine Valve Spring'!AA193^'Table 10-4 EstMin Tensile Strng'!$F$9,IF($D$11='Table 10-4 EstMin Tensile Strng'!$C$10,'Table 10-4 EstMin Tensile Strng'!$I$10/'Engine Valve Spring'!AA193^'Table 10-4 EstMin Tensile Strng'!$F$10,IF($D$11='Table 10-4 EstMin Tensile Strng'!$C$10,'Table 10-4 EstMin Tensile Strng'!$I$11/'Engine Valve Spring'!AA193^'Table 10-4 EstMin Tensile Strng'!$F$11,IF($D$11='Table 10-4 EstMin Tensile Strng'!$C$10,'Table 10-4 EstMin Tensile Strng'!$I$12/'Engine Valve Spring'!AA193^'Table 10-4 EstMin Tensile Strng'!$F$12,IF($D$11='Table 10-4 EstMin Tensile Strng'!$C$13,'Table 10-4 EstMin Tensile Strng'!$I$13/'Engine Valve Spring'!AA193^'Table 10-4 EstMin Tensile Strng'!$F$13,IF($D$11='Table 10-4 EstMin Tensile Strng'!$C$13,'Table 10-4 EstMin Tensile Strng'!$I$14/'Engine Valve Spring'!AA193^'Table 10-4 EstMin Tensile Strng'!$F$14,IF($D$11='Table 10-4 EstMin Tensile Strng'!$C$13,'Table 10-4 EstMin Tensile Strng'!$I$15/'Engine Valve Spring'!AA193^'Table 10-4 EstMin Tensile Strng'!$F$15)))))))))))</f>
        <v>670.65019382817013</v>
      </c>
      <c r="AC193">
        <f t="shared" si="2"/>
        <v>22.45899408379351</v>
      </c>
    </row>
    <row r="194" spans="27:29" x14ac:dyDescent="0.25">
      <c r="AA194">
        <v>19</v>
      </c>
      <c r="AB194">
        <f>0.56/$D$7*IF($D$11='Table 10-4 EstMin Tensile Strng'!$C$5,'Table 10-4 EstMin Tensile Strng'!$I$5/'Engine Valve Spring'!AA194^'Table 10-4 EstMin Tensile Strng'!$F$5,IF($D$11='Table 10-4 EstMin Tensile Strng'!$C$6,'Table 10-4 EstMin Tensile Strng'!$I$6/'Engine Valve Spring'!AA194^'Table 10-4 EstMin Tensile Strng'!$F$6,IF($D$11='Table 10-4 EstMin Tensile Strng'!$C$7,'Table 10-4 EstMin Tensile Strng'!$I$7/'Engine Valve Spring'!AA194^'Table 10-4 EstMin Tensile Strng'!$F$7,IF($D$11='Table 10-4 EstMin Tensile Strng'!$C$8,'Table 10-4 EstMin Tensile Strng'!$I$8/'Engine Valve Spring'!AA194^'Table 10-4 EstMin Tensile Strng'!$F$8,IF($D$11='Table 10-4 EstMin Tensile Strng'!$C$9,'Table 10-4 EstMin Tensile Strng'!$I$9/'Engine Valve Spring'!AA194^'Table 10-4 EstMin Tensile Strng'!$F$9,IF($D$11='Table 10-4 EstMin Tensile Strng'!$C$10,'Table 10-4 EstMin Tensile Strng'!$I$10/'Engine Valve Spring'!AA194^'Table 10-4 EstMin Tensile Strng'!$F$10,IF($D$11='Table 10-4 EstMin Tensile Strng'!$C$10,'Table 10-4 EstMin Tensile Strng'!$I$11/'Engine Valve Spring'!AA194^'Table 10-4 EstMin Tensile Strng'!$F$11,IF($D$11='Table 10-4 EstMin Tensile Strng'!$C$10,'Table 10-4 EstMin Tensile Strng'!$I$12/'Engine Valve Spring'!AA194^'Table 10-4 EstMin Tensile Strng'!$F$12,IF($D$11='Table 10-4 EstMin Tensile Strng'!$C$13,'Table 10-4 EstMin Tensile Strng'!$I$13/'Engine Valve Spring'!AA194^'Table 10-4 EstMin Tensile Strng'!$F$13,IF($D$11='Table 10-4 EstMin Tensile Strng'!$C$13,'Table 10-4 EstMin Tensile Strng'!$I$14/'Engine Valve Spring'!AA194^'Table 10-4 EstMin Tensile Strng'!$F$14,IF($D$11='Table 10-4 EstMin Tensile Strng'!$C$13,'Table 10-4 EstMin Tensile Strng'!$I$15/'Engine Valve Spring'!AA194^'Table 10-4 EstMin Tensile Strng'!$F$15)))))))))))</f>
        <v>670.26808431316181</v>
      </c>
      <c r="AC194">
        <f t="shared" si="2"/>
        <v>22.227925486785107</v>
      </c>
    </row>
    <row r="195" spans="27:29" x14ac:dyDescent="0.25">
      <c r="AA195">
        <v>19.100000000000001</v>
      </c>
      <c r="AB195">
        <f>0.56/$D$7*IF($D$11='Table 10-4 EstMin Tensile Strng'!$C$5,'Table 10-4 EstMin Tensile Strng'!$I$5/'Engine Valve Spring'!AA195^'Table 10-4 EstMin Tensile Strng'!$F$5,IF($D$11='Table 10-4 EstMin Tensile Strng'!$C$6,'Table 10-4 EstMin Tensile Strng'!$I$6/'Engine Valve Spring'!AA195^'Table 10-4 EstMin Tensile Strng'!$F$6,IF($D$11='Table 10-4 EstMin Tensile Strng'!$C$7,'Table 10-4 EstMin Tensile Strng'!$I$7/'Engine Valve Spring'!AA195^'Table 10-4 EstMin Tensile Strng'!$F$7,IF($D$11='Table 10-4 EstMin Tensile Strng'!$C$8,'Table 10-4 EstMin Tensile Strng'!$I$8/'Engine Valve Spring'!AA195^'Table 10-4 EstMin Tensile Strng'!$F$8,IF($D$11='Table 10-4 EstMin Tensile Strng'!$C$9,'Table 10-4 EstMin Tensile Strng'!$I$9/'Engine Valve Spring'!AA195^'Table 10-4 EstMin Tensile Strng'!$F$9,IF($D$11='Table 10-4 EstMin Tensile Strng'!$C$10,'Table 10-4 EstMin Tensile Strng'!$I$10/'Engine Valve Spring'!AA195^'Table 10-4 EstMin Tensile Strng'!$F$10,IF($D$11='Table 10-4 EstMin Tensile Strng'!$C$10,'Table 10-4 EstMin Tensile Strng'!$I$11/'Engine Valve Spring'!AA195^'Table 10-4 EstMin Tensile Strng'!$F$11,IF($D$11='Table 10-4 EstMin Tensile Strng'!$C$10,'Table 10-4 EstMin Tensile Strng'!$I$12/'Engine Valve Spring'!AA195^'Table 10-4 EstMin Tensile Strng'!$F$12,IF($D$11='Table 10-4 EstMin Tensile Strng'!$C$13,'Table 10-4 EstMin Tensile Strng'!$I$13/'Engine Valve Spring'!AA195^'Table 10-4 EstMin Tensile Strng'!$F$13,IF($D$11='Table 10-4 EstMin Tensile Strng'!$C$13,'Table 10-4 EstMin Tensile Strng'!$I$14/'Engine Valve Spring'!AA195^'Table 10-4 EstMin Tensile Strng'!$F$14,IF($D$11='Table 10-4 EstMin Tensile Strng'!$C$13,'Table 10-4 EstMin Tensile Strng'!$I$15/'Engine Valve Spring'!AA195^'Table 10-4 EstMin Tensile Strng'!$F$15)))))))))))</f>
        <v>669.88819663120341</v>
      </c>
      <c r="AC195">
        <f t="shared" si="2"/>
        <v>22.00143430686402</v>
      </c>
    </row>
    <row r="196" spans="27:29" x14ac:dyDescent="0.25">
      <c r="AA196">
        <v>19.2</v>
      </c>
      <c r="AB196">
        <f>0.56/$D$7*IF($D$11='Table 10-4 EstMin Tensile Strng'!$C$5,'Table 10-4 EstMin Tensile Strng'!$I$5/'Engine Valve Spring'!AA196^'Table 10-4 EstMin Tensile Strng'!$F$5,IF($D$11='Table 10-4 EstMin Tensile Strng'!$C$6,'Table 10-4 EstMin Tensile Strng'!$I$6/'Engine Valve Spring'!AA196^'Table 10-4 EstMin Tensile Strng'!$F$6,IF($D$11='Table 10-4 EstMin Tensile Strng'!$C$7,'Table 10-4 EstMin Tensile Strng'!$I$7/'Engine Valve Spring'!AA196^'Table 10-4 EstMin Tensile Strng'!$F$7,IF($D$11='Table 10-4 EstMin Tensile Strng'!$C$8,'Table 10-4 EstMin Tensile Strng'!$I$8/'Engine Valve Spring'!AA196^'Table 10-4 EstMin Tensile Strng'!$F$8,IF($D$11='Table 10-4 EstMin Tensile Strng'!$C$9,'Table 10-4 EstMin Tensile Strng'!$I$9/'Engine Valve Spring'!AA196^'Table 10-4 EstMin Tensile Strng'!$F$9,IF($D$11='Table 10-4 EstMin Tensile Strng'!$C$10,'Table 10-4 EstMin Tensile Strng'!$I$10/'Engine Valve Spring'!AA196^'Table 10-4 EstMin Tensile Strng'!$F$10,IF($D$11='Table 10-4 EstMin Tensile Strng'!$C$10,'Table 10-4 EstMin Tensile Strng'!$I$11/'Engine Valve Spring'!AA196^'Table 10-4 EstMin Tensile Strng'!$F$11,IF($D$11='Table 10-4 EstMin Tensile Strng'!$C$10,'Table 10-4 EstMin Tensile Strng'!$I$12/'Engine Valve Spring'!AA196^'Table 10-4 EstMin Tensile Strng'!$F$12,IF($D$11='Table 10-4 EstMin Tensile Strng'!$C$13,'Table 10-4 EstMin Tensile Strng'!$I$13/'Engine Valve Spring'!AA196^'Table 10-4 EstMin Tensile Strng'!$F$13,IF($D$11='Table 10-4 EstMin Tensile Strng'!$C$13,'Table 10-4 EstMin Tensile Strng'!$I$14/'Engine Valve Spring'!AA196^'Table 10-4 EstMin Tensile Strng'!$F$14,IF($D$11='Table 10-4 EstMin Tensile Strng'!$C$13,'Table 10-4 EstMin Tensile Strng'!$I$15/'Engine Valve Spring'!AA196^'Table 10-4 EstMin Tensile Strng'!$F$15)))))))))))</f>
        <v>669.51050633146815</v>
      </c>
      <c r="AC196">
        <f t="shared" si="2"/>
        <v>21.779413457423527</v>
      </c>
    </row>
    <row r="197" spans="27:29" x14ac:dyDescent="0.25">
      <c r="AA197">
        <v>19.3</v>
      </c>
      <c r="AB197">
        <f>0.56/$D$7*IF($D$11='Table 10-4 EstMin Tensile Strng'!$C$5,'Table 10-4 EstMin Tensile Strng'!$I$5/'Engine Valve Spring'!AA197^'Table 10-4 EstMin Tensile Strng'!$F$5,IF($D$11='Table 10-4 EstMin Tensile Strng'!$C$6,'Table 10-4 EstMin Tensile Strng'!$I$6/'Engine Valve Spring'!AA197^'Table 10-4 EstMin Tensile Strng'!$F$6,IF($D$11='Table 10-4 EstMin Tensile Strng'!$C$7,'Table 10-4 EstMin Tensile Strng'!$I$7/'Engine Valve Spring'!AA197^'Table 10-4 EstMin Tensile Strng'!$F$7,IF($D$11='Table 10-4 EstMin Tensile Strng'!$C$8,'Table 10-4 EstMin Tensile Strng'!$I$8/'Engine Valve Spring'!AA197^'Table 10-4 EstMin Tensile Strng'!$F$8,IF($D$11='Table 10-4 EstMin Tensile Strng'!$C$9,'Table 10-4 EstMin Tensile Strng'!$I$9/'Engine Valve Spring'!AA197^'Table 10-4 EstMin Tensile Strng'!$F$9,IF($D$11='Table 10-4 EstMin Tensile Strng'!$C$10,'Table 10-4 EstMin Tensile Strng'!$I$10/'Engine Valve Spring'!AA197^'Table 10-4 EstMin Tensile Strng'!$F$10,IF($D$11='Table 10-4 EstMin Tensile Strng'!$C$10,'Table 10-4 EstMin Tensile Strng'!$I$11/'Engine Valve Spring'!AA197^'Table 10-4 EstMin Tensile Strng'!$F$11,IF($D$11='Table 10-4 EstMin Tensile Strng'!$C$10,'Table 10-4 EstMin Tensile Strng'!$I$12/'Engine Valve Spring'!AA197^'Table 10-4 EstMin Tensile Strng'!$F$12,IF($D$11='Table 10-4 EstMin Tensile Strng'!$C$13,'Table 10-4 EstMin Tensile Strng'!$I$13/'Engine Valve Spring'!AA197^'Table 10-4 EstMin Tensile Strng'!$F$13,IF($D$11='Table 10-4 EstMin Tensile Strng'!$C$13,'Table 10-4 EstMin Tensile Strng'!$I$14/'Engine Valve Spring'!AA197^'Table 10-4 EstMin Tensile Strng'!$F$14,IF($D$11='Table 10-4 EstMin Tensile Strng'!$C$13,'Table 10-4 EstMin Tensile Strng'!$I$15/'Engine Valve Spring'!AA197^'Table 10-4 EstMin Tensile Strng'!$F$15)))))))))))</f>
        <v>669.13498935779091</v>
      </c>
      <c r="AC197">
        <f t="shared" ref="AC197:AC204" si="3">(4*($D$4/AA197)+2)/(4*($D$4/AA197)-3)*8*$D$3*$D$4/(PI()*AA197^3)</f>
        <v>21.561759071119084</v>
      </c>
    </row>
    <row r="198" spans="27:29" x14ac:dyDescent="0.25">
      <c r="AA198">
        <v>19.399999999999999</v>
      </c>
      <c r="AB198">
        <f>0.56/$D$7*IF($D$11='Table 10-4 EstMin Tensile Strng'!$C$5,'Table 10-4 EstMin Tensile Strng'!$I$5/'Engine Valve Spring'!AA198^'Table 10-4 EstMin Tensile Strng'!$F$5,IF($D$11='Table 10-4 EstMin Tensile Strng'!$C$6,'Table 10-4 EstMin Tensile Strng'!$I$6/'Engine Valve Spring'!AA198^'Table 10-4 EstMin Tensile Strng'!$F$6,IF($D$11='Table 10-4 EstMin Tensile Strng'!$C$7,'Table 10-4 EstMin Tensile Strng'!$I$7/'Engine Valve Spring'!AA198^'Table 10-4 EstMin Tensile Strng'!$F$7,IF($D$11='Table 10-4 EstMin Tensile Strng'!$C$8,'Table 10-4 EstMin Tensile Strng'!$I$8/'Engine Valve Spring'!AA198^'Table 10-4 EstMin Tensile Strng'!$F$8,IF($D$11='Table 10-4 EstMin Tensile Strng'!$C$9,'Table 10-4 EstMin Tensile Strng'!$I$9/'Engine Valve Spring'!AA198^'Table 10-4 EstMin Tensile Strng'!$F$9,IF($D$11='Table 10-4 EstMin Tensile Strng'!$C$10,'Table 10-4 EstMin Tensile Strng'!$I$10/'Engine Valve Spring'!AA198^'Table 10-4 EstMin Tensile Strng'!$F$10,IF($D$11='Table 10-4 EstMin Tensile Strng'!$C$10,'Table 10-4 EstMin Tensile Strng'!$I$11/'Engine Valve Spring'!AA198^'Table 10-4 EstMin Tensile Strng'!$F$11,IF($D$11='Table 10-4 EstMin Tensile Strng'!$C$10,'Table 10-4 EstMin Tensile Strng'!$I$12/'Engine Valve Spring'!AA198^'Table 10-4 EstMin Tensile Strng'!$F$12,IF($D$11='Table 10-4 EstMin Tensile Strng'!$C$13,'Table 10-4 EstMin Tensile Strng'!$I$13/'Engine Valve Spring'!AA198^'Table 10-4 EstMin Tensile Strng'!$F$13,IF($D$11='Table 10-4 EstMin Tensile Strng'!$C$13,'Table 10-4 EstMin Tensile Strng'!$I$14/'Engine Valve Spring'!AA198^'Table 10-4 EstMin Tensile Strng'!$F$14,IF($D$11='Table 10-4 EstMin Tensile Strng'!$C$13,'Table 10-4 EstMin Tensile Strng'!$I$15/'Engine Valve Spring'!AA198^'Table 10-4 EstMin Tensile Strng'!$F$15)))))))))))</f>
        <v>668.7616220402931</v>
      </c>
      <c r="AC198">
        <f t="shared" si="3"/>
        <v>21.348370389292771</v>
      </c>
    </row>
    <row r="199" spans="27:29" x14ac:dyDescent="0.25">
      <c r="AA199">
        <v>19.5</v>
      </c>
      <c r="AB199">
        <f>0.56/$D$7*IF($D$11='Table 10-4 EstMin Tensile Strng'!$C$5,'Table 10-4 EstMin Tensile Strng'!$I$5/'Engine Valve Spring'!AA199^'Table 10-4 EstMin Tensile Strng'!$F$5,IF($D$11='Table 10-4 EstMin Tensile Strng'!$C$6,'Table 10-4 EstMin Tensile Strng'!$I$6/'Engine Valve Spring'!AA199^'Table 10-4 EstMin Tensile Strng'!$F$6,IF($D$11='Table 10-4 EstMin Tensile Strng'!$C$7,'Table 10-4 EstMin Tensile Strng'!$I$7/'Engine Valve Spring'!AA199^'Table 10-4 EstMin Tensile Strng'!$F$7,IF($D$11='Table 10-4 EstMin Tensile Strng'!$C$8,'Table 10-4 EstMin Tensile Strng'!$I$8/'Engine Valve Spring'!AA199^'Table 10-4 EstMin Tensile Strng'!$F$8,IF($D$11='Table 10-4 EstMin Tensile Strng'!$C$9,'Table 10-4 EstMin Tensile Strng'!$I$9/'Engine Valve Spring'!AA199^'Table 10-4 EstMin Tensile Strng'!$F$9,IF($D$11='Table 10-4 EstMin Tensile Strng'!$C$10,'Table 10-4 EstMin Tensile Strng'!$I$10/'Engine Valve Spring'!AA199^'Table 10-4 EstMin Tensile Strng'!$F$10,IF($D$11='Table 10-4 EstMin Tensile Strng'!$C$10,'Table 10-4 EstMin Tensile Strng'!$I$11/'Engine Valve Spring'!AA199^'Table 10-4 EstMin Tensile Strng'!$F$11,IF($D$11='Table 10-4 EstMin Tensile Strng'!$C$10,'Table 10-4 EstMin Tensile Strng'!$I$12/'Engine Valve Spring'!AA199^'Table 10-4 EstMin Tensile Strng'!$F$12,IF($D$11='Table 10-4 EstMin Tensile Strng'!$C$13,'Table 10-4 EstMin Tensile Strng'!$I$13/'Engine Valve Spring'!AA199^'Table 10-4 EstMin Tensile Strng'!$F$13,IF($D$11='Table 10-4 EstMin Tensile Strng'!$C$13,'Table 10-4 EstMin Tensile Strng'!$I$14/'Engine Valve Spring'!AA199^'Table 10-4 EstMin Tensile Strng'!$F$14,IF($D$11='Table 10-4 EstMin Tensile Strng'!$C$13,'Table 10-4 EstMin Tensile Strng'!$I$15/'Engine Valve Spring'!AA199^'Table 10-4 EstMin Tensile Strng'!$F$15)))))))))))</f>
        <v>668.39038108722514</v>
      </c>
      <c r="AC199">
        <f t="shared" si="3"/>
        <v>21.139149655830032</v>
      </c>
    </row>
    <row r="200" spans="27:29" x14ac:dyDescent="0.25">
      <c r="AA200">
        <v>19.600000000000001</v>
      </c>
      <c r="AB200">
        <f>0.56/$D$7*IF($D$11='Table 10-4 EstMin Tensile Strng'!$C$5,'Table 10-4 EstMin Tensile Strng'!$I$5/'Engine Valve Spring'!AA200^'Table 10-4 EstMin Tensile Strng'!$F$5,IF($D$11='Table 10-4 EstMin Tensile Strng'!$C$6,'Table 10-4 EstMin Tensile Strng'!$I$6/'Engine Valve Spring'!AA200^'Table 10-4 EstMin Tensile Strng'!$F$6,IF($D$11='Table 10-4 EstMin Tensile Strng'!$C$7,'Table 10-4 EstMin Tensile Strng'!$I$7/'Engine Valve Spring'!AA200^'Table 10-4 EstMin Tensile Strng'!$F$7,IF($D$11='Table 10-4 EstMin Tensile Strng'!$C$8,'Table 10-4 EstMin Tensile Strng'!$I$8/'Engine Valve Spring'!AA200^'Table 10-4 EstMin Tensile Strng'!$F$8,IF($D$11='Table 10-4 EstMin Tensile Strng'!$C$9,'Table 10-4 EstMin Tensile Strng'!$I$9/'Engine Valve Spring'!AA200^'Table 10-4 EstMin Tensile Strng'!$F$9,IF($D$11='Table 10-4 EstMin Tensile Strng'!$C$10,'Table 10-4 EstMin Tensile Strng'!$I$10/'Engine Valve Spring'!AA200^'Table 10-4 EstMin Tensile Strng'!$F$10,IF($D$11='Table 10-4 EstMin Tensile Strng'!$C$10,'Table 10-4 EstMin Tensile Strng'!$I$11/'Engine Valve Spring'!AA200^'Table 10-4 EstMin Tensile Strng'!$F$11,IF($D$11='Table 10-4 EstMin Tensile Strng'!$C$10,'Table 10-4 EstMin Tensile Strng'!$I$12/'Engine Valve Spring'!AA200^'Table 10-4 EstMin Tensile Strng'!$F$12,IF($D$11='Table 10-4 EstMin Tensile Strng'!$C$13,'Table 10-4 EstMin Tensile Strng'!$I$13/'Engine Valve Spring'!AA200^'Table 10-4 EstMin Tensile Strng'!$F$13,IF($D$11='Table 10-4 EstMin Tensile Strng'!$C$13,'Table 10-4 EstMin Tensile Strng'!$I$14/'Engine Valve Spring'!AA200^'Table 10-4 EstMin Tensile Strng'!$F$14,IF($D$11='Table 10-4 EstMin Tensile Strng'!$C$13,'Table 10-4 EstMin Tensile Strng'!$I$15/'Engine Valve Spring'!AA200^'Table 10-4 EstMin Tensile Strng'!$F$15)))))))))))</f>
        <v>668.02124357702337</v>
      </c>
      <c r="AC200">
        <f t="shared" si="3"/>
        <v>20.934002015251139</v>
      </c>
    </row>
    <row r="201" spans="27:29" x14ac:dyDescent="0.25">
      <c r="AA201">
        <v>19.7</v>
      </c>
      <c r="AB201">
        <f>0.56/$D$7*IF($D$11='Table 10-4 EstMin Tensile Strng'!$C$5,'Table 10-4 EstMin Tensile Strng'!$I$5/'Engine Valve Spring'!AA201^'Table 10-4 EstMin Tensile Strng'!$F$5,IF($D$11='Table 10-4 EstMin Tensile Strng'!$C$6,'Table 10-4 EstMin Tensile Strng'!$I$6/'Engine Valve Spring'!AA201^'Table 10-4 EstMin Tensile Strng'!$F$6,IF($D$11='Table 10-4 EstMin Tensile Strng'!$C$7,'Table 10-4 EstMin Tensile Strng'!$I$7/'Engine Valve Spring'!AA201^'Table 10-4 EstMin Tensile Strng'!$F$7,IF($D$11='Table 10-4 EstMin Tensile Strng'!$C$8,'Table 10-4 EstMin Tensile Strng'!$I$8/'Engine Valve Spring'!AA201^'Table 10-4 EstMin Tensile Strng'!$F$8,IF($D$11='Table 10-4 EstMin Tensile Strng'!$C$9,'Table 10-4 EstMin Tensile Strng'!$I$9/'Engine Valve Spring'!AA201^'Table 10-4 EstMin Tensile Strng'!$F$9,IF($D$11='Table 10-4 EstMin Tensile Strng'!$C$10,'Table 10-4 EstMin Tensile Strng'!$I$10/'Engine Valve Spring'!AA201^'Table 10-4 EstMin Tensile Strng'!$F$10,IF($D$11='Table 10-4 EstMin Tensile Strng'!$C$10,'Table 10-4 EstMin Tensile Strng'!$I$11/'Engine Valve Spring'!AA201^'Table 10-4 EstMin Tensile Strng'!$F$11,IF($D$11='Table 10-4 EstMin Tensile Strng'!$C$10,'Table 10-4 EstMin Tensile Strng'!$I$12/'Engine Valve Spring'!AA201^'Table 10-4 EstMin Tensile Strng'!$F$12,IF($D$11='Table 10-4 EstMin Tensile Strng'!$C$13,'Table 10-4 EstMin Tensile Strng'!$I$13/'Engine Valve Spring'!AA201^'Table 10-4 EstMin Tensile Strng'!$F$13,IF($D$11='Table 10-4 EstMin Tensile Strng'!$C$13,'Table 10-4 EstMin Tensile Strng'!$I$14/'Engine Valve Spring'!AA201^'Table 10-4 EstMin Tensile Strng'!$F$14,IF($D$11='Table 10-4 EstMin Tensile Strng'!$C$13,'Table 10-4 EstMin Tensile Strng'!$I$15/'Engine Valve Spring'!AA201^'Table 10-4 EstMin Tensile Strng'!$F$15)))))))))))</f>
        <v>667.65418695057303</v>
      </c>
      <c r="AC201">
        <f t="shared" si="3"/>
        <v>20.732835414849479</v>
      </c>
    </row>
    <row r="202" spans="27:29" x14ac:dyDescent="0.25">
      <c r="AA202">
        <v>19.8</v>
      </c>
      <c r="AB202">
        <f>0.56/$D$7*IF($D$11='Table 10-4 EstMin Tensile Strng'!$C$5,'Table 10-4 EstMin Tensile Strng'!$I$5/'Engine Valve Spring'!AA202^'Table 10-4 EstMin Tensile Strng'!$F$5,IF($D$11='Table 10-4 EstMin Tensile Strng'!$C$6,'Table 10-4 EstMin Tensile Strng'!$I$6/'Engine Valve Spring'!AA202^'Table 10-4 EstMin Tensile Strng'!$F$6,IF($D$11='Table 10-4 EstMin Tensile Strng'!$C$7,'Table 10-4 EstMin Tensile Strng'!$I$7/'Engine Valve Spring'!AA202^'Table 10-4 EstMin Tensile Strng'!$F$7,IF($D$11='Table 10-4 EstMin Tensile Strng'!$C$8,'Table 10-4 EstMin Tensile Strng'!$I$8/'Engine Valve Spring'!AA202^'Table 10-4 EstMin Tensile Strng'!$F$8,IF($D$11='Table 10-4 EstMin Tensile Strng'!$C$9,'Table 10-4 EstMin Tensile Strng'!$I$9/'Engine Valve Spring'!AA202^'Table 10-4 EstMin Tensile Strng'!$F$9,IF($D$11='Table 10-4 EstMin Tensile Strng'!$C$10,'Table 10-4 EstMin Tensile Strng'!$I$10/'Engine Valve Spring'!AA202^'Table 10-4 EstMin Tensile Strng'!$F$10,IF($D$11='Table 10-4 EstMin Tensile Strng'!$C$10,'Table 10-4 EstMin Tensile Strng'!$I$11/'Engine Valve Spring'!AA202^'Table 10-4 EstMin Tensile Strng'!$F$11,IF($D$11='Table 10-4 EstMin Tensile Strng'!$C$10,'Table 10-4 EstMin Tensile Strng'!$I$12/'Engine Valve Spring'!AA202^'Table 10-4 EstMin Tensile Strng'!$F$12,IF($D$11='Table 10-4 EstMin Tensile Strng'!$C$13,'Table 10-4 EstMin Tensile Strng'!$I$13/'Engine Valve Spring'!AA202^'Table 10-4 EstMin Tensile Strng'!$F$13,IF($D$11='Table 10-4 EstMin Tensile Strng'!$C$13,'Table 10-4 EstMin Tensile Strng'!$I$14/'Engine Valve Spring'!AA202^'Table 10-4 EstMin Tensile Strng'!$F$14,IF($D$11='Table 10-4 EstMin Tensile Strng'!$C$13,'Table 10-4 EstMin Tensile Strng'!$I$15/'Engine Valve Spring'!AA202^'Table 10-4 EstMin Tensile Strng'!$F$15)))))))))))</f>
        <v>667.28918900367171</v>
      </c>
      <c r="AC202">
        <f t="shared" si="3"/>
        <v>20.535560510698311</v>
      </c>
    </row>
    <row r="203" spans="27:29" x14ac:dyDescent="0.25">
      <c r="AA203">
        <v>19.899999999999999</v>
      </c>
      <c r="AB203">
        <f>0.56/$D$7*IF($D$11='Table 10-4 EstMin Tensile Strng'!$C$5,'Table 10-4 EstMin Tensile Strng'!$I$5/'Engine Valve Spring'!AA203^'Table 10-4 EstMin Tensile Strng'!$F$5,IF($D$11='Table 10-4 EstMin Tensile Strng'!$C$6,'Table 10-4 EstMin Tensile Strng'!$I$6/'Engine Valve Spring'!AA203^'Table 10-4 EstMin Tensile Strng'!$F$6,IF($D$11='Table 10-4 EstMin Tensile Strng'!$C$7,'Table 10-4 EstMin Tensile Strng'!$I$7/'Engine Valve Spring'!AA203^'Table 10-4 EstMin Tensile Strng'!$F$7,IF($D$11='Table 10-4 EstMin Tensile Strng'!$C$8,'Table 10-4 EstMin Tensile Strng'!$I$8/'Engine Valve Spring'!AA203^'Table 10-4 EstMin Tensile Strng'!$F$8,IF($D$11='Table 10-4 EstMin Tensile Strng'!$C$9,'Table 10-4 EstMin Tensile Strng'!$I$9/'Engine Valve Spring'!AA203^'Table 10-4 EstMin Tensile Strng'!$F$9,IF($D$11='Table 10-4 EstMin Tensile Strng'!$C$10,'Table 10-4 EstMin Tensile Strng'!$I$10/'Engine Valve Spring'!AA203^'Table 10-4 EstMin Tensile Strng'!$F$10,IF($D$11='Table 10-4 EstMin Tensile Strng'!$C$10,'Table 10-4 EstMin Tensile Strng'!$I$11/'Engine Valve Spring'!AA203^'Table 10-4 EstMin Tensile Strng'!$F$11,IF($D$11='Table 10-4 EstMin Tensile Strng'!$C$10,'Table 10-4 EstMin Tensile Strng'!$I$12/'Engine Valve Spring'!AA203^'Table 10-4 EstMin Tensile Strng'!$F$12,IF($D$11='Table 10-4 EstMin Tensile Strng'!$C$13,'Table 10-4 EstMin Tensile Strng'!$I$13/'Engine Valve Spring'!AA203^'Table 10-4 EstMin Tensile Strng'!$F$13,IF($D$11='Table 10-4 EstMin Tensile Strng'!$C$13,'Table 10-4 EstMin Tensile Strng'!$I$14/'Engine Valve Spring'!AA203^'Table 10-4 EstMin Tensile Strng'!$F$14,IF($D$11='Table 10-4 EstMin Tensile Strng'!$C$13,'Table 10-4 EstMin Tensile Strng'!$I$15/'Engine Valve Spring'!AA203^'Table 10-4 EstMin Tensile Strng'!$F$15)))))))))))</f>
        <v>666.92622787968537</v>
      </c>
      <c r="AC203">
        <f t="shared" si="3"/>
        <v>20.342090577356299</v>
      </c>
    </row>
    <row r="204" spans="27:29" x14ac:dyDescent="0.25">
      <c r="AA204">
        <v>20</v>
      </c>
      <c r="AB204">
        <f>0.56/$D$7*IF($D$11='Table 10-4 EstMin Tensile Strng'!$C$5,'Table 10-4 EstMin Tensile Strng'!$I$5/'Engine Valve Spring'!AA204^'Table 10-4 EstMin Tensile Strng'!$F$5,IF($D$11='Table 10-4 EstMin Tensile Strng'!$C$6,'Table 10-4 EstMin Tensile Strng'!$I$6/'Engine Valve Spring'!AA204^'Table 10-4 EstMin Tensile Strng'!$F$6,IF($D$11='Table 10-4 EstMin Tensile Strng'!$C$7,'Table 10-4 EstMin Tensile Strng'!$I$7/'Engine Valve Spring'!AA204^'Table 10-4 EstMin Tensile Strng'!$F$7,IF($D$11='Table 10-4 EstMin Tensile Strng'!$C$8,'Table 10-4 EstMin Tensile Strng'!$I$8/'Engine Valve Spring'!AA204^'Table 10-4 EstMin Tensile Strng'!$F$8,IF($D$11='Table 10-4 EstMin Tensile Strng'!$C$9,'Table 10-4 EstMin Tensile Strng'!$I$9/'Engine Valve Spring'!AA204^'Table 10-4 EstMin Tensile Strng'!$F$9,IF($D$11='Table 10-4 EstMin Tensile Strng'!$C$10,'Table 10-4 EstMin Tensile Strng'!$I$10/'Engine Valve Spring'!AA204^'Table 10-4 EstMin Tensile Strng'!$F$10,IF($D$11='Table 10-4 EstMin Tensile Strng'!$C$10,'Table 10-4 EstMin Tensile Strng'!$I$11/'Engine Valve Spring'!AA204^'Table 10-4 EstMin Tensile Strng'!$F$11,IF($D$11='Table 10-4 EstMin Tensile Strng'!$C$10,'Table 10-4 EstMin Tensile Strng'!$I$12/'Engine Valve Spring'!AA204^'Table 10-4 EstMin Tensile Strng'!$F$12,IF($D$11='Table 10-4 EstMin Tensile Strng'!$C$13,'Table 10-4 EstMin Tensile Strng'!$I$13/'Engine Valve Spring'!AA204^'Table 10-4 EstMin Tensile Strng'!$F$13,IF($D$11='Table 10-4 EstMin Tensile Strng'!$C$13,'Table 10-4 EstMin Tensile Strng'!$I$14/'Engine Valve Spring'!AA204^'Table 10-4 EstMin Tensile Strng'!$F$14,IF($D$11='Table 10-4 EstMin Tensile Strng'!$C$13,'Table 10-4 EstMin Tensile Strng'!$I$15/'Engine Valve Spring'!AA204^'Table 10-4 EstMin Tensile Strng'!$F$15)))))))))))</f>
        <v>666.56528206239466</v>
      </c>
      <c r="AC204">
        <f t="shared" si="3"/>
        <v>20.152341421110503</v>
      </c>
    </row>
  </sheetData>
  <conditionalFormatting sqref="D44">
    <cfRule type="cellIs" dxfId="8" priority="3" operator="lessThan">
      <formula>1</formula>
    </cfRule>
  </conditionalFormatting>
  <conditionalFormatting sqref="D33">
    <cfRule type="containsText" dxfId="7" priority="2" operator="containsText" text="No">
      <formula>NOT(ISERROR(SEARCH("No",D33)))</formula>
    </cfRule>
  </conditionalFormatting>
  <conditionalFormatting sqref="D39:D40">
    <cfRule type="containsText" dxfId="6" priority="1" operator="containsText" text="No">
      <formula>NOT(ISERROR(SEARCH("No",D39)))</formula>
    </cfRule>
  </conditionalFormatting>
  <dataValidations count="3">
    <dataValidation type="list" allowBlank="1" showInputMessage="1" showErrorMessage="1" sqref="D5" xr:uid="{82A28260-4C5C-4711-BEA9-282785202A50}">
      <formula1>SpringEndType</formula1>
    </dataValidation>
    <dataValidation type="list" allowBlank="1" showInputMessage="1" showErrorMessage="1" sqref="D9:D10" xr:uid="{F4F6C018-BA5B-45B3-BE8C-0D127DA30F5E}">
      <formula1>YesNo</formula1>
    </dataValidation>
    <dataValidation type="list" allowBlank="1" showInputMessage="1" showErrorMessage="1" sqref="D11" xr:uid="{E6D299B0-4890-41B0-B925-3005AA19F850}">
      <formula1>WireMaterial</formula1>
    </dataValidation>
  </dataValidations>
  <hyperlinks>
    <hyperlink ref="I6" r:id="rId1" xr:uid="{5B2EAABF-FA5D-4F94-A915-175704A62228}"/>
  </hyperlinks>
  <pageMargins left="0.7" right="0.7" top="0.75" bottom="0.75" header="0.3" footer="0.3"/>
  <pageSetup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85BDB-8177-44F3-8DA9-8834077F2EA1}">
  <dimension ref="B1:G8"/>
  <sheetViews>
    <sheetView workbookViewId="0">
      <selection activeCell="L15" sqref="L15"/>
    </sheetView>
  </sheetViews>
  <sheetFormatPr defaultRowHeight="15" x14ac:dyDescent="0.25"/>
  <cols>
    <col min="2" max="2" width="11.85546875" bestFit="1" customWidth="1"/>
    <col min="4" max="4" width="9.42578125" bestFit="1" customWidth="1"/>
    <col min="5" max="5" width="9.5703125" bestFit="1" customWidth="1"/>
    <col min="6" max="7" width="10.42578125" bestFit="1" customWidth="1"/>
  </cols>
  <sheetData>
    <row r="1" spans="2:7" ht="15.75" thickBot="1" x14ac:dyDescent="0.3"/>
    <row r="2" spans="2:7" ht="15.75" thickBot="1" x14ac:dyDescent="0.3">
      <c r="B2" s="96" t="s">
        <v>260</v>
      </c>
      <c r="C2" s="97"/>
      <c r="D2" s="93" t="s">
        <v>240</v>
      </c>
      <c r="E2" s="94"/>
      <c r="F2" s="94"/>
      <c r="G2" s="95"/>
    </row>
    <row r="3" spans="2:7" ht="45" x14ac:dyDescent="0.25">
      <c r="B3" s="43" t="s">
        <v>86</v>
      </c>
      <c r="C3" s="44" t="s">
        <v>87</v>
      </c>
      <c r="D3" s="45" t="s">
        <v>33</v>
      </c>
      <c r="E3" s="46" t="s">
        <v>241</v>
      </c>
      <c r="F3" s="46" t="s">
        <v>242</v>
      </c>
      <c r="G3" s="47" t="s">
        <v>35</v>
      </c>
    </row>
    <row r="4" spans="2:7" ht="18" x14ac:dyDescent="0.35">
      <c r="B4" s="15" t="s">
        <v>75</v>
      </c>
      <c r="C4" s="41" t="s">
        <v>245</v>
      </c>
      <c r="D4" s="49">
        <v>0</v>
      </c>
      <c r="E4" s="37">
        <v>1</v>
      </c>
      <c r="F4" s="37">
        <v>2</v>
      </c>
      <c r="G4" s="50">
        <v>2</v>
      </c>
    </row>
    <row r="5" spans="2:7" ht="18" x14ac:dyDescent="0.35">
      <c r="B5" s="15" t="s">
        <v>6</v>
      </c>
      <c r="C5" s="41" t="s">
        <v>139</v>
      </c>
      <c r="D5" s="49" t="s">
        <v>237</v>
      </c>
      <c r="E5" s="37" t="s">
        <v>248</v>
      </c>
      <c r="F5" s="37" t="s">
        <v>249</v>
      </c>
      <c r="G5" s="50" t="s">
        <v>249</v>
      </c>
    </row>
    <row r="6" spans="2:7" ht="18" x14ac:dyDescent="0.35">
      <c r="B6" s="15" t="s">
        <v>8</v>
      </c>
      <c r="C6" s="41" t="s">
        <v>246</v>
      </c>
      <c r="D6" s="49" t="s">
        <v>250</v>
      </c>
      <c r="E6" s="37" t="s">
        <v>251</v>
      </c>
      <c r="F6" s="37" t="s">
        <v>252</v>
      </c>
      <c r="G6" s="50" t="s">
        <v>253</v>
      </c>
    </row>
    <row r="7" spans="2:7" ht="18" x14ac:dyDescent="0.35">
      <c r="B7" s="15" t="s">
        <v>243</v>
      </c>
      <c r="C7" s="41" t="s">
        <v>247</v>
      </c>
      <c r="D7" s="49" t="s">
        <v>254</v>
      </c>
      <c r="E7" s="37" t="s">
        <v>255</v>
      </c>
      <c r="F7" s="37" t="s">
        <v>254</v>
      </c>
      <c r="G7" s="50" t="s">
        <v>255</v>
      </c>
    </row>
    <row r="8" spans="2:7" ht="15.75" thickBot="1" x14ac:dyDescent="0.3">
      <c r="B8" s="42" t="s">
        <v>244</v>
      </c>
      <c r="C8" s="48" t="s">
        <v>74</v>
      </c>
      <c r="D8" s="51" t="s">
        <v>256</v>
      </c>
      <c r="E8" s="52" t="s">
        <v>257</v>
      </c>
      <c r="F8" s="52" t="s">
        <v>258</v>
      </c>
      <c r="G8" s="53" t="s">
        <v>259</v>
      </c>
    </row>
  </sheetData>
  <mergeCells count="2">
    <mergeCell ref="D2:G2"/>
    <mergeCell ref="B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F4466-557F-48FD-B58B-39690E86A626}">
  <dimension ref="B1:C6"/>
  <sheetViews>
    <sheetView workbookViewId="0">
      <selection activeCell="B15" sqref="B15"/>
    </sheetView>
  </sheetViews>
  <sheetFormatPr defaultRowHeight="15" x14ac:dyDescent="0.25"/>
  <cols>
    <col min="2" max="2" width="87.7109375" bestFit="1" customWidth="1"/>
    <col min="3" max="3" width="10.5703125" bestFit="1" customWidth="1"/>
  </cols>
  <sheetData>
    <row r="1" spans="2:3" ht="15.75" thickBot="1" x14ac:dyDescent="0.3">
      <c r="B1" s="92" t="s">
        <v>267</v>
      </c>
      <c r="C1" s="92"/>
    </row>
    <row r="2" spans="2:3" x14ac:dyDescent="0.25">
      <c r="B2" s="56" t="s">
        <v>261</v>
      </c>
      <c r="C2" s="57" t="s">
        <v>266</v>
      </c>
    </row>
    <row r="3" spans="2:3" x14ac:dyDescent="0.25">
      <c r="B3" s="15" t="s">
        <v>262</v>
      </c>
      <c r="C3" s="16">
        <v>0.5</v>
      </c>
    </row>
    <row r="4" spans="2:3" x14ac:dyDescent="0.25">
      <c r="B4" s="15" t="s">
        <v>263</v>
      </c>
      <c r="C4" s="16">
        <v>0.70699999999999996</v>
      </c>
    </row>
    <row r="5" spans="2:3" x14ac:dyDescent="0.25">
      <c r="B5" s="15" t="s">
        <v>264</v>
      </c>
      <c r="C5" s="16">
        <v>1</v>
      </c>
    </row>
    <row r="6" spans="2:3" ht="15.75" thickBot="1" x14ac:dyDescent="0.3">
      <c r="B6" s="42" t="s">
        <v>265</v>
      </c>
      <c r="C6" s="24">
        <v>2</v>
      </c>
    </row>
  </sheetData>
  <mergeCells count="1">
    <mergeCell ref="B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71C6D-8498-4E89-90E2-EDBD7952D4B7}">
  <dimension ref="C1:AB15"/>
  <sheetViews>
    <sheetView workbookViewId="0">
      <selection activeCell="F22" sqref="F22"/>
    </sheetView>
  </sheetViews>
  <sheetFormatPr defaultRowHeight="15" x14ac:dyDescent="0.25"/>
  <cols>
    <col min="3" max="3" width="30" bestFit="1" customWidth="1"/>
    <col min="4" max="4" width="7.5703125" bestFit="1" customWidth="1"/>
    <col min="5" max="5" width="7.5703125" customWidth="1"/>
    <col min="6" max="6" width="9.42578125" bestFit="1" customWidth="1"/>
    <col min="7" max="7" width="9.5703125" customWidth="1"/>
    <col min="8" max="8" width="10.28515625" customWidth="1"/>
    <col min="9" max="9" width="8.42578125" bestFit="1" customWidth="1"/>
    <col min="10" max="10" width="8.28515625" bestFit="1" customWidth="1"/>
  </cols>
  <sheetData>
    <row r="1" spans="3:28" x14ac:dyDescent="0.25">
      <c r="AB1" s="8" t="s">
        <v>227</v>
      </c>
    </row>
    <row r="2" spans="3:28" x14ac:dyDescent="0.25">
      <c r="AB2" s="39" t="s">
        <v>205</v>
      </c>
    </row>
    <row r="3" spans="3:28" x14ac:dyDescent="0.25">
      <c r="C3" s="104" t="s">
        <v>203</v>
      </c>
      <c r="D3" s="104"/>
      <c r="E3" s="104"/>
      <c r="F3" s="104"/>
      <c r="G3" s="104"/>
      <c r="H3" s="104"/>
      <c r="I3" s="104"/>
      <c r="J3" s="104"/>
      <c r="AB3" s="39" t="s">
        <v>206</v>
      </c>
    </row>
    <row r="4" spans="3:28" ht="60" x14ac:dyDescent="0.25">
      <c r="C4" s="36" t="s">
        <v>204</v>
      </c>
      <c r="D4" s="36" t="s">
        <v>212</v>
      </c>
      <c r="E4" s="36" t="s">
        <v>275</v>
      </c>
      <c r="F4" s="36" t="s">
        <v>223</v>
      </c>
      <c r="G4" s="36" t="s">
        <v>224</v>
      </c>
      <c r="H4" s="36" t="s">
        <v>225</v>
      </c>
      <c r="I4" s="36" t="s">
        <v>220</v>
      </c>
      <c r="J4" s="36" t="s">
        <v>221</v>
      </c>
      <c r="AB4" s="39" t="s">
        <v>207</v>
      </c>
    </row>
    <row r="5" spans="3:28" x14ac:dyDescent="0.25">
      <c r="C5" s="38" t="s">
        <v>205</v>
      </c>
      <c r="D5" s="37" t="s">
        <v>213</v>
      </c>
      <c r="E5" s="37">
        <v>7.8609999999999998</v>
      </c>
      <c r="F5" s="1">
        <v>0.14499999999999999</v>
      </c>
      <c r="G5" s="1">
        <v>0.1</v>
      </c>
      <c r="H5" s="1">
        <v>6.5</v>
      </c>
      <c r="I5" s="1">
        <v>2211</v>
      </c>
      <c r="J5" s="1">
        <v>2.6</v>
      </c>
      <c r="AB5" s="39" t="s">
        <v>208</v>
      </c>
    </row>
    <row r="6" spans="3:28" x14ac:dyDescent="0.25">
      <c r="C6" s="38" t="s">
        <v>206</v>
      </c>
      <c r="D6" s="37" t="s">
        <v>214</v>
      </c>
      <c r="E6" s="37">
        <v>7.8609999999999998</v>
      </c>
      <c r="F6" s="1">
        <v>0.187</v>
      </c>
      <c r="G6" s="1">
        <v>0.5</v>
      </c>
      <c r="H6" s="1">
        <v>12.7</v>
      </c>
      <c r="I6" s="1">
        <v>1855</v>
      </c>
      <c r="J6" s="1">
        <v>1.3</v>
      </c>
      <c r="AB6" s="39" t="s">
        <v>209</v>
      </c>
    </row>
    <row r="7" spans="3:28" x14ac:dyDescent="0.25">
      <c r="C7" s="38" t="s">
        <v>207</v>
      </c>
      <c r="D7" s="37" t="s">
        <v>215</v>
      </c>
      <c r="E7" s="37">
        <v>7.8609999999999998</v>
      </c>
      <c r="F7" s="1">
        <v>0.19</v>
      </c>
      <c r="G7" s="1">
        <v>0.7</v>
      </c>
      <c r="H7" s="1">
        <v>12.7</v>
      </c>
      <c r="I7" s="1">
        <v>1783</v>
      </c>
      <c r="J7" s="1">
        <v>1</v>
      </c>
      <c r="AB7" s="40" t="s">
        <v>210</v>
      </c>
    </row>
    <row r="8" spans="3:28" x14ac:dyDescent="0.25">
      <c r="C8" s="38" t="s">
        <v>208</v>
      </c>
      <c r="D8" s="37" t="s">
        <v>216</v>
      </c>
      <c r="E8" s="37">
        <v>7.8609999999999998</v>
      </c>
      <c r="F8" s="1">
        <v>0.16800000000000001</v>
      </c>
      <c r="G8" s="1">
        <v>0.8</v>
      </c>
      <c r="H8" s="1">
        <v>11.1</v>
      </c>
      <c r="I8" s="1">
        <v>2005</v>
      </c>
      <c r="J8" s="1">
        <v>3.1</v>
      </c>
      <c r="AB8" s="40" t="s">
        <v>211</v>
      </c>
    </row>
    <row r="9" spans="3:28" x14ac:dyDescent="0.25">
      <c r="C9" s="38" t="s">
        <v>209</v>
      </c>
      <c r="D9" s="37" t="s">
        <v>217</v>
      </c>
      <c r="E9" s="37">
        <v>7.8609999999999998</v>
      </c>
      <c r="F9" s="1">
        <v>0.108</v>
      </c>
      <c r="G9" s="1">
        <v>1.6</v>
      </c>
      <c r="H9" s="1">
        <v>9.5</v>
      </c>
      <c r="I9" s="1">
        <v>1974</v>
      </c>
      <c r="J9" s="1">
        <v>4</v>
      </c>
    </row>
    <row r="10" spans="3:28" x14ac:dyDescent="0.25">
      <c r="C10" s="98" t="s">
        <v>210</v>
      </c>
      <c r="D10" s="101" t="s">
        <v>218</v>
      </c>
      <c r="E10" s="37">
        <v>7.9165000000000001</v>
      </c>
      <c r="F10" s="1">
        <v>0.14599999999999999</v>
      </c>
      <c r="G10" s="1">
        <v>0.3</v>
      </c>
      <c r="H10" s="1">
        <v>2.5</v>
      </c>
      <c r="I10" s="1">
        <v>1867</v>
      </c>
      <c r="J10" s="1" t="s">
        <v>222</v>
      </c>
      <c r="K10">
        <f>AVERAGE(7.6,11)</f>
        <v>9.3000000000000007</v>
      </c>
      <c r="L10" t="s">
        <v>274</v>
      </c>
    </row>
    <row r="11" spans="3:28" x14ac:dyDescent="0.25">
      <c r="C11" s="99"/>
      <c r="D11" s="102"/>
      <c r="E11" s="37">
        <v>7.9165000000000001</v>
      </c>
      <c r="F11" s="1">
        <v>0.26300000000000001</v>
      </c>
      <c r="G11" s="1">
        <v>2.5</v>
      </c>
      <c r="H11" s="1">
        <v>5</v>
      </c>
      <c r="I11" s="1">
        <v>2065</v>
      </c>
      <c r="J11" s="1" t="s">
        <v>222</v>
      </c>
    </row>
    <row r="12" spans="3:28" x14ac:dyDescent="0.25">
      <c r="C12" s="100"/>
      <c r="D12" s="103"/>
      <c r="E12" s="37">
        <v>7.9165000000000001</v>
      </c>
      <c r="F12" s="1">
        <v>0.47799999999999998</v>
      </c>
      <c r="G12" s="1">
        <v>5</v>
      </c>
      <c r="H12" s="1">
        <v>10</v>
      </c>
      <c r="I12" s="1">
        <v>2911</v>
      </c>
      <c r="J12" s="1" t="s">
        <v>222</v>
      </c>
    </row>
    <row r="13" spans="3:28" x14ac:dyDescent="0.25">
      <c r="C13" s="98" t="s">
        <v>211</v>
      </c>
      <c r="D13" s="101" t="s">
        <v>219</v>
      </c>
      <c r="E13" s="37">
        <v>8.8575999999999997</v>
      </c>
      <c r="F13" s="1">
        <v>0</v>
      </c>
      <c r="G13" s="1">
        <v>0.1</v>
      </c>
      <c r="H13" s="1">
        <v>0.6</v>
      </c>
      <c r="I13" s="1">
        <v>1000</v>
      </c>
      <c r="J13" s="1">
        <v>8</v>
      </c>
    </row>
    <row r="14" spans="3:28" x14ac:dyDescent="0.25">
      <c r="C14" s="99"/>
      <c r="D14" s="102"/>
      <c r="E14" s="37">
        <v>8.8575999999999997</v>
      </c>
      <c r="F14" s="1">
        <v>2.8000000000000001E-2</v>
      </c>
      <c r="G14" s="1">
        <v>0.6</v>
      </c>
      <c r="H14" s="1">
        <v>2</v>
      </c>
      <c r="I14" s="1">
        <v>913</v>
      </c>
      <c r="J14" s="1">
        <v>8</v>
      </c>
    </row>
    <row r="15" spans="3:28" x14ac:dyDescent="0.25">
      <c r="C15" s="100"/>
      <c r="D15" s="103"/>
      <c r="E15" s="37">
        <v>8.8575999999999997</v>
      </c>
      <c r="F15" s="1">
        <v>6.4000000000000001E-2</v>
      </c>
      <c r="G15" s="1">
        <v>2</v>
      </c>
      <c r="H15" s="1">
        <v>7.5</v>
      </c>
      <c r="I15" s="1">
        <v>932</v>
      </c>
      <c r="J15" s="1">
        <v>8</v>
      </c>
    </row>
  </sheetData>
  <mergeCells count="5">
    <mergeCell ref="C10:C12"/>
    <mergeCell ref="D10:D12"/>
    <mergeCell ref="C13:C15"/>
    <mergeCell ref="D13:D15"/>
    <mergeCell ref="C3:J3"/>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9E953-3151-47FD-8814-7A18ECBB8954}">
  <dimension ref="A1"/>
  <sheetViews>
    <sheetView workbookViewId="0">
      <selection activeCell="J26" sqref="J26"/>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F79EC-164A-45E0-B5EF-6857A8C6FCD2}">
  <dimension ref="B1:AD40"/>
  <sheetViews>
    <sheetView zoomScale="113" zoomScaleNormal="113" workbookViewId="0">
      <selection activeCell="I7" sqref="I7"/>
    </sheetView>
  </sheetViews>
  <sheetFormatPr defaultRowHeight="15" x14ac:dyDescent="0.25"/>
  <cols>
    <col min="2" max="2" width="38" customWidth="1"/>
    <col min="3" max="3" width="15.85546875" bestFit="1" customWidth="1"/>
    <col min="4" max="4" width="12" bestFit="1" customWidth="1"/>
    <col min="5" max="5" width="8.28515625" bestFit="1" customWidth="1"/>
  </cols>
  <sheetData>
    <row r="1" spans="2:30" ht="15.75" thickBot="1" x14ac:dyDescent="0.3">
      <c r="B1" s="29" t="s">
        <v>86</v>
      </c>
      <c r="C1" s="30" t="s">
        <v>87</v>
      </c>
      <c r="D1" s="30" t="s">
        <v>88</v>
      </c>
      <c r="E1" s="30" t="s">
        <v>89</v>
      </c>
      <c r="F1" s="30" t="s">
        <v>90</v>
      </c>
      <c r="G1" s="31" t="s">
        <v>91</v>
      </c>
      <c r="AA1" s="8" t="s">
        <v>32</v>
      </c>
      <c r="AB1" s="8" t="s">
        <v>77</v>
      </c>
      <c r="AD1" s="8" t="s">
        <v>193</v>
      </c>
    </row>
    <row r="2" spans="2:30" x14ac:dyDescent="0.25">
      <c r="B2" s="25" t="s">
        <v>0</v>
      </c>
      <c r="C2" s="26" t="s">
        <v>41</v>
      </c>
      <c r="D2" s="27">
        <v>889.64430000000004</v>
      </c>
      <c r="E2" s="26" t="s">
        <v>2</v>
      </c>
      <c r="F2" s="26">
        <f>CONVERT(D2,"N","lbf")</f>
        <v>199.99999481768177</v>
      </c>
      <c r="G2" s="28" t="s">
        <v>1</v>
      </c>
      <c r="AA2" t="s">
        <v>33</v>
      </c>
      <c r="AB2" t="s">
        <v>78</v>
      </c>
      <c r="AD2" t="s">
        <v>194</v>
      </c>
    </row>
    <row r="3" spans="2:30" x14ac:dyDescent="0.25">
      <c r="B3" s="15" t="s">
        <v>3</v>
      </c>
      <c r="C3" s="1" t="s">
        <v>14</v>
      </c>
      <c r="D3" s="6">
        <v>1.6002000000000001</v>
      </c>
      <c r="E3" s="1" t="s">
        <v>4</v>
      </c>
      <c r="F3" s="1">
        <f>CONVERT(D3,"mm","in")</f>
        <v>6.3E-2</v>
      </c>
      <c r="G3" s="16" t="s">
        <v>5</v>
      </c>
      <c r="AA3" t="s">
        <v>36</v>
      </c>
      <c r="AB3" t="s">
        <v>79</v>
      </c>
      <c r="AD3" t="s">
        <v>189</v>
      </c>
    </row>
    <row r="4" spans="2:30" x14ac:dyDescent="0.25">
      <c r="B4" s="15" t="s">
        <v>6</v>
      </c>
      <c r="C4" s="1" t="s">
        <v>39</v>
      </c>
      <c r="D4" s="6">
        <v>14</v>
      </c>
      <c r="E4" s="1" t="s">
        <v>7</v>
      </c>
      <c r="F4" s="1">
        <f>D4</f>
        <v>14</v>
      </c>
      <c r="G4" s="16" t="s">
        <v>7</v>
      </c>
      <c r="AA4" t="s">
        <v>34</v>
      </c>
      <c r="AB4" t="s">
        <v>80</v>
      </c>
    </row>
    <row r="5" spans="2:30" x14ac:dyDescent="0.25">
      <c r="B5" s="15" t="s">
        <v>9</v>
      </c>
      <c r="C5" s="1"/>
      <c r="D5" s="6">
        <v>20.650199999999998</v>
      </c>
      <c r="E5" s="1" t="s">
        <v>4</v>
      </c>
      <c r="F5" s="1">
        <f>CONVERT(D5,"mm","in")</f>
        <v>0.81299999999999994</v>
      </c>
      <c r="G5" s="16" t="s">
        <v>5</v>
      </c>
      <c r="AA5" t="s">
        <v>35</v>
      </c>
      <c r="AB5" t="s">
        <v>81</v>
      </c>
    </row>
    <row r="6" spans="2:30" x14ac:dyDescent="0.25">
      <c r="B6" s="15" t="s">
        <v>8</v>
      </c>
      <c r="C6" s="1" t="s">
        <v>58</v>
      </c>
      <c r="D6" s="6">
        <v>152.4</v>
      </c>
      <c r="E6" s="1" t="s">
        <v>4</v>
      </c>
      <c r="F6" s="1">
        <f>CONVERT(D6,"mm","in")</f>
        <v>6</v>
      </c>
      <c r="G6" s="16" t="s">
        <v>5</v>
      </c>
    </row>
    <row r="7" spans="2:30" x14ac:dyDescent="0.25">
      <c r="B7" s="15" t="s">
        <v>37</v>
      </c>
      <c r="C7" s="1"/>
      <c r="D7" s="6" t="s">
        <v>35</v>
      </c>
      <c r="E7" s="1"/>
      <c r="F7" s="1"/>
      <c r="G7" s="16" t="s">
        <v>7</v>
      </c>
    </row>
    <row r="8" spans="2:30" x14ac:dyDescent="0.25">
      <c r="B8" s="15" t="s">
        <v>82</v>
      </c>
      <c r="C8" s="1"/>
      <c r="D8" s="6" t="s">
        <v>262</v>
      </c>
      <c r="E8" s="1"/>
      <c r="F8" s="1"/>
      <c r="G8" s="16" t="s">
        <v>7</v>
      </c>
    </row>
    <row r="9" spans="2:30" x14ac:dyDescent="0.25">
      <c r="B9" s="15" t="s">
        <v>24</v>
      </c>
      <c r="C9" s="1" t="s">
        <v>25</v>
      </c>
      <c r="D9" s="14">
        <v>81.702873924045122</v>
      </c>
      <c r="E9" s="1" t="s">
        <v>26</v>
      </c>
      <c r="F9" s="1">
        <f>CONVERT(D9,"N","lbf")*10^6/CONVERT(1,"m^2","in^2")</f>
        <v>11850.000000000005</v>
      </c>
      <c r="G9" s="16" t="s">
        <v>20</v>
      </c>
    </row>
    <row r="10" spans="2:30" x14ac:dyDescent="0.25">
      <c r="B10" s="15" t="s">
        <v>27</v>
      </c>
      <c r="C10" s="1" t="s">
        <v>28</v>
      </c>
      <c r="D10" s="14">
        <v>206.84270000000001</v>
      </c>
      <c r="E10" s="1" t="s">
        <v>26</v>
      </c>
      <c r="F10" s="1">
        <f>CONVERT(10^6*D10,"N","lbf")/CONVERT(1,"m^2","in^2")</f>
        <v>29999.997274008347</v>
      </c>
      <c r="G10" s="16" t="s">
        <v>20</v>
      </c>
    </row>
    <row r="11" spans="2:30" x14ac:dyDescent="0.25">
      <c r="B11" s="17" t="s">
        <v>176</v>
      </c>
      <c r="C11" s="5"/>
      <c r="D11" s="6">
        <v>7.6550000000000007E-2</v>
      </c>
      <c r="E11" s="1" t="s">
        <v>179</v>
      </c>
      <c r="F11" s="1">
        <f>CONVERT(D11,"N","lbf")/CONVERT(1,"cm^3","in^3")</f>
        <v>0.28200702611048689</v>
      </c>
      <c r="G11" s="16" t="s">
        <v>183</v>
      </c>
    </row>
    <row r="12" spans="2:30" x14ac:dyDescent="0.25">
      <c r="B12" s="15" t="s">
        <v>29</v>
      </c>
      <c r="C12" s="1" t="s">
        <v>38</v>
      </c>
      <c r="D12" s="2">
        <f>IF(D7='Table 10-1 Type of Spring Ends'!D3,D4,IF(D7='Table 10-1 Type of Spring Ends'!E3,D4-1,IF(OR(D7='Table 10-1 Type of Spring Ends'!F3,D7='Table 10-1 Type of Spring Ends'!G3),D4-2,"Error")))</f>
        <v>12</v>
      </c>
      <c r="E12" s="1" t="s">
        <v>7</v>
      </c>
      <c r="F12" s="1">
        <f>D12</f>
        <v>12</v>
      </c>
      <c r="G12" s="16" t="s">
        <v>7</v>
      </c>
    </row>
    <row r="13" spans="2:30" x14ac:dyDescent="0.25">
      <c r="B13" s="15" t="s">
        <v>75</v>
      </c>
      <c r="C13" s="1" t="s">
        <v>76</v>
      </c>
      <c r="D13" s="2">
        <f>IF(D7='Table 10-1 Type of Spring Ends'!D3,0,IF(D7='Table 10-1 Type of Spring Ends'!E3,1,IF(OR(D7='Table 10-1 Type of Spring Ends'!F3,D7='Table 10-1 Type of Spring Ends'!G3),2,"Error")))</f>
        <v>2</v>
      </c>
      <c r="E13" s="1" t="s">
        <v>7</v>
      </c>
      <c r="F13" s="1">
        <f>D13</f>
        <v>2</v>
      </c>
      <c r="G13" s="16" t="s">
        <v>7</v>
      </c>
    </row>
    <row r="14" spans="2:30" x14ac:dyDescent="0.25">
      <c r="B14" s="15" t="s">
        <v>73</v>
      </c>
      <c r="C14" s="1" t="s">
        <v>74</v>
      </c>
      <c r="D14" s="4">
        <f>IF(D7='Table 10-1 Type of Spring Ends'!D3,(D6-D3)/D12,IF(D7='Table 10-1 Type of Spring Ends'!E3,D6/(D12+1),IF(D7='Table 10-1 Type of Spring Ends'!F3,(D6-3*D3)/D12,IF(D7='Table 10-1 Type of Spring Ends'!G3,(D6-2*D3)/D12))))</f>
        <v>12.433300000000001</v>
      </c>
      <c r="E14" s="1" t="s">
        <v>4</v>
      </c>
      <c r="F14" s="1">
        <f t="shared" ref="F14:F17" si="0">CONVERT(D14,"mm","in")</f>
        <v>0.48950000000000005</v>
      </c>
      <c r="G14" s="16" t="s">
        <v>5</v>
      </c>
    </row>
    <row r="15" spans="2:30" x14ac:dyDescent="0.25">
      <c r="B15" s="15" t="s">
        <v>47</v>
      </c>
      <c r="C15" s="3" t="s">
        <v>46</v>
      </c>
      <c r="D15" s="1">
        <f>D4*D3</f>
        <v>22.402799999999999</v>
      </c>
      <c r="E15" s="1" t="s">
        <v>4</v>
      </c>
      <c r="F15" s="1">
        <f t="shared" si="0"/>
        <v>0.88200000000000001</v>
      </c>
      <c r="G15" s="16" t="s">
        <v>5</v>
      </c>
    </row>
    <row r="16" spans="2:30" x14ac:dyDescent="0.25">
      <c r="B16" s="15" t="s">
        <v>10</v>
      </c>
      <c r="C16" s="1"/>
      <c r="D16" s="1">
        <f>D5-2*D3</f>
        <v>17.449799999999996</v>
      </c>
      <c r="E16" s="1" t="s">
        <v>4</v>
      </c>
      <c r="F16" s="1">
        <f t="shared" si="0"/>
        <v>0.68699999999999994</v>
      </c>
      <c r="G16" s="16" t="s">
        <v>5</v>
      </c>
    </row>
    <row r="17" spans="2:7" x14ac:dyDescent="0.25">
      <c r="B17" s="15" t="s">
        <v>15</v>
      </c>
      <c r="C17" s="1" t="s">
        <v>13</v>
      </c>
      <c r="D17" s="1">
        <f>(D5+D16)/2</f>
        <v>19.049999999999997</v>
      </c>
      <c r="E17" s="1" t="s">
        <v>4</v>
      </c>
      <c r="F17" s="1">
        <f t="shared" si="0"/>
        <v>0.74999999999999989</v>
      </c>
      <c r="G17" s="16" t="s">
        <v>5</v>
      </c>
    </row>
    <row r="18" spans="2:7" x14ac:dyDescent="0.25">
      <c r="B18" s="15" t="s">
        <v>11</v>
      </c>
      <c r="C18" s="1" t="s">
        <v>12</v>
      </c>
      <c r="D18" s="1">
        <f>D17/D3</f>
        <v>11.904761904761903</v>
      </c>
      <c r="E18" s="1" t="s">
        <v>7</v>
      </c>
      <c r="F18" s="1">
        <f>F17/F3</f>
        <v>11.904761904761903</v>
      </c>
      <c r="G18" s="16" t="s">
        <v>7</v>
      </c>
    </row>
    <row r="19" spans="2:7" x14ac:dyDescent="0.25">
      <c r="B19" s="17" t="s">
        <v>71</v>
      </c>
      <c r="C19" s="5" t="s">
        <v>70</v>
      </c>
      <c r="D19" s="1">
        <f>(2*D18+1)/2*D18</f>
        <v>147.67573696145121</v>
      </c>
      <c r="E19" s="4" t="s">
        <v>7</v>
      </c>
      <c r="F19" s="1">
        <f t="shared" ref="F19" si="1">(2*F18+1)/2*F18</f>
        <v>147.67573696145121</v>
      </c>
      <c r="G19" s="18" t="s">
        <v>7</v>
      </c>
    </row>
    <row r="20" spans="2:7" x14ac:dyDescent="0.25">
      <c r="B20" s="15" t="s">
        <v>17</v>
      </c>
      <c r="C20" s="1" t="s">
        <v>72</v>
      </c>
      <c r="D20" s="1">
        <f>(4*D18-1)/(4*D18-3)+0.615/D18</f>
        <v>1.0964839060832445</v>
      </c>
      <c r="E20" s="4" t="s">
        <v>7</v>
      </c>
      <c r="F20" s="1">
        <f t="shared" ref="F20" si="2">(4*F18-1)/(4*F18-3)+0.615/F18</f>
        <v>1.0964839060832445</v>
      </c>
      <c r="G20" s="16" t="s">
        <v>7</v>
      </c>
    </row>
    <row r="21" spans="2:7" x14ac:dyDescent="0.25">
      <c r="B21" s="15" t="s">
        <v>16</v>
      </c>
      <c r="C21" s="1" t="s">
        <v>18</v>
      </c>
      <c r="D21" s="1">
        <f>(4*D18+2)/(4*D18-3)</f>
        <v>1.112059765208111</v>
      </c>
      <c r="E21" s="1" t="s">
        <v>7</v>
      </c>
      <c r="F21" s="1">
        <f>(4*F18+2)/(4*F18-3)</f>
        <v>1.112059765208111</v>
      </c>
      <c r="G21" s="16" t="s">
        <v>7</v>
      </c>
    </row>
    <row r="22" spans="2:7" x14ac:dyDescent="0.25">
      <c r="B22" s="15" t="s">
        <v>22</v>
      </c>
      <c r="C22" s="1" t="s">
        <v>19</v>
      </c>
      <c r="D22" s="2">
        <f>D21*(8*D2*D17/(PI()*D3^3))</f>
        <v>11712.69474006266</v>
      </c>
      <c r="E22" s="1" t="s">
        <v>21</v>
      </c>
      <c r="F22" s="1">
        <f>F21*(8*F2*F17/(PI()*F3^3))/1000</f>
        <v>1698.7827478232089</v>
      </c>
      <c r="G22" s="16" t="s">
        <v>20</v>
      </c>
    </row>
    <row r="23" spans="2:7" x14ac:dyDescent="0.25">
      <c r="B23" s="15" t="s">
        <v>23</v>
      </c>
      <c r="C23" s="1" t="s">
        <v>40</v>
      </c>
      <c r="D23" s="1">
        <f>D3^4*(10^9*CONVERT(D9,"mm^2","m^2"))/(8*D17^3*D12)</f>
        <v>0.80719455648000904</v>
      </c>
      <c r="E23" s="1" t="s">
        <v>30</v>
      </c>
      <c r="F23" s="1">
        <f>CONVERT(D23,"N","lbf")/CONVERT(1,"mm","in")</f>
        <v>4.609199700000004</v>
      </c>
      <c r="G23" s="16" t="s">
        <v>31</v>
      </c>
    </row>
    <row r="24" spans="2:7" x14ac:dyDescent="0.25">
      <c r="B24" s="15" t="s">
        <v>42</v>
      </c>
      <c r="C24" s="3" t="s">
        <v>48</v>
      </c>
      <c r="D24" s="1">
        <f>D2/D23</f>
        <v>1102.1435821861032</v>
      </c>
      <c r="E24" s="1" t="s">
        <v>4</v>
      </c>
      <c r="F24" s="1">
        <f>CONVERT(D24,"mm","in")</f>
        <v>43.391479613626117</v>
      </c>
      <c r="G24" s="16" t="s">
        <v>5</v>
      </c>
    </row>
    <row r="25" spans="2:7" x14ac:dyDescent="0.25">
      <c r="B25" s="15" t="s">
        <v>50</v>
      </c>
      <c r="C25" s="3" t="s">
        <v>49</v>
      </c>
      <c r="D25" s="1">
        <f>D6-D15</f>
        <v>129.99720000000002</v>
      </c>
      <c r="E25" s="1" t="s">
        <v>4</v>
      </c>
      <c r="F25" s="1">
        <f>CONVERT(D25,"mm","in")</f>
        <v>5.1180000000000012</v>
      </c>
      <c r="G25" s="16" t="s">
        <v>5</v>
      </c>
    </row>
    <row r="26" spans="2:7" x14ac:dyDescent="0.25">
      <c r="B26" s="15" t="s">
        <v>51</v>
      </c>
      <c r="C26" s="3" t="s">
        <v>45</v>
      </c>
      <c r="D26" s="1">
        <f>D23*D25</f>
        <v>104.93303219764304</v>
      </c>
      <c r="E26" s="1" t="s">
        <v>2</v>
      </c>
      <c r="F26" s="1">
        <f>CONVERT(D26,"N","lbf")</f>
        <v>23.589884064600025</v>
      </c>
      <c r="G26" s="16" t="s">
        <v>5</v>
      </c>
    </row>
    <row r="27" spans="2:7" x14ac:dyDescent="0.25">
      <c r="B27" s="15" t="s">
        <v>44</v>
      </c>
      <c r="C27" s="3" t="s">
        <v>43</v>
      </c>
      <c r="D27" s="1">
        <f>D26/D2-1</f>
        <v>-0.88205057662074271</v>
      </c>
      <c r="E27" s="1" t="s">
        <v>7</v>
      </c>
      <c r="F27" s="1">
        <f>D27</f>
        <v>-0.88205057662074271</v>
      </c>
      <c r="G27" s="16" t="s">
        <v>7</v>
      </c>
    </row>
    <row r="28" spans="2:7" x14ac:dyDescent="0.25">
      <c r="B28" s="15" t="s">
        <v>55</v>
      </c>
      <c r="C28" s="3" t="s">
        <v>54</v>
      </c>
      <c r="D28" s="9">
        <f>_xlfn.XLOOKUP(D8,SpringEndCondition,'Table 10-2 Spring End Condition'!C3:C6)</f>
        <v>0.5</v>
      </c>
      <c r="E28" s="1" t="s">
        <v>7</v>
      </c>
      <c r="F28" s="1">
        <v>0.5</v>
      </c>
      <c r="G28" s="16" t="s">
        <v>7</v>
      </c>
    </row>
    <row r="29" spans="2:7" x14ac:dyDescent="0.25">
      <c r="B29" s="15" t="s">
        <v>65</v>
      </c>
      <c r="C29" s="5" t="s">
        <v>53</v>
      </c>
      <c r="D29" s="1">
        <f>D28*D6/D17</f>
        <v>4.0000000000000009</v>
      </c>
      <c r="E29" s="1" t="s">
        <v>7</v>
      </c>
      <c r="F29" s="1">
        <f>F28*F6/F17</f>
        <v>4.0000000000000009</v>
      </c>
      <c r="G29" s="16" t="s">
        <v>7</v>
      </c>
    </row>
    <row r="30" spans="2:7" x14ac:dyDescent="0.25">
      <c r="B30" s="15" t="s">
        <v>66</v>
      </c>
      <c r="C30" s="5" t="s">
        <v>56</v>
      </c>
      <c r="D30" s="1">
        <f>D10/(2*(D10-D9))</f>
        <v>0.82644633002148626</v>
      </c>
      <c r="E30" s="1" t="s">
        <v>7</v>
      </c>
      <c r="F30" s="1">
        <f>F10/(2*(F10-F9))</f>
        <v>0.82644633002148638</v>
      </c>
      <c r="G30" s="16" t="s">
        <v>7</v>
      </c>
    </row>
    <row r="31" spans="2:7" x14ac:dyDescent="0.25">
      <c r="B31" s="15" t="s">
        <v>67</v>
      </c>
      <c r="C31" s="5" t="s">
        <v>57</v>
      </c>
      <c r="D31" s="1">
        <f>2*PI()^2*(D10-D9)/(2*D9+D10)</f>
        <v>6.6716313619634358</v>
      </c>
      <c r="E31" s="1" t="s">
        <v>7</v>
      </c>
      <c r="F31" s="1">
        <f>2*PI()^2*(F10-F9)/(2*F9+F10)</f>
        <v>6.6716313619634349</v>
      </c>
      <c r="G31" s="16" t="s">
        <v>7</v>
      </c>
    </row>
    <row r="32" spans="2:7" x14ac:dyDescent="0.25">
      <c r="B32" s="15" t="s">
        <v>68</v>
      </c>
      <c r="C32" s="3" t="s">
        <v>52</v>
      </c>
      <c r="D32" s="1">
        <f>D6*D30*(1-SQRT(1-D31/D29^2))</f>
        <v>29.779786231150592</v>
      </c>
      <c r="E32" s="4" t="s">
        <v>4</v>
      </c>
      <c r="F32" s="1">
        <f>CONVERT(D32,"mm","in")</f>
        <v>1.1724325287854562</v>
      </c>
      <c r="G32" s="18" t="s">
        <v>5</v>
      </c>
    </row>
    <row r="33" spans="2:7" x14ac:dyDescent="0.25">
      <c r="B33" s="19" t="s">
        <v>69</v>
      </c>
      <c r="C33" s="3"/>
      <c r="D33" s="7" t="str">
        <f>IF(D32&gt;=D24,"No","Yes")</f>
        <v>Yes</v>
      </c>
      <c r="E33" s="4" t="s">
        <v>7</v>
      </c>
      <c r="F33" s="1" t="str">
        <f>D33</f>
        <v>Yes</v>
      </c>
      <c r="G33" s="18" t="s">
        <v>7</v>
      </c>
    </row>
    <row r="34" spans="2:7" x14ac:dyDescent="0.25">
      <c r="B34" s="15" t="s">
        <v>59</v>
      </c>
      <c r="C34" s="5" t="s">
        <v>60</v>
      </c>
      <c r="D34" s="7">
        <f>D32*D23</f>
        <v>24.038081338923082</v>
      </c>
      <c r="E34" s="4" t="s">
        <v>2</v>
      </c>
      <c r="F34" s="1">
        <f>CONVERT(D34,"N","lbf")</f>
        <v>5.4039756599481708</v>
      </c>
      <c r="G34" s="18" t="s">
        <v>1</v>
      </c>
    </row>
    <row r="35" spans="2:7" x14ac:dyDescent="0.25">
      <c r="B35" s="15" t="s">
        <v>61</v>
      </c>
      <c r="C35" s="5" t="s">
        <v>62</v>
      </c>
      <c r="D35" s="1">
        <f>D6*D28/(PI()*SQRT(2*(D10-D9)/(2*D9+D10)))</f>
        <v>29.501150325779033</v>
      </c>
      <c r="E35" s="4" t="s">
        <v>4</v>
      </c>
      <c r="F35" s="1">
        <f>CONVERT(D35,"mm","in")</f>
        <v>1.161462611251143</v>
      </c>
      <c r="G35" s="18" t="s">
        <v>5</v>
      </c>
    </row>
    <row r="36" spans="2:7" x14ac:dyDescent="0.25">
      <c r="B36" s="15" t="s">
        <v>64</v>
      </c>
      <c r="C36" s="5" t="s">
        <v>63</v>
      </c>
      <c r="D36" s="1">
        <f>(D23*8*D35^3*D12/(10^3*D9))^(1/4)</f>
        <v>2.2214280120600893</v>
      </c>
      <c r="E36" s="4" t="s">
        <v>4</v>
      </c>
      <c r="F36" s="1">
        <f>CONVERT(D36,"mm","in")</f>
        <v>8.7457795750397221E-2</v>
      </c>
      <c r="G36" s="18" t="s">
        <v>5</v>
      </c>
    </row>
    <row r="37" spans="2:7" x14ac:dyDescent="0.25">
      <c r="B37" s="15" t="s">
        <v>99</v>
      </c>
      <c r="C37" s="5" t="s">
        <v>110</v>
      </c>
      <c r="D37" s="1">
        <v>9.8066499999999994</v>
      </c>
      <c r="E37" s="4" t="s">
        <v>97</v>
      </c>
      <c r="F37" s="1">
        <f>CONVERT(D37,"m","ft")</f>
        <v>32.174048556430449</v>
      </c>
      <c r="G37" s="18" t="s">
        <v>156</v>
      </c>
    </row>
    <row r="38" spans="2:7" ht="18" x14ac:dyDescent="0.35">
      <c r="B38" s="17" t="s">
        <v>175</v>
      </c>
      <c r="C38" s="5" t="s">
        <v>174</v>
      </c>
      <c r="D38" s="1">
        <f>PI()^2*D3^2*D17*D12*CONVERT(D11,"mm^3","cm^3")/4</f>
        <v>0.11056297276724973</v>
      </c>
      <c r="E38" s="1" t="s">
        <v>2</v>
      </c>
      <c r="F38" s="1">
        <f>CONVERT(D38,"N","lbf")</f>
        <v>2.4855545053767487E-2</v>
      </c>
      <c r="G38" s="16" t="s">
        <v>1</v>
      </c>
    </row>
    <row r="39" spans="2:7" ht="18" x14ac:dyDescent="0.35">
      <c r="B39" s="17" t="s">
        <v>177</v>
      </c>
      <c r="C39" s="5" t="s">
        <v>178</v>
      </c>
      <c r="D39" s="7">
        <f>0.5*SQRT((D23*CONVERT(D37,"m","mm"))/D38)</f>
        <v>133.78721112647199</v>
      </c>
      <c r="E39" s="4" t="s">
        <v>173</v>
      </c>
      <c r="F39" s="1">
        <f>CONVERT(D39,"min","s")</f>
        <v>8027.2326675883196</v>
      </c>
      <c r="G39" s="16" t="s">
        <v>181</v>
      </c>
    </row>
    <row r="40" spans="2:7" ht="18.75" thickBot="1" x14ac:dyDescent="0.4">
      <c r="B40" s="20" t="s">
        <v>180</v>
      </c>
      <c r="C40" s="21" t="s">
        <v>182</v>
      </c>
      <c r="D40" s="32">
        <f>D39/20</f>
        <v>6.6893605563235994</v>
      </c>
      <c r="E40" s="23" t="s">
        <v>173</v>
      </c>
      <c r="F40" s="22">
        <f>CONVERT(D40,"min","s")</f>
        <v>401.36163337941593</v>
      </c>
      <c r="G40" s="24" t="s">
        <v>181</v>
      </c>
    </row>
  </sheetData>
  <conditionalFormatting sqref="D33 F33">
    <cfRule type="containsText" dxfId="5" priority="1" operator="containsText" text="Yes">
      <formula>NOT(ISERROR(SEARCH("Yes",D33)))</formula>
    </cfRule>
  </conditionalFormatting>
  <dataValidations count="2">
    <dataValidation type="list" allowBlank="1" showInputMessage="1" showErrorMessage="1" sqref="D7" xr:uid="{3C590F16-8CF5-4C49-B7F3-A6E35EFE3F19}">
      <formula1>SpringEndType</formula1>
    </dataValidation>
    <dataValidation type="list" allowBlank="1" showInputMessage="1" showErrorMessage="1" sqref="D8:D11 D6" xr:uid="{DC55C6B9-DC77-436A-9088-4362533A77EB}">
      <formula1>SpringEndCondition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31376-5E6C-4865-86EE-8C84ECFA1ADF}">
  <dimension ref="B1:AB41"/>
  <sheetViews>
    <sheetView workbookViewId="0">
      <selection activeCell="G26" sqref="G26"/>
    </sheetView>
  </sheetViews>
  <sheetFormatPr defaultRowHeight="15" x14ac:dyDescent="0.25"/>
  <cols>
    <col min="2" max="2" width="38.42578125" bestFit="1" customWidth="1"/>
    <col min="3" max="3" width="8.5703125" bestFit="1" customWidth="1"/>
    <col min="5" max="5" width="6.85546875" bestFit="1" customWidth="1"/>
  </cols>
  <sheetData>
    <row r="1" spans="2:28" x14ac:dyDescent="0.25">
      <c r="B1" s="10" t="s">
        <v>86</v>
      </c>
      <c r="C1" s="10" t="s">
        <v>87</v>
      </c>
      <c r="D1" s="10" t="s">
        <v>88</v>
      </c>
      <c r="E1" s="10" t="s">
        <v>89</v>
      </c>
      <c r="F1" s="10" t="s">
        <v>90</v>
      </c>
      <c r="G1" s="10" t="s">
        <v>91</v>
      </c>
      <c r="AA1" s="8" t="s">
        <v>32</v>
      </c>
      <c r="AB1" s="8" t="s">
        <v>77</v>
      </c>
    </row>
    <row r="2" spans="2:28" x14ac:dyDescent="0.25">
      <c r="B2" s="1" t="s">
        <v>83</v>
      </c>
      <c r="C2" s="1" t="s">
        <v>41</v>
      </c>
      <c r="D2" s="1">
        <v>50</v>
      </c>
      <c r="E2" s="1" t="s">
        <v>2</v>
      </c>
      <c r="F2" s="1"/>
      <c r="G2" s="1"/>
      <c r="AA2" t="s">
        <v>33</v>
      </c>
      <c r="AB2" t="s">
        <v>78</v>
      </c>
    </row>
    <row r="3" spans="2:28" x14ac:dyDescent="0.25">
      <c r="B3" s="1" t="s">
        <v>84</v>
      </c>
      <c r="C3" s="3" t="s">
        <v>48</v>
      </c>
      <c r="D3" s="1">
        <v>100</v>
      </c>
      <c r="E3" s="1" t="s">
        <v>4</v>
      </c>
      <c r="F3" s="1"/>
      <c r="G3" s="1"/>
      <c r="AA3" t="s">
        <v>36</v>
      </c>
      <c r="AB3" t="s">
        <v>79</v>
      </c>
    </row>
    <row r="4" spans="2:28" x14ac:dyDescent="0.25">
      <c r="B4" s="1" t="s">
        <v>23</v>
      </c>
      <c r="C4" s="1" t="s">
        <v>85</v>
      </c>
      <c r="D4" s="1">
        <f>D2/D3</f>
        <v>0.5</v>
      </c>
      <c r="E4" s="1" t="s">
        <v>30</v>
      </c>
      <c r="F4" s="1"/>
      <c r="G4" s="1"/>
      <c r="AA4" t="s">
        <v>34</v>
      </c>
      <c r="AB4" t="s">
        <v>80</v>
      </c>
    </row>
    <row r="5" spans="2:28" x14ac:dyDescent="0.25">
      <c r="B5" s="1" t="s">
        <v>94</v>
      </c>
      <c r="C5" s="1"/>
      <c r="D5" s="1">
        <f>(1/2)*D4*D3^2</f>
        <v>2500</v>
      </c>
      <c r="E5" s="1" t="s">
        <v>92</v>
      </c>
      <c r="F5" s="1"/>
      <c r="G5" s="1"/>
      <c r="AA5" t="s">
        <v>35</v>
      </c>
      <c r="AB5" t="s">
        <v>81</v>
      </c>
    </row>
    <row r="6" spans="2:28" x14ac:dyDescent="0.25">
      <c r="B6" s="90" t="s">
        <v>113</v>
      </c>
      <c r="C6" s="90"/>
      <c r="D6" s="90"/>
      <c r="E6" s="90"/>
      <c r="F6" s="90"/>
      <c r="G6" s="90"/>
    </row>
    <row r="7" spans="2:28" x14ac:dyDescent="0.25">
      <c r="B7" s="1" t="s">
        <v>95</v>
      </c>
      <c r="C7" s="1" t="s">
        <v>108</v>
      </c>
      <c r="D7" s="1">
        <v>5.0985810648896415</v>
      </c>
      <c r="E7" s="1" t="s">
        <v>98</v>
      </c>
      <c r="F7" s="1"/>
      <c r="G7" s="1"/>
    </row>
    <row r="8" spans="2:28" x14ac:dyDescent="0.25">
      <c r="B8" s="1" t="s">
        <v>99</v>
      </c>
      <c r="C8" s="1" t="s">
        <v>110</v>
      </c>
      <c r="D8" s="1">
        <v>9.8066499999999994</v>
      </c>
      <c r="E8" s="1" t="s">
        <v>97</v>
      </c>
      <c r="F8" s="1"/>
      <c r="G8" s="1"/>
    </row>
    <row r="9" spans="2:28" x14ac:dyDescent="0.25">
      <c r="B9" s="1" t="s">
        <v>96</v>
      </c>
      <c r="C9" s="1" t="s">
        <v>111</v>
      </c>
      <c r="D9" s="1">
        <f>D7*D8</f>
        <v>50</v>
      </c>
      <c r="E9" s="1" t="s">
        <v>2</v>
      </c>
      <c r="F9" s="1"/>
      <c r="G9" s="1"/>
    </row>
    <row r="10" spans="2:28" x14ac:dyDescent="0.25">
      <c r="B10" s="1" t="s">
        <v>93</v>
      </c>
      <c r="C10" s="1" t="s">
        <v>109</v>
      </c>
      <c r="D10" s="1">
        <v>10</v>
      </c>
      <c r="E10" s="1" t="s">
        <v>4</v>
      </c>
      <c r="F10" s="1"/>
      <c r="G10" s="1"/>
    </row>
    <row r="11" spans="2:28" ht="18" x14ac:dyDescent="0.35">
      <c r="B11" s="1" t="s">
        <v>101</v>
      </c>
      <c r="C11" s="3" t="s">
        <v>112</v>
      </c>
      <c r="D11" s="1">
        <f>(D9+SQRT(D9*(D9+2*D10*D4)))/D4</f>
        <v>209.54451150103324</v>
      </c>
      <c r="E11" s="1" t="s">
        <v>4</v>
      </c>
      <c r="F11" s="1"/>
      <c r="G11" s="1"/>
    </row>
    <row r="12" spans="2:28" ht="18" x14ac:dyDescent="0.35">
      <c r="B12" s="1" t="s">
        <v>100</v>
      </c>
      <c r="C12" s="1" t="s">
        <v>105</v>
      </c>
      <c r="D12" s="1">
        <f>D9*(D11+D10)</f>
        <v>10977.225575051662</v>
      </c>
      <c r="E12" s="1" t="s">
        <v>92</v>
      </c>
      <c r="F12" s="1"/>
      <c r="G12" s="1"/>
    </row>
    <row r="13" spans="2:28" ht="18" x14ac:dyDescent="0.35">
      <c r="B13" s="1" t="s">
        <v>107</v>
      </c>
      <c r="C13" s="1" t="s">
        <v>106</v>
      </c>
      <c r="D13" s="1">
        <f>(1/2)*D4*D11^2</f>
        <v>10977.225575051663</v>
      </c>
      <c r="E13" s="1" t="s">
        <v>92</v>
      </c>
      <c r="F13" s="1"/>
      <c r="G13" s="1"/>
    </row>
    <row r="14" spans="2:28" x14ac:dyDescent="0.25">
      <c r="B14" s="1" t="s">
        <v>102</v>
      </c>
      <c r="C14" s="1"/>
      <c r="D14" s="1" t="str">
        <f>IF(ROUND(D12,3)=ROUND(D13,3),"Okay","Error")</f>
        <v>Okay</v>
      </c>
      <c r="E14" s="1" t="s">
        <v>7</v>
      </c>
      <c r="F14" s="1"/>
      <c r="G14" s="1"/>
    </row>
    <row r="15" spans="2:28" ht="18" x14ac:dyDescent="0.35">
      <c r="B15" s="4" t="s">
        <v>103</v>
      </c>
      <c r="C15" s="1" t="s">
        <v>104</v>
      </c>
      <c r="D15" s="1">
        <f>D4*D11</f>
        <v>104.77225575051662</v>
      </c>
      <c r="E15" s="4" t="s">
        <v>2</v>
      </c>
      <c r="F15" s="1"/>
      <c r="G15" s="1"/>
    </row>
    <row r="16" spans="2:28" x14ac:dyDescent="0.25">
      <c r="B16" s="91" t="s">
        <v>125</v>
      </c>
      <c r="C16" s="91"/>
      <c r="D16" s="91"/>
      <c r="E16" s="91"/>
      <c r="F16" s="91"/>
      <c r="G16" s="91"/>
    </row>
    <row r="17" spans="2:7" ht="18" x14ac:dyDescent="0.35">
      <c r="B17" s="4" t="s">
        <v>114</v>
      </c>
      <c r="C17" s="4" t="s">
        <v>115</v>
      </c>
      <c r="D17" s="4">
        <v>20</v>
      </c>
      <c r="E17" s="4" t="s">
        <v>4</v>
      </c>
    </row>
    <row r="18" spans="2:7" ht="18" x14ac:dyDescent="0.35">
      <c r="B18" s="4" t="s">
        <v>116</v>
      </c>
      <c r="C18" s="4" t="s">
        <v>117</v>
      </c>
      <c r="D18" s="4">
        <v>0.5</v>
      </c>
      <c r="E18" s="4" t="s">
        <v>4</v>
      </c>
    </row>
    <row r="19" spans="2:7" ht="18" x14ac:dyDescent="0.35">
      <c r="B19" s="4" t="s">
        <v>118</v>
      </c>
      <c r="C19" s="4" t="s">
        <v>119</v>
      </c>
      <c r="D19" s="4">
        <v>1.2</v>
      </c>
      <c r="E19" s="4" t="s">
        <v>7</v>
      </c>
    </row>
    <row r="20" spans="2:7" ht="18" x14ac:dyDescent="0.35">
      <c r="B20" s="4" t="s">
        <v>120</v>
      </c>
      <c r="C20" s="4" t="s">
        <v>121</v>
      </c>
      <c r="D20" s="4">
        <v>50</v>
      </c>
      <c r="E20" s="4" t="s">
        <v>2</v>
      </c>
    </row>
    <row r="21" spans="2:7" ht="18" x14ac:dyDescent="0.35">
      <c r="B21" s="4" t="s">
        <v>122</v>
      </c>
      <c r="C21" s="3" t="s">
        <v>123</v>
      </c>
      <c r="D21" s="4">
        <f>D20/D4</f>
        <v>100</v>
      </c>
      <c r="E21" s="4" t="s">
        <v>4</v>
      </c>
    </row>
    <row r="22" spans="2:7" ht="18" x14ac:dyDescent="0.35">
      <c r="B22" s="4" t="s">
        <v>8</v>
      </c>
      <c r="C22" s="5" t="s">
        <v>124</v>
      </c>
      <c r="D22" s="4">
        <v>300</v>
      </c>
      <c r="E22" s="4" t="s">
        <v>4</v>
      </c>
    </row>
    <row r="23" spans="2:7" ht="18" x14ac:dyDescent="0.35">
      <c r="B23" s="4" t="s">
        <v>126</v>
      </c>
      <c r="C23" s="5" t="s">
        <v>131</v>
      </c>
      <c r="D23" s="4">
        <v>1.8033999999999999</v>
      </c>
      <c r="E23" s="4" t="s">
        <v>4</v>
      </c>
    </row>
    <row r="24" spans="2:7" ht="18" x14ac:dyDescent="0.35">
      <c r="B24" s="4" t="s">
        <v>127</v>
      </c>
      <c r="C24" s="1" t="s">
        <v>132</v>
      </c>
      <c r="D24" s="1">
        <f>2211/D23^0.145</f>
        <v>2029.810024984889</v>
      </c>
      <c r="E24" s="4" t="s">
        <v>21</v>
      </c>
    </row>
    <row r="25" spans="2:7" ht="18" x14ac:dyDescent="0.35">
      <c r="B25" s="4" t="s">
        <v>128</v>
      </c>
      <c r="C25" s="1" t="s">
        <v>130</v>
      </c>
      <c r="D25" s="1">
        <f>0.45*D24</f>
        <v>913.41451124320008</v>
      </c>
      <c r="E25" s="4" t="s">
        <v>21</v>
      </c>
    </row>
    <row r="26" spans="2:7" x14ac:dyDescent="0.25">
      <c r="B26" s="4" t="s">
        <v>24</v>
      </c>
      <c r="C26" s="1" t="s">
        <v>25</v>
      </c>
      <c r="D26" s="1">
        <f>IF(D23&lt;0.8128,82.7,IF(D23&lt;1.6002,81.7,IF(D23&lt;3.175,81,80)))</f>
        <v>81</v>
      </c>
      <c r="E26" s="1" t="s">
        <v>26</v>
      </c>
    </row>
    <row r="27" spans="2:7" x14ac:dyDescent="0.25">
      <c r="B27" s="4" t="s">
        <v>15</v>
      </c>
      <c r="C27" s="1" t="s">
        <v>13</v>
      </c>
      <c r="D27" s="1">
        <f>D17+D18+D23</f>
        <v>22.3034</v>
      </c>
      <c r="E27" s="1" t="s">
        <v>4</v>
      </c>
    </row>
    <row r="28" spans="2:7" x14ac:dyDescent="0.25">
      <c r="B28" s="4" t="s">
        <v>11</v>
      </c>
      <c r="C28" s="1" t="s">
        <v>12</v>
      </c>
      <c r="D28" s="1">
        <f>D27/D23</f>
        <v>12.367417101031386</v>
      </c>
      <c r="E28" s="1" t="s">
        <v>7</v>
      </c>
    </row>
    <row r="29" spans="2:7" ht="18" x14ac:dyDescent="0.35">
      <c r="B29" s="4" t="s">
        <v>16</v>
      </c>
      <c r="C29" s="1" t="s">
        <v>129</v>
      </c>
      <c r="D29" s="1">
        <f>(4*D28+2)/(4*D28-3)</f>
        <v>1.1075970664674704</v>
      </c>
      <c r="E29" s="1" t="s">
        <v>7</v>
      </c>
    </row>
    <row r="30" spans="2:7" x14ac:dyDescent="0.25">
      <c r="B30" s="1" t="s">
        <v>37</v>
      </c>
      <c r="C30" s="1"/>
      <c r="D30" s="6" t="s">
        <v>33</v>
      </c>
      <c r="E30" s="1"/>
      <c r="F30" s="1"/>
      <c r="G30" s="1"/>
    </row>
    <row r="31" spans="2:7" ht="18" x14ac:dyDescent="0.35">
      <c r="B31" s="4" t="s">
        <v>133</v>
      </c>
      <c r="C31" s="4" t="s">
        <v>138</v>
      </c>
      <c r="D31" s="1">
        <f>(CONVERT(D23,"mm","m")^4*(D26*10^9)/(8*CONVERT(D27,"mm","m")^3*CONVERT(D4,"m","mm")))</f>
        <v>19.305456211830986</v>
      </c>
      <c r="E31" s="4" t="s">
        <v>7</v>
      </c>
    </row>
    <row r="32" spans="2:7" ht="18" x14ac:dyDescent="0.35">
      <c r="B32" s="4" t="s">
        <v>135</v>
      </c>
      <c r="C32" s="4" t="s">
        <v>139</v>
      </c>
      <c r="D32" s="1">
        <f>IF(D30='Table 10-1 Type of Spring Ends'!D3,D31,IF(D30='Table 10-1 Type of Spring Ends'!E3,D31+1,IF(OR(D30='Table 10-1 Type of Spring Ends'!F3,D30='Table 10-1 Type of Spring Ends'!G3),D31+2,"Error")))</f>
        <v>19.305456211830986</v>
      </c>
      <c r="E32" s="4" t="s">
        <v>7</v>
      </c>
    </row>
    <row r="33" spans="2:5" ht="18" x14ac:dyDescent="0.35">
      <c r="B33" s="4" t="s">
        <v>136</v>
      </c>
      <c r="C33" s="4" t="s">
        <v>137</v>
      </c>
      <c r="D33" s="1">
        <f>IF(OR(D30='Table 10-1 Type of Spring Ends'!D3,D30='Table 10-1 Type of Spring Ends'!F3),D23*(D32+1),IF(OR(D30='Table 10-1 Type of Spring Ends'!E3,D30='Table 10-1 Type of Spring Ends'!G3),D23*D32,"Error"))</f>
        <v>36.618859732415999</v>
      </c>
      <c r="E33" s="4" t="s">
        <v>4</v>
      </c>
    </row>
    <row r="34" spans="2:5" ht="18" x14ac:dyDescent="0.35">
      <c r="B34" s="4" t="s">
        <v>140</v>
      </c>
      <c r="C34" s="4" t="s">
        <v>141</v>
      </c>
      <c r="D34" s="1">
        <f>D4*(D22-D33)</f>
        <v>131.69057013379199</v>
      </c>
      <c r="E34" s="4" t="s">
        <v>2</v>
      </c>
    </row>
    <row r="35" spans="2:5" x14ac:dyDescent="0.25">
      <c r="B35" s="4" t="s">
        <v>142</v>
      </c>
      <c r="C35" s="1"/>
      <c r="D35" s="1">
        <f>D29*(8*D34*D27)/(PI()*D23^3)</f>
        <v>1412.4447421159166</v>
      </c>
      <c r="E35" s="4" t="s">
        <v>21</v>
      </c>
    </row>
    <row r="36" spans="2:5" ht="18" x14ac:dyDescent="0.35">
      <c r="B36" s="4" t="s">
        <v>144</v>
      </c>
      <c r="C36" s="1" t="s">
        <v>146</v>
      </c>
      <c r="D36" s="1">
        <f>D25/D35</f>
        <v>0.64669043963791251</v>
      </c>
      <c r="E36" s="4" t="s">
        <v>7</v>
      </c>
    </row>
    <row r="37" spans="2:5" x14ac:dyDescent="0.25">
      <c r="B37" s="4" t="s">
        <v>145</v>
      </c>
      <c r="C37" s="1"/>
      <c r="D37" s="1" t="str">
        <f>IF(D36&lt;1,"NO!",IF(D36&lt;1.2,"Too close for comfort","Yes"))</f>
        <v>NO!</v>
      </c>
      <c r="E37" s="4" t="s">
        <v>7</v>
      </c>
    </row>
    <row r="38" spans="2:5" x14ac:dyDescent="0.25">
      <c r="B38" s="4" t="s">
        <v>44</v>
      </c>
      <c r="C38" s="1"/>
      <c r="D38" s="1">
        <f>D34/D15-1</f>
        <v>0.25692216121959977</v>
      </c>
      <c r="E38" s="4" t="s">
        <v>7</v>
      </c>
    </row>
    <row r="39" spans="2:5" x14ac:dyDescent="0.25">
      <c r="B39" s="4" t="s">
        <v>147</v>
      </c>
      <c r="C39" s="1"/>
      <c r="D39" s="1" t="str">
        <f>IF(D38&lt;0.15,"No!","Yes")</f>
        <v>Yes</v>
      </c>
      <c r="E39" s="4" t="s">
        <v>7</v>
      </c>
    </row>
    <row r="40" spans="2:5" x14ac:dyDescent="0.25">
      <c r="B40" s="4" t="s">
        <v>149</v>
      </c>
      <c r="C40" s="1"/>
      <c r="D40" s="1">
        <f>D29*(8*D15*D27)/(PI()*D23^3)</f>
        <v>1123.7328656417453</v>
      </c>
      <c r="E40" s="4" t="s">
        <v>21</v>
      </c>
    </row>
    <row r="41" spans="2:5" x14ac:dyDescent="0.25">
      <c r="B41" s="4" t="s">
        <v>148</v>
      </c>
      <c r="C41" s="1"/>
      <c r="D41" s="1">
        <f>D25/D40</f>
        <v>0.8128395450297381</v>
      </c>
      <c r="E41" s="1"/>
    </row>
  </sheetData>
  <mergeCells count="2">
    <mergeCell ref="B6:G6"/>
    <mergeCell ref="B16:G16"/>
  </mergeCells>
  <conditionalFormatting sqref="D14">
    <cfRule type="containsText" dxfId="4" priority="5" operator="containsText" text="Error">
      <formula>NOT(ISERROR(SEARCH("Error",D14)))</formula>
    </cfRule>
  </conditionalFormatting>
  <conditionalFormatting sqref="D37">
    <cfRule type="containsText" dxfId="3" priority="3" operator="containsText" text="Too">
      <formula>NOT(ISERROR(SEARCH("Too",D37)))</formula>
    </cfRule>
    <cfRule type="containsText" dxfId="2" priority="4" operator="containsText" text="No">
      <formula>NOT(ISERROR(SEARCH("No",D37)))</formula>
    </cfRule>
  </conditionalFormatting>
  <conditionalFormatting sqref="D39">
    <cfRule type="containsText" dxfId="1" priority="2" operator="containsText" text="No">
      <formula>NOT(ISERROR(SEARCH("No",D39)))</formula>
    </cfRule>
  </conditionalFormatting>
  <conditionalFormatting sqref="D41">
    <cfRule type="cellIs" dxfId="0" priority="1" operator="lessThan">
      <formula>1</formula>
    </cfRule>
  </conditionalFormatting>
  <dataValidations count="1">
    <dataValidation type="list" allowBlank="1" showInputMessage="1" showErrorMessage="1" sqref="D30" xr:uid="{EDDA777D-1FBA-43A7-AA1C-6C7D87F5EFDC}">
      <formula1>SpringEndType</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02495-0EF6-4EB5-A51A-AA1E3E851049}">
  <dimension ref="B1:E25"/>
  <sheetViews>
    <sheetView workbookViewId="0">
      <selection activeCell="G20" sqref="G20"/>
    </sheetView>
  </sheetViews>
  <sheetFormatPr defaultRowHeight="15" x14ac:dyDescent="0.25"/>
  <cols>
    <col min="2" max="2" width="24.42578125" bestFit="1" customWidth="1"/>
    <col min="3" max="3" width="5.85546875" bestFit="1" customWidth="1"/>
  </cols>
  <sheetData>
    <row r="1" spans="2:5" x14ac:dyDescent="0.25">
      <c r="B1" t="s">
        <v>172</v>
      </c>
    </row>
    <row r="4" spans="2:5" x14ac:dyDescent="0.25">
      <c r="B4" t="s">
        <v>150</v>
      </c>
      <c r="D4" s="11">
        <v>8</v>
      </c>
      <c r="E4" t="s">
        <v>1</v>
      </c>
    </row>
    <row r="5" spans="2:5" x14ac:dyDescent="0.25">
      <c r="B5" t="s">
        <v>154</v>
      </c>
      <c r="D5" s="11">
        <v>12</v>
      </c>
      <c r="E5" t="s">
        <v>158</v>
      </c>
    </row>
    <row r="6" spans="2:5" x14ac:dyDescent="0.25">
      <c r="B6" t="s">
        <v>159</v>
      </c>
      <c r="D6" s="11">
        <v>3</v>
      </c>
      <c r="E6" t="s">
        <v>5</v>
      </c>
    </row>
    <row r="7" spans="2:5" x14ac:dyDescent="0.25">
      <c r="B7" t="s">
        <v>160</v>
      </c>
      <c r="D7" s="11">
        <v>5</v>
      </c>
      <c r="E7" t="s">
        <v>5</v>
      </c>
    </row>
    <row r="8" spans="2:5" x14ac:dyDescent="0.25">
      <c r="B8" t="s">
        <v>152</v>
      </c>
      <c r="D8" s="11">
        <v>2</v>
      </c>
      <c r="E8" t="s">
        <v>1</v>
      </c>
    </row>
    <row r="9" spans="2:5" x14ac:dyDescent="0.25">
      <c r="B9" t="s">
        <v>155</v>
      </c>
      <c r="D9">
        <v>32.200000000000003</v>
      </c>
      <c r="E9" t="s">
        <v>156</v>
      </c>
    </row>
    <row r="10" spans="2:5" x14ac:dyDescent="0.25">
      <c r="B10" t="s">
        <v>151</v>
      </c>
      <c r="D10">
        <f>D4/D9</f>
        <v>0.24844720496894407</v>
      </c>
      <c r="E10" t="s">
        <v>157</v>
      </c>
    </row>
    <row r="11" spans="2:5" x14ac:dyDescent="0.25">
      <c r="B11" t="s">
        <v>153</v>
      </c>
      <c r="D11">
        <f>D8/D9</f>
        <v>6.2111801242236017E-2</v>
      </c>
      <c r="E11" t="s">
        <v>157</v>
      </c>
    </row>
    <row r="12" spans="2:5" x14ac:dyDescent="0.25">
      <c r="B12" t="s">
        <v>163</v>
      </c>
      <c r="D12">
        <f>D11*(CONVERT(D6,"in","ft")^2)</f>
        <v>3.8819875776397511E-3</v>
      </c>
      <c r="E12" t="s">
        <v>165</v>
      </c>
    </row>
    <row r="13" spans="2:5" x14ac:dyDescent="0.25">
      <c r="B13" t="s">
        <v>164</v>
      </c>
      <c r="D13">
        <f>D5/CONVERT(D7,"in","ft")</f>
        <v>28.799999999999997</v>
      </c>
      <c r="E13" t="s">
        <v>166</v>
      </c>
    </row>
    <row r="14" spans="2:5" x14ac:dyDescent="0.25">
      <c r="B14" t="s">
        <v>161</v>
      </c>
      <c r="D14" s="12">
        <f>0.5*CONVERT(D10,"ft","in")*D5^2+CONVERT(0.5*(D12)*(D13)^2,"ft","in")</f>
        <v>233.97763975155277</v>
      </c>
      <c r="E14" t="s">
        <v>162</v>
      </c>
    </row>
    <row r="15" spans="2:5" x14ac:dyDescent="0.25">
      <c r="B15" t="s">
        <v>143</v>
      </c>
      <c r="D15" s="11">
        <v>1.2</v>
      </c>
    </row>
    <row r="16" spans="2:5" x14ac:dyDescent="0.25">
      <c r="B16" t="s">
        <v>55</v>
      </c>
      <c r="C16" t="s">
        <v>168</v>
      </c>
      <c r="D16" s="11">
        <v>0.5</v>
      </c>
    </row>
    <row r="17" spans="2:5" x14ac:dyDescent="0.25">
      <c r="B17" t="s">
        <v>44</v>
      </c>
      <c r="D17" s="11">
        <v>0.15</v>
      </c>
    </row>
    <row r="18" spans="2:5" x14ac:dyDescent="0.25">
      <c r="B18" t="s">
        <v>167</v>
      </c>
      <c r="D18" s="13">
        <v>0.65</v>
      </c>
    </row>
    <row r="19" spans="2:5" x14ac:dyDescent="0.25">
      <c r="B19" t="s">
        <v>169</v>
      </c>
      <c r="D19" s="11">
        <v>140</v>
      </c>
    </row>
    <row r="20" spans="2:5" x14ac:dyDescent="0.25">
      <c r="B20" t="s">
        <v>108</v>
      </c>
      <c r="D20" s="11">
        <v>0.19</v>
      </c>
    </row>
    <row r="21" spans="2:5" x14ac:dyDescent="0.25">
      <c r="B21" t="s">
        <v>170</v>
      </c>
      <c r="D21" s="11">
        <v>1</v>
      </c>
    </row>
    <row r="22" spans="2:5" x14ac:dyDescent="0.25">
      <c r="B22" t="s">
        <v>24</v>
      </c>
      <c r="D22" s="11">
        <f>IF(D19&lt;0.8128,82.7,IF(D19&lt;1.6002,81.7,IF(D19&lt;3.175,81,80)))</f>
        <v>80</v>
      </c>
    </row>
    <row r="23" spans="2:5" x14ac:dyDescent="0.25">
      <c r="B23" t="s">
        <v>3</v>
      </c>
      <c r="C23" t="s">
        <v>14</v>
      </c>
      <c r="D23" s="11">
        <v>0.1</v>
      </c>
      <c r="E23" t="s">
        <v>5</v>
      </c>
    </row>
    <row r="24" spans="2:5" x14ac:dyDescent="0.25">
      <c r="B24" t="s">
        <v>171</v>
      </c>
      <c r="D24">
        <f>D21*PI()^2*D23^2*D25*D26/4*D27</f>
        <v>0</v>
      </c>
    </row>
    <row r="25" spans="2:5" x14ac:dyDescent="0.25">
      <c r="C25" t="s">
        <v>134</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Engine Valve Spring</vt:lpstr>
      <vt:lpstr>Table 10-1 Type of Spring Ends</vt:lpstr>
      <vt:lpstr>Table 10-2 Spring End Condition</vt:lpstr>
      <vt:lpstr>Table 10-4 EstMin Tensile Strng</vt:lpstr>
      <vt:lpstr>Table 10-5</vt:lpstr>
      <vt:lpstr>Calc</vt:lpstr>
      <vt:lpstr>Calc 2 (Spring over rod)</vt:lpstr>
      <vt:lpstr>Sheet4</vt:lpstr>
      <vt:lpstr>SpringEndCondition</vt:lpstr>
      <vt:lpstr>SpringEndType</vt:lpstr>
      <vt:lpstr>WireMaterial</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Justin</dc:creator>
  <cp:lastModifiedBy>Williams, Justin</cp:lastModifiedBy>
  <dcterms:created xsi:type="dcterms:W3CDTF">2022-06-07T23:49:38Z</dcterms:created>
  <dcterms:modified xsi:type="dcterms:W3CDTF">2022-06-27T14:47:43Z</dcterms:modified>
</cp:coreProperties>
</file>