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F4AB8F7-0E64-4607-AB37-084BCE8A8C8D}" xr6:coauthVersionLast="47" xr6:coauthVersionMax="47" xr10:uidLastSave="{00000000-0000-0000-0000-000000000000}"/>
  <bookViews>
    <workbookView xWindow="3885" yWindow="3750" windowWidth="21600" windowHeight="15435" xr2:uid="{EAA5D936-7EAA-4228-9877-E5DEA8FD2B98}"/>
  </bookViews>
  <sheets>
    <sheet name="Sheet1" sheetId="1" r:id="rId1"/>
  </sheets>
  <definedNames>
    <definedName name="A_v">Sheet1!$D$16</definedName>
    <definedName name="accel_v">Sheet1!$D$18</definedName>
    <definedName name="alpha">Sheet1!$D$13</definedName>
    <definedName name="C_d">Sheet1!$D$15</definedName>
    <definedName name="C_r">Sheet1!$D$14</definedName>
    <definedName name="F_a">Sheet1!$D$22</definedName>
    <definedName name="F_b">Sheet1!$D$19</definedName>
    <definedName name="F_D">Sheet1!$D$21</definedName>
    <definedName name="F_g">Sheet1!$D$23</definedName>
    <definedName name="F_R">Sheet1!$D$20</definedName>
    <definedName name="g_e">Sheet1!$D$5</definedName>
    <definedName name="ge">Sheet1!$D$5</definedName>
    <definedName name="m_v">Sheet1!$D$12</definedName>
    <definedName name="MW_air">Sheet1!$D$6</definedName>
    <definedName name="P_amb">Sheet1!$D$10</definedName>
    <definedName name="P_r">Sheet1!$D$24</definedName>
    <definedName name="P_v">Sheet1!$D$25</definedName>
    <definedName name="R_air">Sheet1!$D$8</definedName>
    <definedName name="R_bar">Sheet1!$D$7</definedName>
    <definedName name="rho_air">Sheet1!$D$11</definedName>
    <definedName name="S_v">Sheet1!$D$17</definedName>
    <definedName name="T_amb">Sheet1!$D$9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D10" i="1"/>
  <c r="F13" i="1" l="1"/>
  <c r="G14" i="1" l="1"/>
  <c r="G15" i="1"/>
  <c r="F15" i="1"/>
  <c r="F14" i="1"/>
  <c r="F19" i="1"/>
  <c r="F18" i="1"/>
  <c r="F16" i="1"/>
  <c r="F10" i="1"/>
  <c r="F9" i="1"/>
  <c r="F17" i="1" l="1"/>
  <c r="F12" i="1"/>
  <c r="D20" i="1" l="1"/>
  <c r="F20" i="1" s="1"/>
  <c r="D23" i="1"/>
  <c r="F23" i="1" s="1"/>
  <c r="D22" i="1"/>
  <c r="F22" i="1" s="1"/>
  <c r="D8" i="1"/>
  <c r="D11" i="1" s="1"/>
  <c r="D21" i="1" l="1"/>
  <c r="F21" i="1" s="1"/>
  <c r="F11" i="1"/>
  <c r="D24" i="1"/>
  <c r="F24" i="1" s="1"/>
  <c r="D25" i="1" l="1"/>
  <c r="F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Justin</author>
  </authors>
  <commentList>
    <comment ref="B10" authorId="0" shapeId="0" xr:uid="{74B1E352-38CC-4170-BE52-29CADC9846C8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Note 101.3 kPa is avg sea level pressure
10,000 ft is around 70 kPa.</t>
        </r>
      </text>
    </comment>
    <comment ref="B12" authorId="0" shapeId="0" xr:uid="{4CDCACE3-68ED-4B4A-ABDD-1E3F2CCC0491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Gross Weight 
IE Curb Weight + Payload</t>
        </r>
      </text>
    </comment>
    <comment ref="B14" authorId="0" shapeId="0" xr:uid="{B76D34FC-3293-4746-8DEA-E59BDC6B2BF9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Get from test data from coast down etc.
</t>
        </r>
      </text>
    </comment>
    <comment ref="B15" authorId="0" shapeId="0" xr:uid="{BE1D06F0-8382-4829-A4C9-03FD8F8CFEF4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Get from test data from coast down etc.
</t>
        </r>
      </text>
    </comment>
    <comment ref="B16" authorId="0" shapeId="0" xr:uid="{99BC70B6-2C1E-49B0-9565-9BEBFC0F5E4C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If unknown,estimate with:
0.9*height*width
(from Automotive Handbook 6th ed by Robert Bosch)</t>
        </r>
      </text>
    </comment>
    <comment ref="B24" authorId="0" shapeId="0" xr:uid="{739DDF65-6F9D-470D-9670-9911D2CEA14A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Power to drive vehicle on level surface at constant speed
</t>
        </r>
      </text>
    </comment>
  </commentList>
</comments>
</file>

<file path=xl/sharedStrings.xml><?xml version="1.0" encoding="utf-8"?>
<sst xmlns="http://schemas.openxmlformats.org/spreadsheetml/2006/main" count="90" uniqueCount="77">
  <si>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</si>
  <si>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</si>
  <si>
    <r>
      <t>F</t>
    </r>
    <r>
      <rPr>
        <vertAlign val="subscript"/>
        <sz val="11"/>
        <color theme="1"/>
        <rFont val="Calibri"/>
        <family val="2"/>
        <scheme val="minor"/>
      </rPr>
      <t>D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</si>
  <si>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</si>
  <si>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r>
      <t>F</t>
    </r>
    <r>
      <rPr>
        <vertAlign val="subscript"/>
        <sz val="11"/>
        <color theme="1"/>
        <rFont val="Calibri"/>
        <family val="2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</si>
  <si>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scheme val="minor"/>
      </rPr>
      <t>v</t>
    </r>
  </si>
  <si>
    <t>Vehicle Aerodynamic Drag</t>
  </si>
  <si>
    <t>Vehicle Rolling Resistance</t>
  </si>
  <si>
    <t>Vehicle Acceleration Force</t>
  </si>
  <si>
    <t>Force due to Gravity</t>
  </si>
  <si>
    <t>Braking Force</t>
  </si>
  <si>
    <t>Vehicle Speed</t>
  </si>
  <si>
    <t>α</t>
  </si>
  <si>
    <t>Grade Angle</t>
  </si>
  <si>
    <r>
      <t>ρ</t>
    </r>
    <r>
      <rPr>
        <vertAlign val="subscript"/>
        <sz val="11"/>
        <color theme="1"/>
        <rFont val="Calibri"/>
        <family val="2"/>
      </rPr>
      <t>a</t>
    </r>
  </si>
  <si>
    <t>Ambient Air Density</t>
  </si>
  <si>
    <r>
      <t>C</t>
    </r>
    <r>
      <rPr>
        <vertAlign val="subscript"/>
        <sz val="11"/>
        <color theme="1"/>
        <rFont val="Calibri"/>
        <family val="2"/>
      </rPr>
      <t>D</t>
    </r>
  </si>
  <si>
    <r>
      <t>A</t>
    </r>
    <r>
      <rPr>
        <vertAlign val="subscript"/>
        <sz val="11"/>
        <color theme="1"/>
        <rFont val="Calibri"/>
        <family val="2"/>
      </rPr>
      <t>v</t>
    </r>
  </si>
  <si>
    <r>
      <t>a</t>
    </r>
    <r>
      <rPr>
        <vertAlign val="subscript"/>
        <sz val="11"/>
        <color theme="1"/>
        <rFont val="Calibri"/>
        <family val="2"/>
      </rPr>
      <t>v</t>
    </r>
  </si>
  <si>
    <t>Frontal Area of Vehicle</t>
  </si>
  <si>
    <r>
      <t>P</t>
    </r>
    <r>
      <rPr>
        <vertAlign val="subscript"/>
        <sz val="11"/>
        <color theme="1"/>
        <rFont val="Calibri"/>
        <family val="2"/>
      </rPr>
      <t>r</t>
    </r>
  </si>
  <si>
    <t>Coefficient of Rolling Resistance</t>
  </si>
  <si>
    <r>
      <t>C</t>
    </r>
    <r>
      <rPr>
        <vertAlign val="subscript"/>
        <sz val="11"/>
        <color theme="1"/>
        <rFont val="Calibri"/>
        <family val="2"/>
      </rPr>
      <t>R</t>
    </r>
  </si>
  <si>
    <t>Mass of Vehicle</t>
  </si>
  <si>
    <r>
      <t>m</t>
    </r>
    <r>
      <rPr>
        <vertAlign val="subscript"/>
        <sz val="11"/>
        <color theme="1"/>
        <rFont val="Calibri"/>
        <family val="2"/>
        <scheme val="minor"/>
      </rPr>
      <t>v</t>
    </r>
  </si>
  <si>
    <t>kg</t>
  </si>
  <si>
    <t>Ambient Air Temperature</t>
  </si>
  <si>
    <t>Ambient Air Pressure</t>
  </si>
  <si>
    <t>kPa</t>
  </si>
  <si>
    <t>°C</t>
  </si>
  <si>
    <t>Molar Mass of Air</t>
  </si>
  <si>
    <t>Universal Gas Constant</t>
  </si>
  <si>
    <t>R bar</t>
  </si>
  <si>
    <t>J/(K*mol)</t>
  </si>
  <si>
    <r>
      <t>R</t>
    </r>
    <r>
      <rPr>
        <vertAlign val="subscript"/>
        <sz val="11"/>
        <color theme="1"/>
        <rFont val="Calibri"/>
        <family val="2"/>
        <scheme val="minor"/>
      </rPr>
      <t>air</t>
    </r>
  </si>
  <si>
    <r>
      <t>MW</t>
    </r>
    <r>
      <rPr>
        <vertAlign val="subscript"/>
        <sz val="11"/>
        <color theme="1"/>
        <rFont val="Calibri"/>
        <family val="2"/>
        <scheme val="minor"/>
      </rPr>
      <t>air</t>
    </r>
  </si>
  <si>
    <t>kg/mol</t>
  </si>
  <si>
    <t>J/(kg*K)</t>
  </si>
  <si>
    <r>
      <t>T</t>
    </r>
    <r>
      <rPr>
        <vertAlign val="subscript"/>
        <sz val="11"/>
        <color theme="1"/>
        <rFont val="Calibri"/>
        <family val="2"/>
        <scheme val="minor"/>
      </rPr>
      <t>amb</t>
    </r>
  </si>
  <si>
    <r>
      <t>P</t>
    </r>
    <r>
      <rPr>
        <vertAlign val="subscript"/>
        <sz val="11"/>
        <color theme="1"/>
        <rFont val="Calibri"/>
        <family val="2"/>
        <scheme val="minor"/>
      </rPr>
      <t>amb</t>
    </r>
  </si>
  <si>
    <t>kg/m^3</t>
  </si>
  <si>
    <t>deg</t>
  </si>
  <si>
    <t>Vehicle Acceleration</t>
  </si>
  <si>
    <t>m/s^2</t>
  </si>
  <si>
    <t>N</t>
  </si>
  <si>
    <t>m^2</t>
  </si>
  <si>
    <t>kph</t>
  </si>
  <si>
    <r>
      <t>P</t>
    </r>
    <r>
      <rPr>
        <vertAlign val="subscript"/>
        <sz val="11"/>
        <color theme="1"/>
        <rFont val="Calibri"/>
        <family val="2"/>
      </rPr>
      <t>v</t>
    </r>
  </si>
  <si>
    <t>-</t>
  </si>
  <si>
    <t>W</t>
  </si>
  <si>
    <t>Coefficient of Air Drag</t>
  </si>
  <si>
    <t>Acceleration Due to Gravity</t>
  </si>
  <si>
    <t>Specific Gas Constant of Air</t>
  </si>
  <si>
    <t>Description</t>
  </si>
  <si>
    <t>Symbol</t>
  </si>
  <si>
    <t>Value</t>
  </si>
  <si>
    <t>Units</t>
  </si>
  <si>
    <t>Variable Inputs</t>
  </si>
  <si>
    <t>Outputs</t>
  </si>
  <si>
    <t>Intermediate Calculations</t>
  </si>
  <si>
    <t>Legend</t>
  </si>
  <si>
    <t>(Assumed) Constants</t>
  </si>
  <si>
    <r>
      <t>g</t>
    </r>
    <r>
      <rPr>
        <vertAlign val="subscript"/>
        <sz val="11"/>
        <color theme="1"/>
        <rFont val="Calibri"/>
        <family val="2"/>
        <scheme val="minor"/>
      </rPr>
      <t>e</t>
    </r>
  </si>
  <si>
    <t>Wheel Power to Drive</t>
  </si>
  <si>
    <t>Wheel Road Load Power</t>
  </si>
  <si>
    <t>HP</t>
  </si>
  <si>
    <t>mph</t>
  </si>
  <si>
    <t>°F</t>
  </si>
  <si>
    <t>atm</t>
  </si>
  <si>
    <t>ft^2</t>
  </si>
  <si>
    <t>ft/s^2</t>
  </si>
  <si>
    <r>
      <t>lb</t>
    </r>
    <r>
      <rPr>
        <vertAlign val="subscript"/>
        <sz val="11"/>
        <color theme="2" tint="-0.499984740745262"/>
        <rFont val="Calibri"/>
        <family val="2"/>
        <scheme val="minor"/>
      </rPr>
      <t>m</t>
    </r>
    <r>
      <rPr>
        <sz val="11"/>
        <color theme="2" tint="-0.499984740745262"/>
        <rFont val="Calibri"/>
        <family val="2"/>
        <scheme val="minor"/>
      </rPr>
      <t>/ft^3</t>
    </r>
  </si>
  <si>
    <r>
      <t>lb</t>
    </r>
    <r>
      <rPr>
        <vertAlign val="subscript"/>
        <sz val="11"/>
        <color theme="2" tint="-0.499984740745262"/>
        <rFont val="Calibri"/>
        <family val="2"/>
        <scheme val="minor"/>
      </rPr>
      <t>f</t>
    </r>
  </si>
  <si>
    <t>grade</t>
  </si>
  <si>
    <t>mph/s</t>
  </si>
  <si>
    <t>J. Williams</t>
  </si>
  <si>
    <t>Any issues can be sent to Jwills@protonmail.com….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</si>
</sst>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vertAlign val="subscript"/>
      <sz val="11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6">
    <xf numFmtId="0" fontId="0" fillId="0" borderId="0" xfId="0"/>
    <xf numFmtId="0" fontId="1" fillId="0" borderId="11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Alignment="1" applyProtection="1">
      <alignment horizontal="right"/>
      <protection hidden="1"/>
    </xf>
    <xf numFmtId="0" fontId="0" fillId="4" borderId="9" xfId="0" applyFill="1" applyBorder="1" applyProtection="1"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2" borderId="16" xfId="0" applyFont="1" applyFill="1" applyBorder="1" applyAlignment="1" applyProtection="1">
      <alignment horizontal="right" vertical="center"/>
      <protection hidden="1"/>
    </xf>
    <xf numFmtId="0" fontId="0" fillId="0" borderId="3" xfId="0" applyBorder="1" applyProtection="1">
      <protection hidden="1"/>
    </xf>
    <xf numFmtId="0" fontId="0" fillId="0" borderId="1" xfId="0" applyBorder="1" applyAlignment="1" applyProtection="1">
      <alignment horizontal="right"/>
      <protection hidden="1"/>
    </xf>
    <xf numFmtId="0" fontId="0" fillId="4" borderId="1" xfId="0" applyFill="1" applyBorder="1" applyProtection="1"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5" borderId="14" xfId="0" applyFill="1" applyBorder="1" applyAlignment="1" applyProtection="1">
      <alignment horizontal="right"/>
      <protection hidden="1"/>
    </xf>
    <xf numFmtId="165" fontId="0" fillId="4" borderId="1" xfId="0" applyNumberFormat="1" applyFill="1" applyBorder="1" applyProtection="1">
      <protection hidden="1"/>
    </xf>
    <xf numFmtId="0" fontId="0" fillId="4" borderId="14" xfId="0" applyFill="1" applyBorder="1" applyAlignment="1" applyProtection="1">
      <alignment horizontal="right"/>
      <protection hidden="1"/>
    </xf>
    <xf numFmtId="166" fontId="0" fillId="5" borderId="1" xfId="0" applyNumberFormat="1" applyFill="1" applyBorder="1" applyProtection="1">
      <protection hidden="1"/>
    </xf>
    <xf numFmtId="0" fontId="0" fillId="3" borderId="15" xfId="0" applyFill="1" applyBorder="1" applyAlignment="1" applyProtection="1">
      <alignment horizontal="right"/>
      <protection hidden="1"/>
    </xf>
    <xf numFmtId="0" fontId="3" fillId="0" borderId="4" xfId="0" applyFont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applyFont="1" applyAlignment="1" applyProtection="1">
      <alignment horizontal="center" vertical="center"/>
      <protection hidden="1"/>
    </xf>
    <xf numFmtId="166" fontId="7" fillId="0" borderId="0" xfId="0" applyNumberFormat="1" applyFont="1" applyProtection="1">
      <protection hidden="1"/>
    </xf>
    <xf numFmtId="0" fontId="3" fillId="0" borderId="1" xfId="0" applyFont="1" applyBorder="1" applyAlignment="1" applyProtection="1">
      <alignment horizontal="right"/>
      <protection hidden="1"/>
    </xf>
    <xf numFmtId="164" fontId="0" fillId="5" borderId="1" xfId="0" applyNumberFormat="1" applyFill="1" applyBorder="1" applyProtection="1">
      <protection hidden="1"/>
    </xf>
    <xf numFmtId="10" fontId="7" fillId="0" borderId="0" xfId="1" applyNumberFormat="1" applyFont="1" applyProtection="1">
      <protection hidden="1"/>
    </xf>
    <xf numFmtId="165" fontId="7" fillId="0" borderId="0" xfId="0" applyNumberFormat="1" applyFont="1" applyProtection="1">
      <protection hidden="1"/>
    </xf>
    <xf numFmtId="0" fontId="0" fillId="5" borderId="1" xfId="0" applyFill="1" applyBorder="1" applyProtection="1">
      <protection hidden="1"/>
    </xf>
    <xf numFmtId="166" fontId="0" fillId="3" borderId="1" xfId="0" applyNumberFormat="1" applyFill="1" applyBorder="1" applyProtection="1">
      <protection hidden="1"/>
    </xf>
    <xf numFmtId="0" fontId="0" fillId="0" borderId="5" xfId="0" applyBorder="1" applyProtection="1">
      <protection hidden="1"/>
    </xf>
    <xf numFmtId="0" fontId="3" fillId="0" borderId="6" xfId="0" applyFont="1" applyBorder="1" applyAlignment="1" applyProtection="1">
      <alignment horizontal="right"/>
      <protection hidden="1"/>
    </xf>
    <xf numFmtId="166" fontId="0" fillId="3" borderId="6" xfId="0" applyNumberFormat="1" applyFill="1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2" borderId="1" xfId="0" applyFill="1" applyBorder="1" applyProtection="1">
      <protection locked="0"/>
    </xf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66675</xdr:colOff>
      <xdr:row>25</xdr:row>
      <xdr:rowOff>4762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FDE358-B2F9-4339-BEF6-3BEE449C6B5E}"/>
            </a:ext>
          </a:extLst>
        </xdr:cNvPr>
        <xdr:cNvSpPr txBox="1"/>
      </xdr:nvSpPr>
      <xdr:spPr>
        <a:xfrm>
          <a:off x="5400675" y="4691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3342-7156-4995-B63C-D9E9952ACAFA}">
  <dimension ref="B1:I25"/>
  <sheetViews>
    <sheetView tabSelected="1" workbookViewId="0">
      <selection activeCell="B1" sqref="B1"/>
    </sheetView>
  </sheetViews>
  <sheetFormatPr defaultRowHeight="15" x14ac:dyDescent="0.25"/>
  <cols>
    <col min="1" max="1" width="1.42578125" customWidth="1"/>
    <col min="2" max="2" width="30.28515625" bestFit="1" customWidth="1"/>
    <col min="4" max="4" width="10" bestFit="1" customWidth="1"/>
    <col min="6" max="6" width="24.28515625" bestFit="1" customWidth="1"/>
  </cols>
  <sheetData>
    <row r="1" spans="2:9" x14ac:dyDescent="0.25">
      <c r="B1" s="35" t="s">
        <v>75</v>
      </c>
      <c r="C1" s="35"/>
      <c r="D1" s="35"/>
    </row>
    <row r="2" spans="2:9" x14ac:dyDescent="0.25">
      <c r="B2" s="35" t="s">
        <v>76</v>
      </c>
      <c r="C2" s="35"/>
      <c r="D2" s="35"/>
    </row>
    <row r="3" spans="2:9" ht="15.75" thickBot="1" x14ac:dyDescent="0.3"/>
    <row r="4" spans="2:9" ht="15.75" thickBot="1" x14ac:dyDescent="0.3">
      <c r="B4" s="1" t="s">
        <v>53</v>
      </c>
      <c r="C4" s="2" t="s">
        <v>54</v>
      </c>
      <c r="D4" s="2" t="s">
        <v>55</v>
      </c>
      <c r="E4" s="3" t="s">
        <v>56</v>
      </c>
      <c r="F4" s="4" t="s">
        <v>60</v>
      </c>
      <c r="G4" s="5"/>
      <c r="H4" s="5"/>
      <c r="I4" s="5"/>
    </row>
    <row r="5" spans="2:9" ht="18" x14ac:dyDescent="0.35">
      <c r="B5" s="6" t="s">
        <v>51</v>
      </c>
      <c r="C5" s="7" t="s">
        <v>62</v>
      </c>
      <c r="D5" s="8">
        <v>9.8066499999999994</v>
      </c>
      <c r="E5" s="9" t="s">
        <v>43</v>
      </c>
      <c r="F5" s="10" t="s">
        <v>57</v>
      </c>
      <c r="G5" s="5"/>
      <c r="H5" s="5"/>
      <c r="I5" s="5"/>
    </row>
    <row r="6" spans="2:9" ht="18" x14ac:dyDescent="0.35">
      <c r="B6" s="11" t="s">
        <v>30</v>
      </c>
      <c r="C6" s="12" t="s">
        <v>35</v>
      </c>
      <c r="D6" s="13">
        <v>2.8964699999999999E-2</v>
      </c>
      <c r="E6" s="14" t="s">
        <v>36</v>
      </c>
      <c r="F6" s="15" t="s">
        <v>59</v>
      </c>
      <c r="G6" s="5"/>
      <c r="H6" s="5"/>
      <c r="I6" s="5"/>
    </row>
    <row r="7" spans="2:9" x14ac:dyDescent="0.25">
      <c r="B7" s="11" t="s">
        <v>31</v>
      </c>
      <c r="C7" s="12" t="s">
        <v>32</v>
      </c>
      <c r="D7" s="16">
        <v>8.3144626181532395</v>
      </c>
      <c r="E7" s="14" t="s">
        <v>33</v>
      </c>
      <c r="F7" s="17" t="s">
        <v>61</v>
      </c>
      <c r="G7" s="5"/>
      <c r="H7" s="5"/>
      <c r="I7" s="5"/>
    </row>
    <row r="8" spans="2:9" ht="18.75" thickBot="1" x14ac:dyDescent="0.4">
      <c r="B8" s="11" t="s">
        <v>52</v>
      </c>
      <c r="C8" s="12" t="s">
        <v>34</v>
      </c>
      <c r="D8" s="18">
        <f>R_bar/MW_air</f>
        <v>287.05502277438535</v>
      </c>
      <c r="E8" s="14" t="s">
        <v>37</v>
      </c>
      <c r="F8" s="19" t="s">
        <v>58</v>
      </c>
      <c r="G8" s="5"/>
      <c r="H8" s="5"/>
      <c r="I8" s="5"/>
    </row>
    <row r="9" spans="2:9" ht="18" x14ac:dyDescent="0.35">
      <c r="B9" s="11" t="s">
        <v>26</v>
      </c>
      <c r="C9" s="12" t="s">
        <v>38</v>
      </c>
      <c r="D9" s="34">
        <v>15</v>
      </c>
      <c r="E9" s="20" t="s">
        <v>29</v>
      </c>
      <c r="F9" s="21">
        <f>CONVERT(T_amb,"C","F")</f>
        <v>59</v>
      </c>
      <c r="G9" s="22" t="s">
        <v>67</v>
      </c>
      <c r="H9" s="5"/>
      <c r="I9" s="5"/>
    </row>
    <row r="10" spans="2:9" ht="18" x14ac:dyDescent="0.35">
      <c r="B10" s="11" t="s">
        <v>27</v>
      </c>
      <c r="C10" s="12" t="s">
        <v>39</v>
      </c>
      <c r="D10" s="34">
        <f>101.325</f>
        <v>101.325</v>
      </c>
      <c r="E10" s="14" t="s">
        <v>28</v>
      </c>
      <c r="F10" s="23">
        <f>CONVERT(P_amb,"kPa","atm")</f>
        <v>1</v>
      </c>
      <c r="G10" s="22" t="s">
        <v>68</v>
      </c>
      <c r="H10" s="5"/>
      <c r="I10" s="5"/>
    </row>
    <row r="11" spans="2:9" ht="18" x14ac:dyDescent="0.35">
      <c r="B11" s="11" t="s">
        <v>15</v>
      </c>
      <c r="C11" s="24" t="s">
        <v>14</v>
      </c>
      <c r="D11" s="25">
        <f>P_amb/(CONVERT(R_air,"g","kg")*CONVERT(T_amb,"C","K"))</f>
        <v>1.2249908312142814</v>
      </c>
      <c r="E11" s="14" t="s">
        <v>40</v>
      </c>
      <c r="F11" s="21">
        <f>CONVERT(CONVERT(rho_air,"kg","lbm"),"ft^3","m^3")</f>
        <v>7.6473679317183782E-2</v>
      </c>
      <c r="G11" s="22" t="s">
        <v>71</v>
      </c>
      <c r="H11" s="5"/>
      <c r="I11" s="5"/>
    </row>
    <row r="12" spans="2:9" ht="18" x14ac:dyDescent="0.35">
      <c r="B12" s="11" t="s">
        <v>23</v>
      </c>
      <c r="C12" s="12" t="s">
        <v>24</v>
      </c>
      <c r="D12" s="34">
        <v>362.875</v>
      </c>
      <c r="E12" s="14" t="s">
        <v>25</v>
      </c>
      <c r="F12" s="23">
        <f>CONVERT(m_v,"kg","lbm")</f>
        <v>800.00243390337448</v>
      </c>
      <c r="G12" s="22" t="s">
        <v>72</v>
      </c>
      <c r="H12" s="5"/>
      <c r="I12" s="5"/>
    </row>
    <row r="13" spans="2:9" x14ac:dyDescent="0.25">
      <c r="B13" s="11" t="s">
        <v>13</v>
      </c>
      <c r="C13" s="24" t="s">
        <v>12</v>
      </c>
      <c r="D13" s="34">
        <v>22</v>
      </c>
      <c r="E13" s="14" t="s">
        <v>41</v>
      </c>
      <c r="F13" s="26">
        <f>TAN(RADIANS(alpha))</f>
        <v>0.40402622583515679</v>
      </c>
      <c r="G13" s="22" t="s">
        <v>73</v>
      </c>
      <c r="H13" s="5"/>
      <c r="I13" s="5"/>
    </row>
    <row r="14" spans="2:9" ht="18" x14ac:dyDescent="0.35">
      <c r="B14" s="11" t="s">
        <v>21</v>
      </c>
      <c r="C14" s="24" t="s">
        <v>22</v>
      </c>
      <c r="D14" s="34">
        <v>1.3879622915155911E-2</v>
      </c>
      <c r="E14" s="14" t="s">
        <v>48</v>
      </c>
      <c r="F14" s="21">
        <f>C_r</f>
        <v>1.3879622915155911E-2</v>
      </c>
      <c r="G14" s="22" t="str">
        <f t="shared" ref="G14:G15" si="0">E14</f>
        <v>-</v>
      </c>
      <c r="H14" s="5"/>
      <c r="I14" s="5"/>
    </row>
    <row r="15" spans="2:9" ht="18" x14ac:dyDescent="0.35">
      <c r="B15" s="11" t="s">
        <v>50</v>
      </c>
      <c r="C15" s="24" t="s">
        <v>16</v>
      </c>
      <c r="D15" s="34">
        <v>0.76911420022011967</v>
      </c>
      <c r="E15" s="14" t="s">
        <v>48</v>
      </c>
      <c r="F15" s="21">
        <f>C_d</f>
        <v>0.76911420022011967</v>
      </c>
      <c r="G15" s="22" t="str">
        <f t="shared" si="0"/>
        <v>-</v>
      </c>
      <c r="H15" s="5"/>
      <c r="I15" s="5"/>
    </row>
    <row r="16" spans="2:9" ht="18" x14ac:dyDescent="0.35">
      <c r="B16" s="11" t="s">
        <v>19</v>
      </c>
      <c r="C16" s="24" t="s">
        <v>17</v>
      </c>
      <c r="D16" s="34">
        <v>1.8</v>
      </c>
      <c r="E16" s="14" t="s">
        <v>45</v>
      </c>
      <c r="F16" s="27">
        <f>CONVERT(A_v,"m^2","ft^2")</f>
        <v>19.375038750077501</v>
      </c>
      <c r="G16" s="22" t="s">
        <v>69</v>
      </c>
      <c r="H16" s="5"/>
      <c r="I16" s="5"/>
    </row>
    <row r="17" spans="2:9" ht="18" x14ac:dyDescent="0.35">
      <c r="B17" s="11" t="s">
        <v>11</v>
      </c>
      <c r="C17" s="12" t="s">
        <v>5</v>
      </c>
      <c r="D17" s="34">
        <v>32.1875</v>
      </c>
      <c r="E17" s="14" t="s">
        <v>46</v>
      </c>
      <c r="F17" s="23">
        <f>CONVERT(S_v,"km","mi")</f>
        <v>20.000385250139185</v>
      </c>
      <c r="G17" s="22" t="s">
        <v>66</v>
      </c>
      <c r="H17" s="5"/>
      <c r="I17" s="5"/>
    </row>
    <row r="18" spans="2:9" ht="18" x14ac:dyDescent="0.35">
      <c r="B18" s="11" t="s">
        <v>42</v>
      </c>
      <c r="C18" s="24" t="s">
        <v>18</v>
      </c>
      <c r="D18" s="34">
        <v>0.2</v>
      </c>
      <c r="E18" s="14" t="s">
        <v>43</v>
      </c>
      <c r="F18" s="21">
        <f>CONVERT(accel_v,"m","ft")</f>
        <v>0.65616797900262469</v>
      </c>
      <c r="G18" s="22" t="s">
        <v>70</v>
      </c>
      <c r="H18" s="21">
        <f>CONVERT(accel_v,"m","mi")/CONVERT(1,"s","hr")</f>
        <v>0.44738725841088051</v>
      </c>
      <c r="I18" s="21" t="s">
        <v>74</v>
      </c>
    </row>
    <row r="19" spans="2:9" ht="18" x14ac:dyDescent="0.35">
      <c r="B19" s="11" t="s">
        <v>10</v>
      </c>
      <c r="C19" s="12" t="s">
        <v>4</v>
      </c>
      <c r="D19" s="34">
        <v>2.5</v>
      </c>
      <c r="E19" s="14" t="s">
        <v>44</v>
      </c>
      <c r="F19" s="21">
        <f>CONVERT(F_b,"N","lbf")</f>
        <v>0.56202235774927622</v>
      </c>
      <c r="G19" s="22" t="s">
        <v>72</v>
      </c>
      <c r="H19" s="5"/>
      <c r="I19" s="5"/>
    </row>
    <row r="20" spans="2:9" ht="18" x14ac:dyDescent="0.35">
      <c r="B20" s="11" t="s">
        <v>7</v>
      </c>
      <c r="C20" s="12" t="s">
        <v>1</v>
      </c>
      <c r="D20" s="18">
        <f>C_r*m_v*g_e*COS(RADIANS(alpha))</f>
        <v>45.79533625034945</v>
      </c>
      <c r="E20" s="14" t="s">
        <v>44</v>
      </c>
      <c r="F20" s="23">
        <f>CONVERT(F_R,"N","lbf")</f>
        <v>10.295201141336918</v>
      </c>
      <c r="G20" s="22" t="s">
        <v>72</v>
      </c>
      <c r="H20" s="5"/>
      <c r="I20" s="5"/>
    </row>
    <row r="21" spans="2:9" ht="18" x14ac:dyDescent="0.35">
      <c r="B21" s="11" t="s">
        <v>6</v>
      </c>
      <c r="C21" s="12" t="s">
        <v>2</v>
      </c>
      <c r="D21" s="18">
        <f>0.5*rho_air*C_d*A_v*CONVERT(CONVERT(S_v,"km","m"),"s","hr")^2</f>
        <v>67.785322814332162</v>
      </c>
      <c r="E21" s="14" t="s">
        <v>44</v>
      </c>
      <c r="F21" s="23">
        <f>CONVERT(F_D,"N","lbf")</f>
        <v>15.238746779562705</v>
      </c>
      <c r="G21" s="22" t="s">
        <v>72</v>
      </c>
      <c r="H21" s="5"/>
      <c r="I21" s="5"/>
    </row>
    <row r="22" spans="2:9" ht="18" x14ac:dyDescent="0.35">
      <c r="B22" s="11" t="s">
        <v>8</v>
      </c>
      <c r="C22" s="12" t="s">
        <v>0</v>
      </c>
      <c r="D22" s="28">
        <f>m_v*accel_v</f>
        <v>72.575000000000003</v>
      </c>
      <c r="E22" s="14" t="s">
        <v>44</v>
      </c>
      <c r="F22" s="21">
        <f>CONVERT(F_a,"N","lbf")</f>
        <v>16.315509045461489</v>
      </c>
      <c r="G22" s="22" t="s">
        <v>72</v>
      </c>
      <c r="H22" s="5"/>
      <c r="I22" s="5"/>
    </row>
    <row r="23" spans="2:9" ht="18" x14ac:dyDescent="0.35">
      <c r="B23" s="11" t="s">
        <v>9</v>
      </c>
      <c r="C23" s="12" t="s">
        <v>3</v>
      </c>
      <c r="D23" s="28">
        <f>m_v*g_e*SIN(RADIANS(alpha))</f>
        <v>1333.0705725352764</v>
      </c>
      <c r="E23" s="14" t="s">
        <v>44</v>
      </c>
      <c r="F23" s="23">
        <f>CONVERT(F_g,"N","lbf")</f>
        <v>299.68618648898143</v>
      </c>
      <c r="G23" s="22" t="s">
        <v>72</v>
      </c>
      <c r="H23" s="5"/>
      <c r="I23" s="5"/>
    </row>
    <row r="24" spans="2:9" ht="18" x14ac:dyDescent="0.35">
      <c r="B24" s="11" t="s">
        <v>64</v>
      </c>
      <c r="C24" s="24" t="s">
        <v>20</v>
      </c>
      <c r="D24" s="29">
        <f>(C_r*m_v*g_e+0.5*rho_air*C_d*A_v*CONVERT(CONVERT(S_v,"km","m"),"s","hr")^2)*CONVERT(CONVERT(S_v,"km","m"),"s","hr")</f>
        <v>1047.6779473378845</v>
      </c>
      <c r="E24" s="14" t="s">
        <v>49</v>
      </c>
      <c r="F24" s="23">
        <f>CONVERT(P_r,"W","HP")</f>
        <v>1.4049592701616793</v>
      </c>
      <c r="G24" s="22" t="s">
        <v>65</v>
      </c>
      <c r="H24" s="5"/>
      <c r="I24" s="5"/>
    </row>
    <row r="25" spans="2:9" ht="18.75" thickBot="1" x14ac:dyDescent="0.4">
      <c r="B25" s="30" t="s">
        <v>63</v>
      </c>
      <c r="C25" s="31" t="s">
        <v>47</v>
      </c>
      <c r="D25" s="32">
        <f>SUM(D19:D23)*CONVERT(CONVERT(S_v,"km","m"),"s","hr")</f>
        <v>13605.711966562123</v>
      </c>
      <c r="E25" s="33" t="s">
        <v>49</v>
      </c>
      <c r="F25" s="23">
        <f>CONVERT(P_v,"W","HP")</f>
        <v>18.245560291827214</v>
      </c>
      <c r="G25" s="22" t="s">
        <v>65</v>
      </c>
      <c r="H25" s="5"/>
      <c r="I25" s="5"/>
    </row>
  </sheetData>
  <sheetProtection algorithmName="SHA-512" hashValue="z2DeWkQCXIkKLskOYRpx2xebDK/vKMrECQMUUKR6ajzYjd1Juudgma2cebsvwYQmQTljaMYP2L+n1mXQBaJL7A==" saltValue="42qt+cMhtzMzJXut3kOH6w==" spinCount="100000" sheet="1" objects="1" scenarios="1"/>
  <pageMargins left="0.7" right="0.7" top="0.75" bottom="0.75" header="0.3" footer="0.3"/>
  <pageSetup orientation="portrait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52BA5C730F14B92EB9ECBFB2C7418" ma:contentTypeVersion="14" ma:contentTypeDescription="Create a new document." ma:contentTypeScope="" ma:versionID="108d213f8868efb736a2df9a8f5be34d">
  <xsd:schema xmlns:xsd="http://www.w3.org/2001/XMLSchema" xmlns:xs="http://www.w3.org/2001/XMLSchema" xmlns:p="http://schemas.microsoft.com/office/2006/metadata/properties" xmlns:ns3="bca9a786-588e-41dd-a678-26a01561a81d" xmlns:ns4="73b8247c-57e8-4f2c-a684-da9afdc3115a" targetNamespace="http://schemas.microsoft.com/office/2006/metadata/properties" ma:root="true" ma:fieldsID="a19839b27257a07a54d9ebe9f36aa622" ns3:_="" ns4:_="">
    <xsd:import namespace="bca9a786-588e-41dd-a678-26a01561a81d"/>
    <xsd:import namespace="73b8247c-57e8-4f2c-a684-da9afdc31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9a786-588e-41dd-a678-26a01561a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8247c-57e8-4f2c-a684-da9afdc31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1AA5CB-D85C-401E-B9E6-A1B3BCDE60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04A4C8-051D-4B2D-B68C-CD42AAFFBD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FF8AAF-BF80-41BC-91AA-8A4696C89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a9a786-588e-41dd-a678-26a01561a81d"/>
    <ds:schemaRef ds:uri="73b8247c-57e8-4f2c-a684-da9afdc31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Sheet1</vt:lpstr>
      <vt:lpstr>A_v</vt:lpstr>
      <vt:lpstr>accel_v</vt:lpstr>
      <vt:lpstr>alpha</vt:lpstr>
      <vt:lpstr>C_d</vt:lpstr>
      <vt:lpstr>C_r</vt:lpstr>
      <vt:lpstr>F_a</vt:lpstr>
      <vt:lpstr>F_b</vt:lpstr>
      <vt:lpstr>F_D</vt:lpstr>
      <vt:lpstr>F_g</vt:lpstr>
      <vt:lpstr>F_R</vt:lpstr>
      <vt:lpstr>g_e</vt:lpstr>
      <vt:lpstr>ge</vt:lpstr>
      <vt:lpstr>m_v</vt:lpstr>
      <vt:lpstr>MW_air</vt:lpstr>
      <vt:lpstr>P_amb</vt:lpstr>
      <vt:lpstr>P_r</vt:lpstr>
      <vt:lpstr>P_v</vt:lpstr>
      <vt:lpstr>R_air</vt:lpstr>
      <vt:lpstr>R_bar</vt:lpstr>
      <vt:lpstr>rho_air</vt:lpstr>
      <vt:lpstr>S_v</vt:lpstr>
      <vt:lpstr>T_amb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Justin</cp:lastModifiedBy>
  <dcterms:created xsi:type="dcterms:W3CDTF">2021-10-28T14:09:15Z</dcterms:created>
  <dcterms:modified xsi:type="dcterms:W3CDTF">2022-04-16T01:23:02Z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0x0101005DA52BA5C730F14B92EB9ECBFB2C7418</vt:lpwstr>
  </property>
</Properties>
</file>