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S\study\KDD\final_exam\"/>
    </mc:Choice>
  </mc:AlternateContent>
  <xr:revisionPtr revIDLastSave="0" documentId="13_ncr:1_{4DD0CF4A-4B5C-4879-881D-1BE4EF7CB8D7}" xr6:coauthVersionLast="43" xr6:coauthVersionMax="43" xr10:uidLastSave="{00000000-0000-0000-0000-000000000000}"/>
  <bookViews>
    <workbookView xWindow="825" yWindow="-120" windowWidth="19785" windowHeight="11760" xr2:uid="{00000000-000D-0000-FFFF-FFFF00000000}"/>
  </bookViews>
  <sheets>
    <sheet name="Q2_C45" sheetId="2" r:id="rId1"/>
    <sheet name="Training set" sheetId="5" r:id="rId2"/>
  </sheets>
  <definedNames>
    <definedName name="_xlnm._FilterDatabase" localSheetId="1" hidden="1">'Training set'!$C$4:$H$11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2" l="1"/>
  <c r="H75" i="2"/>
  <c r="I75" i="2" s="1"/>
  <c r="H74" i="2"/>
  <c r="I74" i="2" s="1"/>
  <c r="H73" i="2"/>
  <c r="I73" i="2" s="1"/>
  <c r="J73" i="2" s="1"/>
  <c r="L73" i="2" s="1"/>
  <c r="H72" i="2"/>
  <c r="I72" i="2" s="1"/>
  <c r="H71" i="2"/>
  <c r="I71" i="2" s="1"/>
  <c r="H70" i="2"/>
  <c r="I70" i="2" s="1"/>
  <c r="G64" i="2"/>
  <c r="H62" i="2"/>
  <c r="I62" i="2" s="1"/>
  <c r="H61" i="2"/>
  <c r="I61" i="2" s="1"/>
  <c r="H60" i="2"/>
  <c r="I60" i="2" s="1"/>
  <c r="J60" i="2" s="1"/>
  <c r="L60" i="2" s="1"/>
  <c r="H59" i="2"/>
  <c r="I59" i="2" s="1"/>
  <c r="H58" i="2"/>
  <c r="I57" i="2"/>
  <c r="H57" i="2"/>
  <c r="K76" i="2"/>
  <c r="K63" i="2"/>
  <c r="G51" i="2"/>
  <c r="L50" i="2"/>
  <c r="K50" i="2"/>
  <c r="J47" i="2"/>
  <c r="J44" i="2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34" i="2"/>
  <c r="I34" i="2" s="1"/>
  <c r="H33" i="2"/>
  <c r="I33" i="2" s="1"/>
  <c r="H32" i="2"/>
  <c r="I32" i="2" s="1"/>
  <c r="H31" i="2"/>
  <c r="I31" i="2" s="1"/>
  <c r="H30" i="2"/>
  <c r="I30" i="2" s="1"/>
  <c r="J29" i="2" s="1"/>
  <c r="H29" i="2"/>
  <c r="I29" i="2" s="1"/>
  <c r="O14" i="2"/>
  <c r="P14" i="2" s="1"/>
  <c r="P16" i="2" s="1"/>
  <c r="K17" i="2"/>
  <c r="K14" i="2"/>
  <c r="K11" i="2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J70" i="2" l="1"/>
  <c r="L70" i="2" s="1"/>
  <c r="L76" i="2" s="1"/>
  <c r="J57" i="2"/>
  <c r="L57" i="2" s="1"/>
  <c r="L63" i="2" s="1"/>
  <c r="J32" i="2"/>
  <c r="J11" i="2"/>
  <c r="J14" i="2"/>
  <c r="J17" i="2"/>
  <c r="K20" i="2"/>
  <c r="K35" i="2" l="1"/>
  <c r="L11" i="2" l="1"/>
  <c r="L17" i="2"/>
  <c r="L44" i="2"/>
  <c r="L32" i="2"/>
  <c r="L29" i="2"/>
  <c r="L47" i="2"/>
  <c r="L14" i="2"/>
  <c r="L20" i="2" l="1"/>
  <c r="G21" i="2" s="1"/>
  <c r="L35" i="2"/>
  <c r="G36" i="2" s="1"/>
</calcChain>
</file>

<file path=xl/sharedStrings.xml><?xml version="1.0" encoding="utf-8"?>
<sst xmlns="http://schemas.openxmlformats.org/spreadsheetml/2006/main" count="125" uniqueCount="36">
  <si>
    <t xml:space="preserve"> </t>
  </si>
  <si>
    <t>Split</t>
  </si>
  <si>
    <t>None</t>
  </si>
  <si>
    <t>Pj</t>
  </si>
  <si>
    <t>-  (Pj* log(Pj)</t>
  </si>
  <si>
    <t>Total Entropy</t>
  </si>
  <si>
    <t>Percent</t>
  </si>
  <si>
    <t>Row Total</t>
  </si>
  <si>
    <t xml:space="preserve">Pct * Row total </t>
  </si>
  <si>
    <t xml:space="preserve">Total  </t>
  </si>
  <si>
    <t>Net Gain</t>
  </si>
  <si>
    <t>Level 1</t>
  </si>
  <si>
    <t>Level 2</t>
  </si>
  <si>
    <t>Alcohol</t>
  </si>
  <si>
    <t>Cocaine</t>
  </si>
  <si>
    <t>Heroin</t>
  </si>
  <si>
    <t>Ethnicity = Black</t>
  </si>
  <si>
    <t>Ethnicity = Hispanic</t>
  </si>
  <si>
    <t>Ethnicity = White</t>
  </si>
  <si>
    <t>Addictions</t>
  </si>
  <si>
    <t>Age = Old</t>
  </si>
  <si>
    <t>Age = Young</t>
  </si>
  <si>
    <t>split by Hispanic ethnicity</t>
  </si>
  <si>
    <t>split by White ethnicity</t>
  </si>
  <si>
    <t>split by Black ethnicity</t>
  </si>
  <si>
    <t>split by Age</t>
  </si>
  <si>
    <t>Split by Ethnicity</t>
  </si>
  <si>
    <t>Ethnicity</t>
  </si>
  <si>
    <t>Age Category</t>
  </si>
  <si>
    <t>Black</t>
  </si>
  <si>
    <t>Old</t>
  </si>
  <si>
    <t>Young</t>
  </si>
  <si>
    <t>Hispanic</t>
  </si>
  <si>
    <t>White</t>
  </si>
  <si>
    <t>Column Total</t>
  </si>
  <si>
    <t>Decision Tree - C4.5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</si>
</sst>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 applyAlignment="1">
      <alignment vertical="center"/>
    </xf>
    <xf numFmtId="164" fontId="0" fillId="0" borderId="0" xfId="0" applyNumberFormat="1" applyBorder="1"/>
    <xf numFmtId="164" fontId="1" fillId="0" borderId="0" xfId="0" applyNumberFormat="1" applyFont="1" applyBorder="1" applyAlignment="1">
      <alignment vertic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9" xfId="0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165" fontId="0" fillId="4" borderId="3" xfId="1" applyNumberFormat="1" applyFont="1" applyFill="1" applyBorder="1"/>
    <xf numFmtId="0" fontId="0" fillId="4" borderId="5" xfId="0" applyFill="1" applyBorder="1"/>
    <xf numFmtId="165" fontId="0" fillId="4" borderId="2" xfId="1" applyNumberFormat="1" applyFont="1" applyFill="1" applyBorder="1"/>
    <xf numFmtId="0" fontId="0" fillId="0" borderId="0" xfId="0"/>
    <xf numFmtId="0" fontId="0" fillId="0" borderId="6" xfId="0" applyBorder="1"/>
    <xf numFmtId="0" fontId="0" fillId="0" borderId="5" xfId="0" applyBorder="1"/>
    <xf numFmtId="165" fontId="0" fillId="4" borderId="6" xfId="1" applyNumberFormat="1" applyFont="1" applyFill="1" applyBorder="1"/>
    <xf numFmtId="165" fontId="0" fillId="4" borderId="5" xfId="1" applyNumberFormat="1" applyFont="1" applyFill="1" applyBorder="1"/>
    <xf numFmtId="165" fontId="0" fillId="4" borderId="9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5" fontId="0" fillId="4" borderId="9" xfId="1" applyNumberFormat="1" applyFont="1" applyFill="1" applyBorder="1"/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 vertical="top"/>
    </xf>
    <xf numFmtId="164" fontId="0" fillId="3" borderId="10" xfId="0" applyNumberForma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1" fillId="3" borderId="10" xfId="0" quotePrefix="1" applyNumberFormat="1" applyFont="1" applyFill="1" applyBorder="1" applyAlignment="1">
      <alignment horizontal="center"/>
    </xf>
    <xf numFmtId="0" fontId="1" fillId="3" borderId="10" xfId="0" quotePrefix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1371600</xdr:colOff>
          <xdr:row>0</xdr:row>
          <xdr:rowOff>142875</xdr:rowOff>
        </xdr:from>
        <xdr:to>
          <xdr:col>10</xdr:col>
          <xdr:colOff>123825</xdr:colOff>
          <xdr:row>4</xdr:row>
          <xdr:rowOff>171450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oneCellAnchor>
    <xdr:from>
      <xdr:col>12</xdr:col>
      <xdr:colOff>933450</xdr:colOff>
      <xdr:row>71</xdr:row>
      <xdr:rowOff>180975</xdr:rowOff>
    </xdr:from>
    <xdr:ext cx="3764364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382250" y="14163675"/>
          <a:ext cx="3764364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Explanation:</a:t>
          </a:r>
        </a:p>
        <a:p>
          <a:r>
            <a:rPr lang="en-US" sz="1100" b="0"/>
            <a:t>Final decision tree would be as displayed in figure.</a:t>
          </a:r>
        </a:p>
        <a:p>
          <a:r>
            <a:rPr lang="en-US" sz="1100" b="0" baseline="0"/>
            <a:t>For hispanic and white ethnicity, we can directly confirm from </a:t>
          </a:r>
        </a:p>
        <a:p>
          <a:r>
            <a:rPr lang="en-US" sz="1100" b="0" baseline="0"/>
            <a:t>the data that </a:t>
          </a:r>
        </a:p>
        <a:p>
          <a:r>
            <a:rPr lang="en-US" sz="1100" b="0" baseline="0"/>
            <a:t>age-&gt;old gives Alcohol   and </a:t>
          </a:r>
        </a:p>
        <a:p>
          <a:r>
            <a:rPr lang="en-US" sz="1100" b="0" baseline="0"/>
            <a:t>age-&gt;young gives Heroin</a:t>
          </a:r>
        </a:p>
        <a:p>
          <a:endParaRPr lang="en-US" sz="1100" b="0"/>
        </a:p>
      </xdr:txBody>
    </xdr:sp>
    <xdr:clientData/>
  </xdr:oneCellAnchor>
  <xdr:oneCellAnchor>
    <xdr:from>
      <xdr:col>12</xdr:col>
      <xdr:colOff>504825</xdr:colOff>
      <xdr:row>27</xdr:row>
      <xdr:rowOff>28575</xdr:rowOff>
    </xdr:from>
    <xdr:ext cx="439235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953625" y="5438775"/>
          <a:ext cx="4392356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Explanation: </a:t>
          </a:r>
          <a:r>
            <a:rPr lang="en-US" sz="1100" b="0"/>
            <a:t>As we can</a:t>
          </a:r>
          <a:r>
            <a:rPr lang="en-US" sz="1100" b="0" baseline="0"/>
            <a:t> notice split via ethnicity has higher net gain then</a:t>
          </a:r>
        </a:p>
        <a:p>
          <a:r>
            <a:rPr lang="en-US" sz="1100" b="0" baseline="0"/>
            <a:t>split by age. Hence, we split the root node by ethnicity to reach next level</a:t>
          </a:r>
        </a:p>
        <a:p>
          <a:r>
            <a:rPr lang="en-US" sz="1100" b="0" baseline="0"/>
            <a:t>of tree</a:t>
          </a:r>
          <a:r>
            <a:rPr lang="en-US" sz="1100" b="1"/>
            <a:t> </a:t>
          </a:r>
          <a:endParaRPr lang="en-US" sz="1100"/>
        </a:p>
      </xdr:txBody>
    </xdr:sp>
    <xdr:clientData/>
  </xdr:oneCellAnchor>
  <xdr:twoCellAnchor>
    <xdr:from>
      <xdr:col>5</xdr:col>
      <xdr:colOff>0</xdr:colOff>
      <xdr:row>79</xdr:row>
      <xdr:rowOff>0</xdr:rowOff>
    </xdr:from>
    <xdr:to>
      <xdr:col>13</xdr:col>
      <xdr:colOff>427567</xdr:colOff>
      <xdr:row>96</xdr:row>
      <xdr:rowOff>171450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1B1195F-0D6F-44CC-A596-44FAE4D1B6C3}"/>
            </a:ext>
          </a:extLst>
        </xdr:cNvPr>
        <xdr:cNvSpPr/>
      </xdr:nvSpPr>
      <xdr:spPr>
        <a:xfrm>
          <a:off x="3733800" y="15506700"/>
          <a:ext cx="7133167" cy="34099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27517</xdr:colOff>
      <xdr:row>79</xdr:row>
      <xdr:rowOff>133350</xdr:rowOff>
    </xdr:from>
    <xdr:to>
      <xdr:col>9</xdr:col>
      <xdr:colOff>268817</xdr:colOff>
      <xdr:row>81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6F216ED-D4AC-4AE4-8C1B-860885101C04}"/>
            </a:ext>
          </a:extLst>
        </xdr:cNvPr>
        <xdr:cNvSpPr/>
      </xdr:nvSpPr>
      <xdr:spPr>
        <a:xfrm>
          <a:off x="6494992" y="15640050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Ethnicity</a:t>
          </a:r>
        </a:p>
      </xdr:txBody>
    </xdr:sp>
    <xdr:clientData/>
  </xdr:twoCellAnchor>
  <xdr:twoCellAnchor>
    <xdr:from>
      <xdr:col>5</xdr:col>
      <xdr:colOff>1438275</xdr:colOff>
      <xdr:row>83</xdr:row>
      <xdr:rowOff>133350</xdr:rowOff>
    </xdr:from>
    <xdr:to>
      <xdr:col>7</xdr:col>
      <xdr:colOff>155575</xdr:colOff>
      <xdr:row>85</xdr:row>
      <xdr:rowOff>165100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F92C77F-242B-4B1C-B1CF-1065B517BD37}"/>
            </a:ext>
          </a:extLst>
        </xdr:cNvPr>
        <xdr:cNvSpPr/>
      </xdr:nvSpPr>
      <xdr:spPr>
        <a:xfrm>
          <a:off x="5172075" y="16402050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Cocaine</a:t>
          </a:r>
          <a:endParaRPr lang="en-US" sz="1100"/>
        </a:p>
      </xdr:txBody>
    </xdr:sp>
    <xdr:clientData/>
  </xdr:twoCellAnchor>
  <xdr:twoCellAnchor>
    <xdr:from>
      <xdr:col>11</xdr:col>
      <xdr:colOff>241300</xdr:colOff>
      <xdr:row>84</xdr:row>
      <xdr:rowOff>48683</xdr:rowOff>
    </xdr:from>
    <xdr:to>
      <xdr:col>12</xdr:col>
      <xdr:colOff>349250</xdr:colOff>
      <xdr:row>86</xdr:row>
      <xdr:rowOff>80433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93FD588-8B43-4146-B578-34423002EDD4}"/>
            </a:ext>
          </a:extLst>
        </xdr:cNvPr>
        <xdr:cNvSpPr/>
      </xdr:nvSpPr>
      <xdr:spPr>
        <a:xfrm>
          <a:off x="8718550" y="16507883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Age</a:t>
          </a:r>
        </a:p>
      </xdr:txBody>
    </xdr:sp>
    <xdr:clientData/>
  </xdr:twoCellAnchor>
  <xdr:twoCellAnchor>
    <xdr:from>
      <xdr:col>10</xdr:col>
      <xdr:colOff>63500</xdr:colOff>
      <xdr:row>90</xdr:row>
      <xdr:rowOff>39159</xdr:rowOff>
    </xdr:from>
    <xdr:to>
      <xdr:col>11</xdr:col>
      <xdr:colOff>619125</xdr:colOff>
      <xdr:row>92</xdr:row>
      <xdr:rowOff>70909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6B4D978-9610-41FD-8368-8C9E5D5596F0}"/>
            </a:ext>
          </a:extLst>
        </xdr:cNvPr>
        <xdr:cNvSpPr/>
      </xdr:nvSpPr>
      <xdr:spPr>
        <a:xfrm>
          <a:off x="8016875" y="17641359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Alcohol</a:t>
          </a:r>
        </a:p>
      </xdr:txBody>
    </xdr:sp>
    <xdr:clientData/>
  </xdr:twoCellAnchor>
  <xdr:twoCellAnchor>
    <xdr:from>
      <xdr:col>12</xdr:col>
      <xdr:colOff>293159</xdr:colOff>
      <xdr:row>89</xdr:row>
      <xdr:rowOff>187325</xdr:rowOff>
    </xdr:from>
    <xdr:to>
      <xdr:col>13</xdr:col>
      <xdr:colOff>382059</xdr:colOff>
      <xdr:row>92</xdr:row>
      <xdr:rowOff>28575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1B90429-3CBD-438C-B367-A9DAC2601F54}"/>
            </a:ext>
          </a:extLst>
        </xdr:cNvPr>
        <xdr:cNvSpPr/>
      </xdr:nvSpPr>
      <xdr:spPr>
        <a:xfrm>
          <a:off x="9741959" y="17599025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Heroin</a:t>
          </a:r>
        </a:p>
      </xdr:txBody>
    </xdr:sp>
    <xdr:clientData/>
  </xdr:twoCellAnchor>
  <xdr:twoCellAnchor>
    <xdr:from>
      <xdr:col>8</xdr:col>
      <xdr:colOff>567267</xdr:colOff>
      <xdr:row>81</xdr:row>
      <xdr:rowOff>165100</xdr:rowOff>
    </xdr:from>
    <xdr:to>
      <xdr:col>11</xdr:col>
      <xdr:colOff>781050</xdr:colOff>
      <xdr:row>84</xdr:row>
      <xdr:rowOff>48683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143A338-89F9-4DCA-A42A-7A37AE9ED9A0}"/>
            </a:ext>
          </a:extLst>
        </xdr:cNvPr>
        <xdr:cNvCxnSpPr>
          <a:stCxn id="6" idx="4"/>
          <a:endCxn id="8" idx="0"/>
        </xdr:cNvCxnSpPr>
      </xdr:nvCxnSpPr>
      <xdr:spPr>
        <a:xfrm>
          <a:off x="7034742" y="16052800"/>
          <a:ext cx="2223558" cy="455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79375</xdr:colOff>
      <xdr:row>86</xdr:row>
      <xdr:rowOff>70909</xdr:rowOff>
    </xdr:from>
    <xdr:to>
      <xdr:col>11</xdr:col>
      <xdr:colOff>862542</xdr:colOff>
      <xdr:row>90</xdr:row>
      <xdr:rowOff>39159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8BFB663-4055-4E2C-AEDB-307BB9AFDAA1}"/>
            </a:ext>
          </a:extLst>
        </xdr:cNvPr>
        <xdr:cNvCxnSpPr>
          <a:endCxn id="9" idx="0"/>
        </xdr:cNvCxnSpPr>
      </xdr:nvCxnSpPr>
      <xdr:spPr>
        <a:xfrm flipH="1">
          <a:off x="8556625" y="16911109"/>
          <a:ext cx="783167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851959</xdr:colOff>
      <xdr:row>86</xdr:row>
      <xdr:rowOff>81492</xdr:rowOff>
    </xdr:from>
    <xdr:to>
      <xdr:col>12</xdr:col>
      <xdr:colOff>832909</xdr:colOff>
      <xdr:row>89</xdr:row>
      <xdr:rowOff>187325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9225CC-0247-4A29-82F2-1AD73FD6FC94}"/>
            </a:ext>
          </a:extLst>
        </xdr:cNvPr>
        <xdr:cNvCxnSpPr>
          <a:endCxn id="10" idx="0"/>
        </xdr:cNvCxnSpPr>
      </xdr:nvCxnSpPr>
      <xdr:spPr>
        <a:xfrm>
          <a:off x="9329209" y="16921692"/>
          <a:ext cx="952500" cy="677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311150</xdr:colOff>
      <xdr:row>81</xdr:row>
      <xdr:rowOff>175684</xdr:rowOff>
    </xdr:from>
    <xdr:to>
      <xdr:col>8</xdr:col>
      <xdr:colOff>577850</xdr:colOff>
      <xdr:row>83</xdr:row>
      <xdr:rowOff>133350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18FF1E9-B288-4D35-9905-9286FDDB8E80}"/>
            </a:ext>
          </a:extLst>
        </xdr:cNvPr>
        <xdr:cNvCxnSpPr>
          <a:endCxn id="7" idx="0"/>
        </xdr:cNvCxnSpPr>
      </xdr:nvCxnSpPr>
      <xdr:spPr>
        <a:xfrm flipH="1">
          <a:off x="5711825" y="16063384"/>
          <a:ext cx="1333500" cy="338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581025</xdr:colOff>
      <xdr:row>81</xdr:row>
      <xdr:rowOff>104775</xdr:rowOff>
    </xdr:from>
    <xdr:ext cx="526619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4BF509-2EAB-4392-9F43-AC8EA0E33C41}"/>
            </a:ext>
          </a:extLst>
        </xdr:cNvPr>
        <xdr:cNvSpPr txBox="1"/>
      </xdr:nvSpPr>
      <xdr:spPr>
        <a:xfrm>
          <a:off x="5981700" y="15992475"/>
          <a:ext cx="5266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Black </a:t>
          </a:r>
          <a:endParaRPr lang="en-US" sz="1100"/>
        </a:p>
      </xdr:txBody>
    </xdr:sp>
    <xdr:clientData/>
  </xdr:oneCellAnchor>
  <xdr:oneCellAnchor>
    <xdr:from>
      <xdr:col>9</xdr:col>
      <xdr:colOff>457200</xdr:colOff>
      <xdr:row>81</xdr:row>
      <xdr:rowOff>85725</xdr:rowOff>
    </xdr:from>
    <xdr:ext cx="574709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B1864B5-7825-4720-9E73-D7D991BBA77F}"/>
            </a:ext>
          </a:extLst>
        </xdr:cNvPr>
        <xdr:cNvSpPr txBox="1"/>
      </xdr:nvSpPr>
      <xdr:spPr>
        <a:xfrm>
          <a:off x="7762875" y="15973425"/>
          <a:ext cx="5747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White </a:t>
          </a:r>
          <a:endParaRPr lang="en-US" sz="1100"/>
        </a:p>
      </xdr:txBody>
    </xdr:sp>
    <xdr:clientData/>
  </xdr:oneCellAnchor>
  <xdr:twoCellAnchor>
    <xdr:from>
      <xdr:col>7</xdr:col>
      <xdr:colOff>193675</xdr:colOff>
      <xdr:row>87</xdr:row>
      <xdr:rowOff>105833</xdr:rowOff>
    </xdr:from>
    <xdr:to>
      <xdr:col>9</xdr:col>
      <xdr:colOff>63500</xdr:colOff>
      <xdr:row>89</xdr:row>
      <xdr:rowOff>137583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67CE49A-A3E1-4394-8FF0-2AD97F8E92CB}"/>
            </a:ext>
          </a:extLst>
        </xdr:cNvPr>
        <xdr:cNvSpPr/>
      </xdr:nvSpPr>
      <xdr:spPr>
        <a:xfrm>
          <a:off x="6289675" y="17136533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Age</a:t>
          </a:r>
        </a:p>
      </xdr:txBody>
    </xdr:sp>
    <xdr:clientData/>
  </xdr:twoCellAnchor>
  <xdr:twoCellAnchor>
    <xdr:from>
      <xdr:col>6</xdr:col>
      <xdr:colOff>187325</xdr:colOff>
      <xdr:row>93</xdr:row>
      <xdr:rowOff>96309</xdr:rowOff>
    </xdr:from>
    <xdr:to>
      <xdr:col>8</xdr:col>
      <xdr:colOff>200025</xdr:colOff>
      <xdr:row>95</xdr:row>
      <xdr:rowOff>128059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FB047F85-8AE0-4CC9-A431-158774E7593F}"/>
            </a:ext>
          </a:extLst>
        </xdr:cNvPr>
        <xdr:cNvSpPr/>
      </xdr:nvSpPr>
      <xdr:spPr>
        <a:xfrm>
          <a:off x="5588000" y="18270009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Alcohol</a:t>
          </a:r>
        </a:p>
      </xdr:txBody>
    </xdr:sp>
    <xdr:clientData/>
  </xdr:twoCellAnchor>
  <xdr:twoCellAnchor>
    <xdr:from>
      <xdr:col>9</xdr:col>
      <xdr:colOff>7409</xdr:colOff>
      <xdr:row>93</xdr:row>
      <xdr:rowOff>53975</xdr:rowOff>
    </xdr:from>
    <xdr:to>
      <xdr:col>10</xdr:col>
      <xdr:colOff>439209</xdr:colOff>
      <xdr:row>95</xdr:row>
      <xdr:rowOff>85725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7963424-5D88-4CA7-8219-920EB2874B96}"/>
            </a:ext>
          </a:extLst>
        </xdr:cNvPr>
        <xdr:cNvSpPr/>
      </xdr:nvSpPr>
      <xdr:spPr>
        <a:xfrm>
          <a:off x="7313084" y="18227675"/>
          <a:ext cx="1079500" cy="412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Heroin</a:t>
          </a:r>
        </a:p>
      </xdr:txBody>
    </xdr:sp>
    <xdr:clientData/>
  </xdr:twoCellAnchor>
  <xdr:twoCellAnchor>
    <xdr:from>
      <xdr:col>7</xdr:col>
      <xdr:colOff>31750</xdr:colOff>
      <xdr:row>89</xdr:row>
      <xdr:rowOff>128059</xdr:rowOff>
    </xdr:from>
    <xdr:to>
      <xdr:col>8</xdr:col>
      <xdr:colOff>443442</xdr:colOff>
      <xdr:row>93</xdr:row>
      <xdr:rowOff>96309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814A948-047E-4332-A225-4646BC2AF64D}"/>
            </a:ext>
          </a:extLst>
        </xdr:cNvPr>
        <xdr:cNvCxnSpPr>
          <a:endCxn id="24" idx="0"/>
        </xdr:cNvCxnSpPr>
      </xdr:nvCxnSpPr>
      <xdr:spPr>
        <a:xfrm flipH="1">
          <a:off x="6127750" y="17539759"/>
          <a:ext cx="783167" cy="73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432859</xdr:colOff>
      <xdr:row>89</xdr:row>
      <xdr:rowOff>138642</xdr:rowOff>
    </xdr:from>
    <xdr:to>
      <xdr:col>9</xdr:col>
      <xdr:colOff>547159</xdr:colOff>
      <xdr:row>93</xdr:row>
      <xdr:rowOff>53975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0036CA-0ABC-4D2A-B1C7-AFA2CCAA82BC}"/>
            </a:ext>
          </a:extLst>
        </xdr:cNvPr>
        <xdr:cNvCxnSpPr>
          <a:endCxn id="25" idx="0"/>
        </xdr:cNvCxnSpPr>
      </xdr:nvCxnSpPr>
      <xdr:spPr>
        <a:xfrm>
          <a:off x="6900334" y="17550342"/>
          <a:ext cx="952500" cy="677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81</xdr:row>
      <xdr:rowOff>165100</xdr:rowOff>
    </xdr:from>
    <xdr:to>
      <xdr:col>8</xdr:col>
      <xdr:colOff>567267</xdr:colOff>
      <xdr:row>87</xdr:row>
      <xdr:rowOff>105833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C406C92-77D2-4A7A-B2CF-6868C838F953}"/>
            </a:ext>
          </a:extLst>
        </xdr:cNvPr>
        <xdr:cNvCxnSpPr>
          <a:stCxn id="6" idx="4"/>
          <a:endCxn id="23" idx="0"/>
        </xdr:cNvCxnSpPr>
      </xdr:nvCxnSpPr>
      <xdr:spPr>
        <a:xfrm flipH="1">
          <a:off x="6829425" y="16052800"/>
          <a:ext cx="205317" cy="1083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428625</xdr:colOff>
      <xdr:row>84</xdr:row>
      <xdr:rowOff>28575</xdr:rowOff>
    </xdr:from>
    <xdr:ext cx="71122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4FFF895-8C6B-40E6-A028-B8C782F27659}"/>
            </a:ext>
          </a:extLst>
        </xdr:cNvPr>
        <xdr:cNvSpPr txBox="1"/>
      </xdr:nvSpPr>
      <xdr:spPr>
        <a:xfrm>
          <a:off x="6896100" y="16487775"/>
          <a:ext cx="7112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Hispanic </a:t>
          </a:r>
          <a:endParaRPr lang="en-US" sz="1100"/>
        </a:p>
      </xdr:txBody>
    </xdr:sp>
    <xdr:clientData/>
  </xdr:oneCellAnchor>
  <xdr:oneCellAnchor>
    <xdr:from>
      <xdr:col>7</xdr:col>
      <xdr:colOff>85725</xdr:colOff>
      <xdr:row>90</xdr:row>
      <xdr:rowOff>76200</xdr:rowOff>
    </xdr:from>
    <xdr:ext cx="422295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D3CFE10-B322-44FF-B6E4-F2506C64FA93}"/>
            </a:ext>
          </a:extLst>
        </xdr:cNvPr>
        <xdr:cNvSpPr txBox="1"/>
      </xdr:nvSpPr>
      <xdr:spPr>
        <a:xfrm>
          <a:off x="6181725" y="17678400"/>
          <a:ext cx="422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Old </a:t>
          </a:r>
          <a:endParaRPr lang="en-US" sz="1100"/>
        </a:p>
      </xdr:txBody>
    </xdr:sp>
    <xdr:clientData/>
  </xdr:oneCellAnchor>
  <xdr:oneCellAnchor>
    <xdr:from>
      <xdr:col>8</xdr:col>
      <xdr:colOff>733425</xdr:colOff>
      <xdr:row>90</xdr:row>
      <xdr:rowOff>28575</xdr:rowOff>
    </xdr:from>
    <xdr:ext cx="58400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A75CD90-6D1A-4625-90C4-FB5297CD89F4}"/>
            </a:ext>
          </a:extLst>
        </xdr:cNvPr>
        <xdr:cNvSpPr txBox="1"/>
      </xdr:nvSpPr>
      <xdr:spPr>
        <a:xfrm>
          <a:off x="7200900" y="17630775"/>
          <a:ext cx="5840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Young </a:t>
          </a:r>
          <a:endParaRPr lang="en-US" sz="1100"/>
        </a:p>
      </xdr:txBody>
    </xdr:sp>
    <xdr:clientData/>
  </xdr:oneCellAnchor>
  <xdr:oneCellAnchor>
    <xdr:from>
      <xdr:col>11</xdr:col>
      <xdr:colOff>76200</xdr:colOff>
      <xdr:row>87</xdr:row>
      <xdr:rowOff>57150</xdr:rowOff>
    </xdr:from>
    <xdr:ext cx="422295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15BC9BE-4443-45BF-8684-EB4E31D416C8}"/>
            </a:ext>
          </a:extLst>
        </xdr:cNvPr>
        <xdr:cNvSpPr txBox="1"/>
      </xdr:nvSpPr>
      <xdr:spPr>
        <a:xfrm>
          <a:off x="8553450" y="17087850"/>
          <a:ext cx="4222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Old </a:t>
          </a:r>
          <a:endParaRPr lang="en-US" sz="1100"/>
        </a:p>
      </xdr:txBody>
    </xdr:sp>
    <xdr:clientData/>
  </xdr:oneCellAnchor>
  <xdr:oneCellAnchor>
    <xdr:from>
      <xdr:col>12</xdr:col>
      <xdr:colOff>209550</xdr:colOff>
      <xdr:row>86</xdr:row>
      <xdr:rowOff>171450</xdr:rowOff>
    </xdr:from>
    <xdr:ext cx="584006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8B0C726-CECE-47E3-9DFE-6F69F6A8EC21}"/>
            </a:ext>
          </a:extLst>
        </xdr:cNvPr>
        <xdr:cNvSpPr txBox="1"/>
      </xdr:nvSpPr>
      <xdr:spPr>
        <a:xfrm>
          <a:off x="9658350" y="17011650"/>
          <a:ext cx="5840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Young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79"/>
  <sheetViews>
    <sheetView tabSelected="1" topLeftCell="E73" workbookViewId="0">
      <selection activeCell="O82" sqref="O82"/>
    </sheetView>
  </sheetViews>
  <sheetFormatPr defaultRowHeight="15" x14ac:dyDescent="0.25"/>
  <cols>
    <col min="5" max="5" width="19.42578125" customWidth="1"/>
    <col min="6" max="6" width="25" bestFit="1" customWidth="1"/>
    <col min="7" max="7" width="10.42578125" bestFit="1" customWidth="1"/>
    <col min="8" max="8" width="5.5703125" bestFit="1" customWidth="1"/>
    <col min="9" max="9" width="12.5703125" customWidth="1"/>
    <col min="10" max="10" width="9.7109375" bestFit="1" customWidth="1"/>
    <col min="11" max="11" width="7.85546875" bestFit="1" customWidth="1"/>
    <col min="12" max="12" width="14.5703125" bestFit="1" customWidth="1"/>
    <col min="13" max="13" width="14.85546875" customWidth="1"/>
    <col min="14" max="14" width="12.7109375" bestFit="1" customWidth="1"/>
    <col min="15" max="15" width="9.5703125" bestFit="1" customWidth="1"/>
    <col min="16" max="16" width="12.42578125" bestFit="1" customWidth="1"/>
  </cols>
  <sheetData>
    <row r="7" spans="4:16" ht="21" x14ac:dyDescent="0.25">
      <c r="D7" s="2"/>
      <c r="E7" s="1"/>
      <c r="F7" s="29" t="s">
        <v>11</v>
      </c>
      <c r="G7" s="29"/>
      <c r="H7" s="29"/>
      <c r="I7" s="29"/>
      <c r="J7" s="29"/>
      <c r="K7" s="29"/>
      <c r="L7" s="29"/>
      <c r="M7" s="14"/>
      <c r="N7" s="14"/>
    </row>
    <row r="8" spans="4:16" x14ac:dyDescent="0.25">
      <c r="D8" s="2"/>
      <c r="F8" t="s">
        <v>26</v>
      </c>
      <c r="G8" s="4"/>
      <c r="H8" s="4"/>
      <c r="I8" s="4"/>
      <c r="J8" s="4"/>
      <c r="K8" s="4"/>
      <c r="L8" s="4"/>
      <c r="M8" s="4"/>
      <c r="N8" s="4"/>
    </row>
    <row r="9" spans="4:16" ht="15.75" thickBot="1" x14ac:dyDescent="0.3">
      <c r="D9" s="2"/>
      <c r="E9" s="2"/>
      <c r="G9" s="4"/>
      <c r="H9" s="4"/>
      <c r="I9" s="4"/>
      <c r="J9" s="4"/>
      <c r="K9" s="4"/>
      <c r="L9" s="4"/>
      <c r="M9" s="4"/>
      <c r="N9" s="4"/>
    </row>
    <row r="10" spans="4:16" ht="15.75" thickBot="1" x14ac:dyDescent="0.3">
      <c r="F10" s="35" t="s">
        <v>1</v>
      </c>
      <c r="G10" s="36" t="s">
        <v>19</v>
      </c>
      <c r="H10" s="36" t="s">
        <v>3</v>
      </c>
      <c r="I10" s="37" t="s">
        <v>4</v>
      </c>
      <c r="J10" s="38" t="s">
        <v>7</v>
      </c>
      <c r="K10" s="38" t="s">
        <v>6</v>
      </c>
      <c r="L10" s="38" t="s">
        <v>8</v>
      </c>
      <c r="M10" s="5"/>
      <c r="N10" s="11" t="s">
        <v>1</v>
      </c>
      <c r="O10" s="22"/>
      <c r="P10" s="10"/>
    </row>
    <row r="11" spans="4:16" ht="15.75" thickBot="1" x14ac:dyDescent="0.3">
      <c r="F11" s="39" t="s">
        <v>16</v>
      </c>
      <c r="G11" s="40" t="s">
        <v>13</v>
      </c>
      <c r="H11" s="40">
        <f>55/205</f>
        <v>0.26829268292682928</v>
      </c>
      <c r="I11" s="40">
        <f>-H11*LOG(H11,2)</f>
        <v>0.50925181087289395</v>
      </c>
      <c r="J11" s="41">
        <f>I11+I12+I13</f>
        <v>1.367244130797475</v>
      </c>
      <c r="K11" s="40">
        <f>205/400</f>
        <v>0.51249999999999996</v>
      </c>
      <c r="L11" s="42">
        <f>J11*K11</f>
        <v>0.70071261703370591</v>
      </c>
      <c r="M11" s="5"/>
      <c r="N11" s="12" t="s">
        <v>2</v>
      </c>
      <c r="O11" s="16" t="s">
        <v>3</v>
      </c>
      <c r="P11" s="13" t="s">
        <v>4</v>
      </c>
    </row>
    <row r="12" spans="4:16" ht="15.75" thickBot="1" x14ac:dyDescent="0.3">
      <c r="F12" s="39"/>
      <c r="G12" s="40" t="s">
        <v>14</v>
      </c>
      <c r="H12" s="40">
        <f>120/205</f>
        <v>0.58536585365853655</v>
      </c>
      <c r="I12" s="40">
        <f t="shared" ref="I12:I19" si="0">-H12*LOG(H12,2)</f>
        <v>0.45224751447625028</v>
      </c>
      <c r="J12" s="41"/>
      <c r="K12" s="40"/>
      <c r="L12" s="42"/>
      <c r="M12" s="5"/>
      <c r="N12" s="18" t="s">
        <v>13</v>
      </c>
      <c r="O12" s="23">
        <v>0.39</v>
      </c>
      <c r="P12" s="17">
        <v>0.52979704865586574</v>
      </c>
    </row>
    <row r="13" spans="4:16" ht="15.75" thickBot="1" x14ac:dyDescent="0.3">
      <c r="F13" s="39"/>
      <c r="G13" s="40" t="s">
        <v>15</v>
      </c>
      <c r="H13" s="40">
        <f>30/205</f>
        <v>0.14634146341463414</v>
      </c>
      <c r="I13" s="40">
        <f t="shared" si="0"/>
        <v>0.40574480544833086</v>
      </c>
      <c r="J13" s="41"/>
      <c r="K13" s="40"/>
      <c r="L13" s="42"/>
      <c r="M13" s="5"/>
      <c r="N13" s="18" t="s">
        <v>14</v>
      </c>
      <c r="O13" s="24">
        <v>0.34749999999999998</v>
      </c>
      <c r="P13" s="19">
        <v>0.52990800317529796</v>
      </c>
    </row>
    <row r="14" spans="4:16" ht="15.75" thickBot="1" x14ac:dyDescent="0.3">
      <c r="F14" s="39" t="s">
        <v>17</v>
      </c>
      <c r="G14" s="40" t="s">
        <v>13</v>
      </c>
      <c r="H14" s="40">
        <f>15/46</f>
        <v>0.32608695652173914</v>
      </c>
      <c r="I14" s="40">
        <f>-H14*LOG(H14,2)</f>
        <v>0.52717544362450908</v>
      </c>
      <c r="J14" s="41">
        <f>I14+I15+I16</f>
        <v>1.4302153602779095</v>
      </c>
      <c r="K14" s="40">
        <f>46/400</f>
        <v>0.115</v>
      </c>
      <c r="L14" s="42">
        <f>J14*K14</f>
        <v>0.1644747664319596</v>
      </c>
      <c r="M14" s="5"/>
      <c r="N14" s="26" t="s">
        <v>15</v>
      </c>
      <c r="O14" s="27">
        <f>105/400</f>
        <v>0.26250000000000001</v>
      </c>
      <c r="P14" s="28">
        <f t="shared" ref="P14" si="1">-O14*LOG(O14,2)</f>
        <v>0.50652280142850814</v>
      </c>
    </row>
    <row r="15" spans="4:16" ht="15.75" thickBot="1" x14ac:dyDescent="0.3">
      <c r="F15" s="43"/>
      <c r="G15" s="40" t="s">
        <v>14</v>
      </c>
      <c r="H15" s="40">
        <f>7/46</f>
        <v>0.15217391304347827</v>
      </c>
      <c r="I15" s="40">
        <f t="shared" si="0"/>
        <v>0.41333585299991005</v>
      </c>
      <c r="J15" s="41"/>
      <c r="K15" s="40"/>
      <c r="L15" s="42"/>
      <c r="M15" s="6"/>
      <c r="N15" s="21"/>
      <c r="O15" s="30"/>
      <c r="P15" s="31"/>
    </row>
    <row r="16" spans="4:16" ht="15.75" thickBot="1" x14ac:dyDescent="0.3">
      <c r="F16" s="43"/>
      <c r="G16" s="40" t="s">
        <v>15</v>
      </c>
      <c r="H16" s="40">
        <f>24/46</f>
        <v>0.52173913043478259</v>
      </c>
      <c r="I16" s="40">
        <f t="shared" si="0"/>
        <v>0.48970406365349045</v>
      </c>
      <c r="J16" s="41"/>
      <c r="K16" s="40"/>
      <c r="L16" s="42"/>
      <c r="M16" s="6"/>
      <c r="N16" s="32" t="s">
        <v>5</v>
      </c>
      <c r="O16" s="33"/>
      <c r="P16" s="25">
        <f>SUM(P12:P14)</f>
        <v>1.5662278532596718</v>
      </c>
    </row>
    <row r="17" spans="6:16" x14ac:dyDescent="0.25">
      <c r="F17" s="43" t="s">
        <v>18</v>
      </c>
      <c r="G17" s="40" t="s">
        <v>13</v>
      </c>
      <c r="H17" s="40">
        <f>86/149</f>
        <v>0.57718120805369133</v>
      </c>
      <c r="I17" s="40">
        <f>-H17*LOG(H17,2)</f>
        <v>0.45764915339171452</v>
      </c>
      <c r="J17" s="41">
        <f>I17+I18+I19</f>
        <v>1.2797590482904797</v>
      </c>
      <c r="K17" s="40">
        <f>149/400</f>
        <v>0.3725</v>
      </c>
      <c r="L17" s="42">
        <f>J17*K17</f>
        <v>0.47671024548820368</v>
      </c>
      <c r="M17" s="6"/>
      <c r="N17" s="6"/>
    </row>
    <row r="18" spans="6:16" x14ac:dyDescent="0.25">
      <c r="F18" s="43"/>
      <c r="G18" s="40" t="s">
        <v>14</v>
      </c>
      <c r="H18" s="40">
        <f>12/149</f>
        <v>8.0536912751677847E-2</v>
      </c>
      <c r="I18" s="40">
        <f t="shared" si="0"/>
        <v>0.29268773313350377</v>
      </c>
      <c r="J18" s="41"/>
      <c r="K18" s="40"/>
      <c r="L18" s="42"/>
      <c r="M18" s="6"/>
      <c r="N18" s="6"/>
    </row>
    <row r="19" spans="6:16" x14ac:dyDescent="0.25">
      <c r="F19" s="43"/>
      <c r="G19" s="40" t="s">
        <v>15</v>
      </c>
      <c r="H19" s="40">
        <f>51/149</f>
        <v>0.34228187919463088</v>
      </c>
      <c r="I19" s="40">
        <f t="shared" si="0"/>
        <v>0.52942216176526147</v>
      </c>
      <c r="J19" s="41"/>
      <c r="K19" s="40"/>
      <c r="L19" s="42"/>
      <c r="M19" s="6"/>
      <c r="N19" s="6"/>
      <c r="P19" t="s">
        <v>0</v>
      </c>
    </row>
    <row r="20" spans="6:16" x14ac:dyDescent="0.25">
      <c r="F20" s="44" t="s">
        <v>9</v>
      </c>
      <c r="G20" s="44"/>
      <c r="H20" s="44"/>
      <c r="I20" s="44"/>
      <c r="J20" s="44"/>
      <c r="K20" s="45">
        <f>K11+K14+K17</f>
        <v>1</v>
      </c>
      <c r="L20" s="46">
        <f>L11+L14+L17</f>
        <v>1.3418976289538691</v>
      </c>
      <c r="M20" s="6"/>
      <c r="N20" s="6"/>
    </row>
    <row r="21" spans="6:16" x14ac:dyDescent="0.25">
      <c r="F21" s="47" t="s">
        <v>10</v>
      </c>
      <c r="G21" s="48">
        <f>ABS(P16-L20)</f>
        <v>0.22433022430580274</v>
      </c>
      <c r="H21" s="49"/>
      <c r="I21" s="49"/>
      <c r="J21" s="49"/>
      <c r="K21" s="49"/>
      <c r="L21" s="49"/>
      <c r="M21" s="6"/>
      <c r="N21" s="6"/>
    </row>
    <row r="22" spans="6:16" x14ac:dyDescent="0.25">
      <c r="G22" s="4"/>
      <c r="H22" s="4"/>
      <c r="I22" s="4"/>
      <c r="J22" s="4"/>
      <c r="K22" s="4"/>
      <c r="L22" s="4"/>
      <c r="M22" s="6"/>
      <c r="N22" s="6"/>
    </row>
    <row r="23" spans="6:16" ht="21" x14ac:dyDescent="0.25">
      <c r="F23" s="14"/>
      <c r="G23" s="14"/>
      <c r="H23" s="14"/>
      <c r="I23" s="14"/>
      <c r="J23" s="14"/>
      <c r="K23" s="14"/>
      <c r="L23" s="14"/>
      <c r="M23" s="6"/>
      <c r="N23" s="6"/>
    </row>
    <row r="24" spans="6:16" x14ac:dyDescent="0.25">
      <c r="G24" s="4"/>
      <c r="H24" s="4"/>
      <c r="I24" s="4"/>
      <c r="J24" s="4"/>
      <c r="K24" s="4"/>
      <c r="L24" s="4"/>
      <c r="M24" s="6"/>
      <c r="N24" s="6"/>
    </row>
    <row r="25" spans="6:16" x14ac:dyDescent="0.25">
      <c r="F25" t="s">
        <v>25</v>
      </c>
      <c r="G25" s="4"/>
      <c r="H25" s="4"/>
      <c r="I25" s="4"/>
      <c r="J25" s="4"/>
      <c r="K25" s="4"/>
      <c r="L25" s="4"/>
      <c r="M25" s="6"/>
      <c r="N25" s="6"/>
    </row>
    <row r="26" spans="6:16" x14ac:dyDescent="0.25">
      <c r="G26" s="4"/>
      <c r="H26" s="4"/>
      <c r="I26" s="4"/>
      <c r="J26" s="4"/>
      <c r="K26" s="4"/>
      <c r="L26" s="4"/>
      <c r="M26" s="6"/>
      <c r="N26" s="6"/>
    </row>
    <row r="27" spans="6:16" x14ac:dyDescent="0.25">
      <c r="G27" s="4"/>
      <c r="H27" s="4"/>
      <c r="I27" s="4"/>
      <c r="J27" s="4"/>
      <c r="K27" s="4"/>
      <c r="L27" s="4"/>
      <c r="M27" s="9"/>
      <c r="N27" s="6"/>
    </row>
    <row r="28" spans="6:16" x14ac:dyDescent="0.25">
      <c r="F28" s="35" t="s">
        <v>1</v>
      </c>
      <c r="G28" s="36" t="s">
        <v>19</v>
      </c>
      <c r="H28" s="36" t="s">
        <v>3</v>
      </c>
      <c r="I28" s="37" t="s">
        <v>4</v>
      </c>
      <c r="J28" s="38" t="s">
        <v>7</v>
      </c>
      <c r="K28" s="38" t="s">
        <v>6</v>
      </c>
      <c r="L28" s="38" t="s">
        <v>8</v>
      </c>
      <c r="M28" s="8"/>
      <c r="N28" s="6"/>
    </row>
    <row r="29" spans="6:16" x14ac:dyDescent="0.25">
      <c r="F29" s="39" t="s">
        <v>20</v>
      </c>
      <c r="G29" s="40" t="s">
        <v>13</v>
      </c>
      <c r="H29" s="40">
        <f>97/186</f>
        <v>0.521505376344086</v>
      </c>
      <c r="I29" s="40">
        <f>-H29*LOG(H29,2)</f>
        <v>0.48982182250176159</v>
      </c>
      <c r="J29" s="41">
        <f>I29+I30+I31</f>
        <v>1.4718736405891319</v>
      </c>
      <c r="K29" s="41">
        <v>0.45454545454545453</v>
      </c>
      <c r="L29" s="42">
        <f>J29*K29</f>
        <v>0.66903347299506</v>
      </c>
      <c r="M29" s="4"/>
      <c r="N29" s="4"/>
    </row>
    <row r="30" spans="6:16" ht="21" x14ac:dyDescent="0.25">
      <c r="F30" s="39"/>
      <c r="G30" s="40" t="s">
        <v>14</v>
      </c>
      <c r="H30" s="40">
        <f>50/186</f>
        <v>0.26881720430107525</v>
      </c>
      <c r="I30" s="40">
        <f t="shared" ref="I30:I34" si="2">-H30*LOG(H30,2)</f>
        <v>0.50948995197131897</v>
      </c>
      <c r="J30" s="41"/>
      <c r="K30" s="41"/>
      <c r="L30" s="42"/>
      <c r="M30" s="14"/>
      <c r="N30" s="14"/>
    </row>
    <row r="31" spans="6:16" x14ac:dyDescent="0.25">
      <c r="F31" s="39"/>
      <c r="G31" s="40" t="s">
        <v>15</v>
      </c>
      <c r="H31" s="40">
        <f>39/186</f>
        <v>0.20967741935483872</v>
      </c>
      <c r="I31" s="40">
        <f t="shared" si="2"/>
        <v>0.47256186611605133</v>
      </c>
      <c r="J31" s="41"/>
      <c r="K31" s="41"/>
      <c r="L31" s="42"/>
      <c r="M31" s="4"/>
      <c r="N31" s="4"/>
    </row>
    <row r="32" spans="6:16" x14ac:dyDescent="0.25">
      <c r="F32" s="39" t="s">
        <v>21</v>
      </c>
      <c r="G32" s="40" t="s">
        <v>13</v>
      </c>
      <c r="H32" s="40">
        <f>59/214</f>
        <v>0.27570093457943923</v>
      </c>
      <c r="I32" s="40">
        <f>-H32*LOG(H32,2)</f>
        <v>0.51247949666036929</v>
      </c>
      <c r="J32" s="41">
        <f>I32+I33+I34</f>
        <v>1.5622790090833154</v>
      </c>
      <c r="K32" s="41">
        <v>0.54545454545454541</v>
      </c>
      <c r="L32" s="42">
        <f>J32*K32</f>
        <v>0.85215218677271742</v>
      </c>
      <c r="M32" s="5"/>
      <c r="N32" s="5"/>
    </row>
    <row r="33" spans="6:14" x14ac:dyDescent="0.25">
      <c r="F33" s="43"/>
      <c r="G33" s="40" t="s">
        <v>14</v>
      </c>
      <c r="H33" s="40">
        <f>89/214</f>
        <v>0.41588785046728971</v>
      </c>
      <c r="I33" s="40">
        <f t="shared" si="2"/>
        <v>0.526403207634078</v>
      </c>
      <c r="J33" s="41"/>
      <c r="K33" s="41"/>
      <c r="L33" s="42"/>
      <c r="M33" s="5"/>
      <c r="N33" s="5"/>
    </row>
    <row r="34" spans="6:14" x14ac:dyDescent="0.25">
      <c r="F34" s="43"/>
      <c r="G34" s="40" t="s">
        <v>15</v>
      </c>
      <c r="H34" s="40">
        <f>66/214</f>
        <v>0.30841121495327101</v>
      </c>
      <c r="I34" s="40">
        <f t="shared" si="2"/>
        <v>0.52339630478886812</v>
      </c>
      <c r="J34" s="41"/>
      <c r="K34" s="41"/>
      <c r="L34" s="42"/>
      <c r="M34" s="5"/>
      <c r="N34" s="5"/>
    </row>
    <row r="35" spans="6:14" x14ac:dyDescent="0.25">
      <c r="F35" s="50" t="s">
        <v>9</v>
      </c>
      <c r="G35" s="50"/>
      <c r="H35" s="50"/>
      <c r="I35" s="50"/>
      <c r="J35" s="50"/>
      <c r="K35" s="45">
        <f>K29+K32</f>
        <v>1</v>
      </c>
      <c r="L35" s="46">
        <f>L29+L32</f>
        <v>1.5211856597677773</v>
      </c>
      <c r="M35" s="5"/>
      <c r="N35" s="7"/>
    </row>
    <row r="36" spans="6:14" x14ac:dyDescent="0.25">
      <c r="F36" s="47" t="s">
        <v>10</v>
      </c>
      <c r="G36" s="48">
        <f>ABS(P16-L35)</f>
        <v>4.5042193491894533E-2</v>
      </c>
      <c r="H36" s="49"/>
      <c r="I36" s="49"/>
      <c r="J36" s="49"/>
      <c r="K36" s="49"/>
      <c r="L36" s="49"/>
      <c r="M36" s="5"/>
      <c r="N36" s="5"/>
    </row>
    <row r="37" spans="6:14" x14ac:dyDescent="0.25">
      <c r="F37" s="3"/>
      <c r="G37" s="5"/>
      <c r="H37" s="5"/>
      <c r="I37" s="6"/>
      <c r="J37" s="5"/>
      <c r="K37" s="5"/>
      <c r="L37" s="5"/>
      <c r="M37" s="6"/>
      <c r="N37" s="6"/>
    </row>
    <row r="38" spans="6:14" x14ac:dyDescent="0.25">
      <c r="F38" s="3"/>
      <c r="G38" s="5"/>
      <c r="H38" s="5"/>
      <c r="I38" s="6"/>
      <c r="J38" s="5"/>
      <c r="K38" s="5"/>
      <c r="L38" s="5"/>
      <c r="M38" s="6"/>
      <c r="N38" s="6"/>
    </row>
    <row r="39" spans="6:14" x14ac:dyDescent="0.25">
      <c r="F39" s="3"/>
      <c r="G39" s="5"/>
      <c r="H39" s="5"/>
      <c r="I39" s="6"/>
      <c r="J39" s="5"/>
      <c r="K39" s="5"/>
      <c r="L39" s="5"/>
      <c r="M39" s="6"/>
      <c r="N39" s="6"/>
    </row>
    <row r="40" spans="6:14" ht="21" x14ac:dyDescent="0.25">
      <c r="F40" s="34" t="s">
        <v>12</v>
      </c>
      <c r="G40" s="29"/>
      <c r="H40" s="29"/>
      <c r="I40" s="29"/>
      <c r="J40" s="29"/>
      <c r="K40" s="29"/>
      <c r="L40" s="29"/>
      <c r="M40" s="6"/>
      <c r="N40" s="6"/>
    </row>
    <row r="41" spans="6:14" x14ac:dyDescent="0.25">
      <c r="F41" t="s">
        <v>24</v>
      </c>
      <c r="G41" s="4"/>
      <c r="H41" s="4"/>
      <c r="I41" s="4"/>
      <c r="J41" s="4"/>
      <c r="K41" s="4"/>
      <c r="L41" s="4"/>
      <c r="M41" s="6"/>
      <c r="N41" s="6"/>
    </row>
    <row r="42" spans="6:14" x14ac:dyDescent="0.25">
      <c r="G42" s="4"/>
      <c r="H42" s="4"/>
      <c r="I42" s="4"/>
      <c r="J42" s="4"/>
      <c r="K42" s="4"/>
      <c r="L42" s="4"/>
      <c r="M42" s="6"/>
      <c r="N42" s="6"/>
    </row>
    <row r="43" spans="6:14" ht="21" x14ac:dyDescent="0.25">
      <c r="F43" s="35" t="s">
        <v>1</v>
      </c>
      <c r="G43" s="36" t="s">
        <v>19</v>
      </c>
      <c r="H43" s="36" t="s">
        <v>3</v>
      </c>
      <c r="I43" s="37" t="s">
        <v>4</v>
      </c>
      <c r="J43" s="38" t="s">
        <v>7</v>
      </c>
      <c r="K43" s="38" t="s">
        <v>6</v>
      </c>
      <c r="L43" s="38" t="s">
        <v>8</v>
      </c>
      <c r="M43" s="15"/>
      <c r="N43" s="15"/>
    </row>
    <row r="44" spans="6:14" x14ac:dyDescent="0.25">
      <c r="F44" s="39" t="s">
        <v>20</v>
      </c>
      <c r="G44" s="40" t="s">
        <v>13</v>
      </c>
      <c r="H44" s="40">
        <f>30/95</f>
        <v>0.31578947368421051</v>
      </c>
      <c r="I44" s="40">
        <f>-H44*LOG(H44,2)</f>
        <v>0.52514684612287243</v>
      </c>
      <c r="J44" s="41">
        <f>I44+I45+I46</f>
        <v>1.4669947009190867</v>
      </c>
      <c r="K44" s="41">
        <v>0.46500000000000002</v>
      </c>
      <c r="L44" s="42">
        <f>J44*K44</f>
        <v>0.68215253592737535</v>
      </c>
      <c r="M44" s="6"/>
      <c r="N44" s="6"/>
    </row>
    <row r="45" spans="6:14" x14ac:dyDescent="0.25">
      <c r="F45" s="39"/>
      <c r="G45" s="40" t="s">
        <v>14</v>
      </c>
      <c r="H45" s="40">
        <f>48/95</f>
        <v>0.50526315789473686</v>
      </c>
      <c r="I45" s="40">
        <f t="shared" ref="I45:I49" si="3">-H45*LOG(H45,2)</f>
        <v>0.4976302017396842</v>
      </c>
      <c r="J45" s="41"/>
      <c r="K45" s="41"/>
      <c r="L45" s="42"/>
      <c r="M45" s="6"/>
      <c r="N45" s="6"/>
    </row>
    <row r="46" spans="6:14" x14ac:dyDescent="0.25">
      <c r="F46" s="39"/>
      <c r="G46" s="40" t="s">
        <v>15</v>
      </c>
      <c r="H46" s="40">
        <f>17/95</f>
        <v>0.17894736842105263</v>
      </c>
      <c r="I46" s="40">
        <f t="shared" si="3"/>
        <v>0.44421765305652999</v>
      </c>
      <c r="J46" s="41"/>
      <c r="K46" s="41"/>
      <c r="L46" s="42"/>
      <c r="M46" s="5"/>
      <c r="N46" s="5"/>
    </row>
    <row r="47" spans="6:14" x14ac:dyDescent="0.25">
      <c r="F47" s="39" t="s">
        <v>21</v>
      </c>
      <c r="G47" s="40" t="s">
        <v>13</v>
      </c>
      <c r="H47" s="40">
        <f>25/110</f>
        <v>0.22727272727272727</v>
      </c>
      <c r="I47" s="40">
        <f>-H47*LOG(H47,2)</f>
        <v>0.48579625539771254</v>
      </c>
      <c r="J47" s="41">
        <f>I47+I48+I49</f>
        <v>1.2501167936696704</v>
      </c>
      <c r="K47" s="41">
        <v>0.53500000000000003</v>
      </c>
      <c r="L47" s="42">
        <f>J47*K47</f>
        <v>0.66881248461327369</v>
      </c>
      <c r="M47" s="5"/>
      <c r="N47" s="5"/>
    </row>
    <row r="48" spans="6:14" x14ac:dyDescent="0.25">
      <c r="F48" s="43"/>
      <c r="G48" s="40" t="s">
        <v>14</v>
      </c>
      <c r="H48" s="40">
        <f>72/110</f>
        <v>0.65454545454545454</v>
      </c>
      <c r="I48" s="40">
        <f t="shared" si="3"/>
        <v>0.40021181154480912</v>
      </c>
      <c r="J48" s="41"/>
      <c r="K48" s="41"/>
      <c r="L48" s="42"/>
      <c r="M48" s="5"/>
      <c r="N48" s="5"/>
    </row>
    <row r="49" spans="6:14" x14ac:dyDescent="0.25">
      <c r="F49" s="43"/>
      <c r="G49" s="40" t="s">
        <v>15</v>
      </c>
      <c r="H49" s="40">
        <f>13/110</f>
        <v>0.11818181818181818</v>
      </c>
      <c r="I49" s="40">
        <f t="shared" si="3"/>
        <v>0.36410872672714883</v>
      </c>
      <c r="J49" s="41"/>
      <c r="K49" s="41"/>
      <c r="L49" s="42"/>
      <c r="M49" s="5"/>
      <c r="N49" s="7"/>
    </row>
    <row r="50" spans="6:14" x14ac:dyDescent="0.25">
      <c r="F50" s="50" t="s">
        <v>9</v>
      </c>
      <c r="G50" s="50"/>
      <c r="H50" s="50"/>
      <c r="I50" s="50"/>
      <c r="J50" s="50"/>
      <c r="K50" s="45">
        <f>K44+K47</f>
        <v>1</v>
      </c>
      <c r="L50" s="46">
        <f>L44+L47</f>
        <v>1.3509650205406492</v>
      </c>
      <c r="M50" s="6"/>
      <c r="N50" s="6"/>
    </row>
    <row r="51" spans="6:14" x14ac:dyDescent="0.25">
      <c r="F51" s="47" t="s">
        <v>10</v>
      </c>
      <c r="G51" s="48">
        <f>ABS(P16-L50)</f>
        <v>0.21526283271902269</v>
      </c>
      <c r="H51" s="49"/>
      <c r="I51" s="49"/>
      <c r="J51" s="49"/>
      <c r="K51" s="49"/>
      <c r="L51" s="49"/>
      <c r="M51" s="6"/>
      <c r="N51" s="6"/>
    </row>
    <row r="52" spans="6:14" x14ac:dyDescent="0.25">
      <c r="M52" s="6"/>
      <c r="N52" s="6"/>
    </row>
    <row r="54" spans="6:14" x14ac:dyDescent="0.25">
      <c r="F54" s="20" t="s">
        <v>22</v>
      </c>
      <c r="G54" s="4"/>
      <c r="H54" s="4"/>
      <c r="I54" s="4"/>
      <c r="J54" s="4"/>
      <c r="K54" s="4"/>
      <c r="L54" s="4"/>
    </row>
    <row r="55" spans="6:14" x14ac:dyDescent="0.25">
      <c r="F55" s="20"/>
      <c r="G55" s="4"/>
      <c r="H55" s="4"/>
      <c r="I55" s="4"/>
      <c r="J55" s="4"/>
      <c r="K55" s="4"/>
      <c r="L55" s="4"/>
    </row>
    <row r="56" spans="6:14" x14ac:dyDescent="0.25">
      <c r="F56" s="35" t="s">
        <v>1</v>
      </c>
      <c r="G56" s="36" t="s">
        <v>19</v>
      </c>
      <c r="H56" s="36" t="s">
        <v>3</v>
      </c>
      <c r="I56" s="37" t="s">
        <v>4</v>
      </c>
      <c r="J56" s="38" t="s">
        <v>7</v>
      </c>
      <c r="K56" s="38" t="s">
        <v>6</v>
      </c>
      <c r="L56" s="38" t="s">
        <v>8</v>
      </c>
    </row>
    <row r="57" spans="6:14" x14ac:dyDescent="0.25">
      <c r="F57" s="39" t="s">
        <v>20</v>
      </c>
      <c r="G57" s="40" t="s">
        <v>13</v>
      </c>
      <c r="H57" s="40">
        <f>7/12</f>
        <v>0.58333333333333337</v>
      </c>
      <c r="I57" s="40">
        <f>-H57*LOG(H57,2)</f>
        <v>0.45360442088707198</v>
      </c>
      <c r="J57" s="41">
        <f>I57+I58+I59</f>
        <v>0.97986875665115269</v>
      </c>
      <c r="K57" s="41">
        <v>0.46500000000000002</v>
      </c>
      <c r="L57" s="42">
        <f>J57*K57</f>
        <v>0.45563897184278601</v>
      </c>
    </row>
    <row r="58" spans="6:14" x14ac:dyDescent="0.25">
      <c r="F58" s="39"/>
      <c r="G58" s="40" t="s">
        <v>14</v>
      </c>
      <c r="H58" s="40">
        <f>0/12</f>
        <v>0</v>
      </c>
      <c r="I58" s="40">
        <v>0</v>
      </c>
      <c r="J58" s="41"/>
      <c r="K58" s="41"/>
      <c r="L58" s="42"/>
    </row>
    <row r="59" spans="6:14" x14ac:dyDescent="0.25">
      <c r="F59" s="39"/>
      <c r="G59" s="40" t="s">
        <v>15</v>
      </c>
      <c r="H59" s="40">
        <f>5/12</f>
        <v>0.41666666666666669</v>
      </c>
      <c r="I59" s="40">
        <f t="shared" ref="I59" si="4">-H59*LOG(H59,2)</f>
        <v>0.52626433576408072</v>
      </c>
      <c r="J59" s="41"/>
      <c r="K59" s="41"/>
      <c r="L59" s="42"/>
    </row>
    <row r="60" spans="6:14" x14ac:dyDescent="0.25">
      <c r="F60" s="39" t="s">
        <v>21</v>
      </c>
      <c r="G60" s="40" t="s">
        <v>13</v>
      </c>
      <c r="H60" s="40">
        <f>8/34</f>
        <v>0.23529411764705882</v>
      </c>
      <c r="I60" s="40">
        <f>-H60*LOG(H60,2)</f>
        <v>0.49116772735302106</v>
      </c>
      <c r="J60" s="41">
        <f>I60+I61+I62</f>
        <v>1.4297538056670642</v>
      </c>
      <c r="K60" s="41">
        <v>0.53500000000000003</v>
      </c>
      <c r="L60" s="42">
        <f>J60*K60</f>
        <v>0.76491828603187939</v>
      </c>
    </row>
    <row r="61" spans="6:14" x14ac:dyDescent="0.25">
      <c r="F61" s="43"/>
      <c r="G61" s="40" t="s">
        <v>14</v>
      </c>
      <c r="H61" s="40">
        <f>7/34</f>
        <v>0.20588235294117646</v>
      </c>
      <c r="I61" s="40">
        <f t="shared" ref="I61:I62" si="5">-H61*LOG(H61,2)</f>
        <v>0.46943398336321018</v>
      </c>
      <c r="J61" s="41"/>
      <c r="K61" s="41"/>
      <c r="L61" s="42"/>
    </row>
    <row r="62" spans="6:14" x14ac:dyDescent="0.25">
      <c r="F62" s="43"/>
      <c r="G62" s="40" t="s">
        <v>15</v>
      </c>
      <c r="H62" s="40">
        <f>19/34</f>
        <v>0.55882352941176472</v>
      </c>
      <c r="I62" s="40">
        <f t="shared" si="5"/>
        <v>0.46915209495083304</v>
      </c>
      <c r="J62" s="41"/>
      <c r="K62" s="41"/>
      <c r="L62" s="42"/>
    </row>
    <row r="63" spans="6:14" x14ac:dyDescent="0.25">
      <c r="F63" s="50" t="s">
        <v>9</v>
      </c>
      <c r="G63" s="50"/>
      <c r="H63" s="50"/>
      <c r="I63" s="50"/>
      <c r="J63" s="50"/>
      <c r="K63" s="45">
        <f>K57+K60</f>
        <v>1</v>
      </c>
      <c r="L63" s="46">
        <f>L57+L60</f>
        <v>1.2205572578746655</v>
      </c>
    </row>
    <row r="64" spans="6:14" x14ac:dyDescent="0.25">
      <c r="F64" s="47" t="s">
        <v>10</v>
      </c>
      <c r="G64" s="48">
        <f>ABS(P16-L63)</f>
        <v>0.34567059538500633</v>
      </c>
      <c r="H64" s="49"/>
      <c r="I64" s="49"/>
      <c r="J64" s="49"/>
      <c r="K64" s="49"/>
      <c r="L64" s="49"/>
    </row>
    <row r="67" spans="6:12" x14ac:dyDescent="0.25">
      <c r="F67" s="20" t="s">
        <v>23</v>
      </c>
      <c r="G67" s="4"/>
      <c r="H67" s="4"/>
      <c r="I67" s="4"/>
      <c r="J67" s="4"/>
      <c r="K67" s="4"/>
      <c r="L67" s="4"/>
    </row>
    <row r="68" spans="6:12" x14ac:dyDescent="0.25">
      <c r="F68" s="20"/>
      <c r="G68" s="4"/>
      <c r="H68" s="4"/>
      <c r="I68" s="4"/>
      <c r="J68" s="4"/>
      <c r="K68" s="4"/>
      <c r="L68" s="4"/>
    </row>
    <row r="69" spans="6:12" x14ac:dyDescent="0.25">
      <c r="F69" s="35" t="s">
        <v>1</v>
      </c>
      <c r="G69" s="36" t="s">
        <v>19</v>
      </c>
      <c r="H69" s="36" t="s">
        <v>3</v>
      </c>
      <c r="I69" s="37" t="s">
        <v>4</v>
      </c>
      <c r="J69" s="38" t="s">
        <v>7</v>
      </c>
      <c r="K69" s="38" t="s">
        <v>6</v>
      </c>
      <c r="L69" s="38" t="s">
        <v>8</v>
      </c>
    </row>
    <row r="70" spans="6:12" x14ac:dyDescent="0.25">
      <c r="F70" s="39" t="s">
        <v>20</v>
      </c>
      <c r="G70" s="40" t="s">
        <v>13</v>
      </c>
      <c r="H70" s="40">
        <f>60/79</f>
        <v>0.759493670886076</v>
      </c>
      <c r="I70" s="40">
        <f>-H70*LOG(H70,2)</f>
        <v>0.3014355589128489</v>
      </c>
      <c r="J70" s="41">
        <f>I70+I71+I72</f>
        <v>0.91263765909144623</v>
      </c>
      <c r="K70" s="41">
        <v>0.46500000000000002</v>
      </c>
      <c r="L70" s="42">
        <f>J70*K70</f>
        <v>0.42437651147752253</v>
      </c>
    </row>
    <row r="71" spans="6:12" x14ac:dyDescent="0.25">
      <c r="F71" s="39"/>
      <c r="G71" s="40" t="s">
        <v>14</v>
      </c>
      <c r="H71" s="40">
        <f>2/79</f>
        <v>2.5316455696202531E-2</v>
      </c>
      <c r="I71" s="40">
        <f t="shared" ref="I71:I72" si="6">-H71*LOG(H71,2)</f>
        <v>0.13427293033359755</v>
      </c>
      <c r="J71" s="41"/>
      <c r="K71" s="41"/>
      <c r="L71" s="42"/>
    </row>
    <row r="72" spans="6:12" x14ac:dyDescent="0.25">
      <c r="F72" s="39"/>
      <c r="G72" s="40" t="s">
        <v>15</v>
      </c>
      <c r="H72" s="40">
        <f>17/79</f>
        <v>0.21518987341772153</v>
      </c>
      <c r="I72" s="40">
        <f t="shared" si="6"/>
        <v>0.47692916984499978</v>
      </c>
      <c r="J72" s="41"/>
      <c r="K72" s="41"/>
      <c r="L72" s="42"/>
    </row>
    <row r="73" spans="6:12" x14ac:dyDescent="0.25">
      <c r="F73" s="39" t="s">
        <v>21</v>
      </c>
      <c r="G73" s="40" t="s">
        <v>13</v>
      </c>
      <c r="H73" s="40">
        <f>26/70</f>
        <v>0.37142857142857144</v>
      </c>
      <c r="I73" s="40">
        <f>-H73*LOG(H73,2)</f>
        <v>0.53071322527001041</v>
      </c>
      <c r="J73" s="41">
        <f>I73+I74+I75</f>
        <v>1.4377908709013441</v>
      </c>
      <c r="K73" s="41">
        <v>0.53500000000000003</v>
      </c>
      <c r="L73" s="42">
        <f>J73*K73</f>
        <v>0.76921811593221912</v>
      </c>
    </row>
    <row r="74" spans="6:12" x14ac:dyDescent="0.25">
      <c r="F74" s="43"/>
      <c r="G74" s="40" t="s">
        <v>14</v>
      </c>
      <c r="H74" s="40">
        <f>10/70</f>
        <v>0.14285714285714285</v>
      </c>
      <c r="I74" s="40">
        <f t="shared" ref="I74:I75" si="7">-H74*LOG(H74,2)</f>
        <v>0.40105070315108637</v>
      </c>
      <c r="J74" s="41"/>
      <c r="K74" s="41"/>
      <c r="L74" s="42"/>
    </row>
    <row r="75" spans="6:12" x14ac:dyDescent="0.25">
      <c r="F75" s="43"/>
      <c r="G75" s="40" t="s">
        <v>15</v>
      </c>
      <c r="H75" s="40">
        <f>34/70</f>
        <v>0.48571428571428571</v>
      </c>
      <c r="I75" s="40">
        <f t="shared" si="7"/>
        <v>0.50602694248024738</v>
      </c>
      <c r="J75" s="41"/>
      <c r="K75" s="41"/>
      <c r="L75" s="42"/>
    </row>
    <row r="76" spans="6:12" x14ac:dyDescent="0.25">
      <c r="F76" s="50" t="s">
        <v>9</v>
      </c>
      <c r="G76" s="50"/>
      <c r="H76" s="50"/>
      <c r="I76" s="50"/>
      <c r="J76" s="50"/>
      <c r="K76" s="45">
        <f>K70+K73</f>
        <v>1</v>
      </c>
      <c r="L76" s="46">
        <f>L70+L73</f>
        <v>1.1935946274097415</v>
      </c>
    </row>
    <row r="77" spans="6:12" x14ac:dyDescent="0.25">
      <c r="F77" s="47" t="s">
        <v>10</v>
      </c>
      <c r="G77" s="48">
        <f>ABS(P16-L76)</f>
        <v>0.37263322584993031</v>
      </c>
      <c r="H77" s="49"/>
      <c r="I77" s="49"/>
      <c r="J77" s="49"/>
      <c r="K77" s="49"/>
      <c r="L77" s="49"/>
    </row>
    <row r="79" spans="6:12" x14ac:dyDescent="0.25">
      <c r="F79" s="58" t="s">
        <v>35</v>
      </c>
      <c r="G79" s="58"/>
      <c r="H79" s="58"/>
      <c r="I79" s="58"/>
      <c r="J79" s="58"/>
    </row>
  </sheetData>
  <mergeCells count="15">
    <mergeCell ref="F79:J79"/>
    <mergeCell ref="F7:L7"/>
    <mergeCell ref="F35:J35"/>
    <mergeCell ref="O15:P15"/>
    <mergeCell ref="N16:O16"/>
    <mergeCell ref="G36:L36"/>
    <mergeCell ref="G21:L21"/>
    <mergeCell ref="F63:J63"/>
    <mergeCell ref="G64:L64"/>
    <mergeCell ref="F76:J76"/>
    <mergeCell ref="G77:L77"/>
    <mergeCell ref="F20:J20"/>
    <mergeCell ref="F50:J50"/>
    <mergeCell ref="G51:L51"/>
    <mergeCell ref="F40:L4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1371600</xdr:colOff>
                <xdr:row>0</xdr:row>
                <xdr:rowOff>142875</xdr:rowOff>
              </from>
              <to>
                <xdr:col>10</xdr:col>
                <xdr:colOff>123825</xdr:colOff>
                <xdr:row>4</xdr:row>
                <xdr:rowOff>171450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FDC4-7EC7-4883-B67E-485AA797CA1F}">
  <sheetPr filterMode="1"/>
  <dimension ref="B3:J11"/>
  <sheetViews>
    <sheetView workbookViewId="0">
      <selection activeCell="H8" sqref="H8"/>
    </sheetView>
  </sheetViews>
  <sheetFormatPr defaultRowHeight="15" x14ac:dyDescent="0.25"/>
  <cols>
    <col min="2" max="2" width="14.28515625" bestFit="1" customWidth="1"/>
    <col min="3" max="3" width="16.28515625" bestFit="1" customWidth="1"/>
    <col min="4" max="4" width="18.85546875" bestFit="1" customWidth="1"/>
    <col min="5" max="5" width="9.85546875" bestFit="1" customWidth="1"/>
    <col min="6" max="6" width="10.140625" bestFit="1" customWidth="1"/>
    <col min="7" max="7" width="9" bestFit="1" customWidth="1"/>
    <col min="8" max="8" width="12.5703125" bestFit="1" customWidth="1"/>
    <col min="10" max="10" width="28.140625" bestFit="1" customWidth="1"/>
  </cols>
  <sheetData>
    <row r="3" spans="2:10" ht="15.75" thickBot="1" x14ac:dyDescent="0.3">
      <c r="B3" s="20"/>
      <c r="C3" s="20"/>
      <c r="D3" s="20"/>
      <c r="E3" s="20"/>
      <c r="F3" s="20"/>
      <c r="G3" s="20"/>
      <c r="H3" s="20"/>
      <c r="I3" s="20"/>
      <c r="J3" s="20"/>
    </row>
    <row r="4" spans="2:10" ht="19.5" thickBot="1" x14ac:dyDescent="0.3">
      <c r="B4" s="20"/>
      <c r="C4" s="51" t="s">
        <v>27</v>
      </c>
      <c r="D4" s="52" t="s">
        <v>28</v>
      </c>
      <c r="E4" s="53" t="s">
        <v>13</v>
      </c>
      <c r="F4" s="53" t="s">
        <v>14</v>
      </c>
      <c r="G4" s="53" t="s">
        <v>15</v>
      </c>
      <c r="H4" s="53" t="s">
        <v>7</v>
      </c>
      <c r="I4" s="20"/>
      <c r="J4" s="20"/>
    </row>
    <row r="5" spans="2:10" ht="19.5" hidden="1" thickBot="1" x14ac:dyDescent="0.3">
      <c r="B5" s="20"/>
      <c r="C5" s="54" t="s">
        <v>29</v>
      </c>
      <c r="D5" s="55" t="s">
        <v>30</v>
      </c>
      <c r="E5" s="56">
        <v>30</v>
      </c>
      <c r="F5" s="56">
        <v>48</v>
      </c>
      <c r="G5" s="56">
        <v>17</v>
      </c>
      <c r="H5" s="57">
        <v>95</v>
      </c>
      <c r="I5" s="20"/>
      <c r="J5" s="20"/>
    </row>
    <row r="6" spans="2:10" ht="19.5" hidden="1" thickBot="1" x14ac:dyDescent="0.3">
      <c r="B6" s="20"/>
      <c r="C6" s="54" t="s">
        <v>29</v>
      </c>
      <c r="D6" s="55" t="s">
        <v>31</v>
      </c>
      <c r="E6" s="56">
        <v>25</v>
      </c>
      <c r="F6" s="56">
        <v>72</v>
      </c>
      <c r="G6" s="56">
        <v>13</v>
      </c>
      <c r="H6" s="57">
        <v>110</v>
      </c>
      <c r="I6" s="20"/>
      <c r="J6" s="20"/>
    </row>
    <row r="7" spans="2:10" ht="19.5" hidden="1" thickBot="1" x14ac:dyDescent="0.3">
      <c r="B7" s="20"/>
      <c r="C7" s="54" t="s">
        <v>32</v>
      </c>
      <c r="D7" s="55" t="s">
        <v>30</v>
      </c>
      <c r="E7" s="56">
        <v>7</v>
      </c>
      <c r="F7" s="56">
        <v>0</v>
      </c>
      <c r="G7" s="56">
        <v>5</v>
      </c>
      <c r="H7" s="57">
        <v>12</v>
      </c>
      <c r="I7" s="20"/>
      <c r="J7" s="20"/>
    </row>
    <row r="8" spans="2:10" ht="19.5" hidden="1" thickBot="1" x14ac:dyDescent="0.3">
      <c r="B8" s="20"/>
      <c r="C8" s="54" t="s">
        <v>32</v>
      </c>
      <c r="D8" s="55" t="s">
        <v>31</v>
      </c>
      <c r="E8" s="56">
        <v>8</v>
      </c>
      <c r="F8" s="56">
        <v>7</v>
      </c>
      <c r="G8" s="56">
        <v>19</v>
      </c>
      <c r="H8" s="57">
        <v>34</v>
      </c>
      <c r="I8" s="20"/>
      <c r="J8" s="20"/>
    </row>
    <row r="9" spans="2:10" ht="19.5" thickBot="1" x14ac:dyDescent="0.3">
      <c r="B9" s="20"/>
      <c r="C9" s="54" t="s">
        <v>33</v>
      </c>
      <c r="D9" s="55" t="s">
        <v>30</v>
      </c>
      <c r="E9" s="56">
        <v>60</v>
      </c>
      <c r="F9" s="56">
        <v>2</v>
      </c>
      <c r="G9" s="56">
        <v>17</v>
      </c>
      <c r="H9" s="57">
        <v>79</v>
      </c>
      <c r="I9" s="20"/>
      <c r="J9" s="20"/>
    </row>
    <row r="10" spans="2:10" ht="19.5" thickBot="1" x14ac:dyDescent="0.3">
      <c r="B10" s="20"/>
      <c r="C10" s="54" t="s">
        <v>33</v>
      </c>
      <c r="D10" s="55" t="s">
        <v>31</v>
      </c>
      <c r="E10" s="56">
        <v>26</v>
      </c>
      <c r="F10" s="56">
        <v>10</v>
      </c>
      <c r="G10" s="56">
        <v>34</v>
      </c>
      <c r="H10" s="57">
        <v>70</v>
      </c>
      <c r="I10" s="20"/>
      <c r="J10" s="20"/>
    </row>
    <row r="11" spans="2:10" ht="19.5" hidden="1" thickBot="1" x14ac:dyDescent="0.3">
      <c r="B11" s="20"/>
      <c r="C11" s="54" t="s">
        <v>34</v>
      </c>
      <c r="D11" s="55"/>
      <c r="E11" s="57">
        <v>156</v>
      </c>
      <c r="F11" s="57">
        <v>139</v>
      </c>
      <c r="G11" s="57">
        <v>105</v>
      </c>
      <c r="H11" s="57">
        <v>400</v>
      </c>
      <c r="I11" s="20"/>
      <c r="J11" s="20"/>
    </row>
  </sheetData>
  <autoFilter ref="C4:H11" xr:uid="{B6D66503-1E46-4A96-9DE9-55C59479D4A2}">
    <filterColumn colId="0">
      <filters>
        <filter val="Whi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Q2_C45</vt:lpstr>
      <vt:lpstr>Training 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Dell</cp:lastModifiedBy>
  <dcterms:created xsi:type="dcterms:W3CDTF">2013-05-22T14:35:16Z</dcterms:created>
  <dcterms:modified xsi:type="dcterms:W3CDTF">2019-05-12T06:18:57Z</dcterms:modified>
</cp:coreProperties>
</file>