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rp. Arango\Ecolumen\Ventas\"/>
    </mc:Choice>
  </mc:AlternateContent>
  <xr:revisionPtr revIDLastSave="0" documentId="13_ncr:1_{586AECAA-701E-4314-B4D2-7D17521C51E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otizador QTZ" sheetId="7" r:id="rId1"/>
    <sheet name="Cotizador Kwh" sheetId="2" r:id="rId2"/>
    <sheet name="Ubicacion" sheetId="1" r:id="rId3"/>
    <sheet name="Peaje EEGSA" sheetId="3" state="hidden" r:id="rId4"/>
    <sheet name="Peaje DeOCsa" sheetId="4" state="hidden" r:id="rId5"/>
    <sheet name="Peaje DeORsa" sheetId="5" state="hidden" r:id="rId6"/>
  </sheets>
  <definedNames>
    <definedName name="_xlnm._FilterDatabase" localSheetId="3" hidden="1">'Peaje EEGSA'!$A$96:$A$107</definedName>
    <definedName name="_xlnm._FilterDatabase" localSheetId="2" hidden="1">Ubicacion!$G$1:$G$341</definedName>
    <definedName name="Alta_Verapaz">Ubicacion!$B$2:$B$18</definedName>
    <definedName name="Baja_Verapaz">Ubicacion!$B$19:$B$26</definedName>
    <definedName name="Chimaltenango">Ubicacion!$B$27:$B$42</definedName>
    <definedName name="Chiquimula">Ubicacion!$B$43:$B$53</definedName>
    <definedName name="DeOCsa">'Peaje DeOCsa'!$B$127:$B$139</definedName>
    <definedName name="DEOCSA_Autoproductores">Ubicacion!$B$401:$B$405</definedName>
    <definedName name="DeORsa">'Peaje DeORsa'!$B$127:$B$139</definedName>
    <definedName name="DEORSA_Autoproductores">Ubicacion!$B$408:$B$412</definedName>
    <definedName name="Departamento">Ubicacion!$A$344:$A$365</definedName>
    <definedName name="Distribuidora">Ubicacion!$B$344:$B$347</definedName>
    <definedName name="EEGSA">'Peaje EEGSA'!$B$116:$B$126</definedName>
    <definedName name="EEGSA_Autoproductores">Ubicacion!$B$396:$B$398</definedName>
    <definedName name="El_Progreso">Ubicacion!$B$54:$B$61</definedName>
    <definedName name="Escuintla">Ubicacion!$B$62:$B$75</definedName>
    <definedName name="Guatemala">Ubicacion!$B$76:$B$92</definedName>
    <definedName name="Guatemala_Ciudad_de_Guatemala">Ubicacion!$A$368:$A$389</definedName>
    <definedName name="Huehuetenango">Ubicacion!$B$93:$B$125</definedName>
    <definedName name="Izabal">Ubicacion!$B$126:$B$130</definedName>
    <definedName name="Jalapa">Ubicacion!$B$131:$B$137</definedName>
    <definedName name="Jutiapa">Ubicacion!$B$138:$B$154</definedName>
    <definedName name="Petén">Ubicacion!$B$155:$B$168</definedName>
    <definedName name="Quetzaltenango">Ubicacion!$B$169:$B$192</definedName>
    <definedName name="Quiché">Ubicacion!$B$193:$B$213</definedName>
    <definedName name="Retalhuleu">Ubicacion!$B$214:$B$222</definedName>
    <definedName name="Sacatepéquez">Ubicacion!$B$223:$B$238</definedName>
    <definedName name="San_Marcos">Ubicacion!$B$239:$B$268</definedName>
    <definedName name="Santa_Rosa">Ubicacion!$B$269:$B$282</definedName>
    <definedName name="Sololá">Ubicacion!$B$283:$B$301</definedName>
    <definedName name="solver_adj" localSheetId="0" hidden="1">'Cotizador QTZ'!$B$28</definedName>
    <definedName name="solver_adj" localSheetId="4" hidden="1">'Peaje DeOCsa'!$H$80</definedName>
    <definedName name="solver_adj" localSheetId="5" hidden="1">'Peaje DeORsa'!$H$80</definedName>
    <definedName name="solver_cvg" localSheetId="0" hidden="1">0.0001</definedName>
    <definedName name="solver_cvg" localSheetId="4" hidden="1">0.0001</definedName>
    <definedName name="solver_cvg" localSheetId="5" hidden="1">0.0001</definedName>
    <definedName name="solver_drv" localSheetId="0" hidden="1">1</definedName>
    <definedName name="solver_drv" localSheetId="4" hidden="1">1</definedName>
    <definedName name="solver_drv" localSheetId="5" hidden="1">1</definedName>
    <definedName name="solver_eng" localSheetId="0" hidden="1">1</definedName>
    <definedName name="solver_eng" localSheetId="4" hidden="1">1</definedName>
    <definedName name="solver_eng" localSheetId="5" hidden="1">1</definedName>
    <definedName name="solver_est" localSheetId="0" hidden="1">1</definedName>
    <definedName name="solver_est" localSheetId="4" hidden="1">1</definedName>
    <definedName name="solver_est" localSheetId="5" hidden="1">1</definedName>
    <definedName name="solver_itr" localSheetId="0" hidden="1">2147483647</definedName>
    <definedName name="solver_itr" localSheetId="4" hidden="1">2147483647</definedName>
    <definedName name="solver_itr" localSheetId="5" hidden="1">2147483647</definedName>
    <definedName name="solver_mip" localSheetId="0" hidden="1">2147483647</definedName>
    <definedName name="solver_mip" localSheetId="4" hidden="1">2147483647</definedName>
    <definedName name="solver_mip" localSheetId="5" hidden="1">2147483647</definedName>
    <definedName name="solver_mni" localSheetId="0" hidden="1">30</definedName>
    <definedName name="solver_mni" localSheetId="4" hidden="1">30</definedName>
    <definedName name="solver_mni" localSheetId="5" hidden="1">30</definedName>
    <definedName name="solver_mrt" localSheetId="0" hidden="1">0.075</definedName>
    <definedName name="solver_mrt" localSheetId="4" hidden="1">0.075</definedName>
    <definedName name="solver_mrt" localSheetId="5" hidden="1">0.075</definedName>
    <definedName name="solver_msl" localSheetId="0" hidden="1">2</definedName>
    <definedName name="solver_msl" localSheetId="4" hidden="1">2</definedName>
    <definedName name="solver_msl" localSheetId="5" hidden="1">2</definedName>
    <definedName name="solver_neg" localSheetId="0" hidden="1">1</definedName>
    <definedName name="solver_neg" localSheetId="4" hidden="1">1</definedName>
    <definedName name="solver_neg" localSheetId="5" hidden="1">1</definedName>
    <definedName name="solver_nod" localSheetId="0" hidden="1">2147483647</definedName>
    <definedName name="solver_nod" localSheetId="4" hidden="1">2147483647</definedName>
    <definedName name="solver_nod" localSheetId="5" hidden="1">2147483647</definedName>
    <definedName name="solver_num" localSheetId="0" hidden="1">0</definedName>
    <definedName name="solver_num" localSheetId="4" hidden="1">0</definedName>
    <definedName name="solver_num" localSheetId="5" hidden="1">0</definedName>
    <definedName name="solver_nwt" localSheetId="0" hidden="1">1</definedName>
    <definedName name="solver_nwt" localSheetId="4" hidden="1">1</definedName>
    <definedName name="solver_nwt" localSheetId="5" hidden="1">1</definedName>
    <definedName name="solver_opt" localSheetId="0" hidden="1">'Cotizador QTZ'!$B$10</definedName>
    <definedName name="solver_opt" localSheetId="4" hidden="1">'Peaje DeOCsa'!$H$79</definedName>
    <definedName name="solver_opt" localSheetId="5" hidden="1">'Peaje DeORsa'!$H$79</definedName>
    <definedName name="solver_pre" localSheetId="0" hidden="1">0.000001</definedName>
    <definedName name="solver_pre" localSheetId="4" hidden="1">0.000001</definedName>
    <definedName name="solver_pre" localSheetId="5" hidden="1">0.000001</definedName>
    <definedName name="solver_rbv" localSheetId="0" hidden="1">1</definedName>
    <definedName name="solver_rbv" localSheetId="4" hidden="1">1</definedName>
    <definedName name="solver_rbv" localSheetId="5" hidden="1">1</definedName>
    <definedName name="solver_rlx" localSheetId="0" hidden="1">2</definedName>
    <definedName name="solver_rlx" localSheetId="4" hidden="1">2</definedName>
    <definedName name="solver_rlx" localSheetId="5" hidden="1">2</definedName>
    <definedName name="solver_rsd" localSheetId="0" hidden="1">0</definedName>
    <definedName name="solver_rsd" localSheetId="4" hidden="1">0</definedName>
    <definedName name="solver_rsd" localSheetId="5" hidden="1">0</definedName>
    <definedName name="solver_scl" localSheetId="0" hidden="1">1</definedName>
    <definedName name="solver_scl" localSheetId="4" hidden="1">1</definedName>
    <definedName name="solver_scl" localSheetId="5" hidden="1">1</definedName>
    <definedName name="solver_sho" localSheetId="0" hidden="1">2</definedName>
    <definedName name="solver_sho" localSheetId="4" hidden="1">2</definedName>
    <definedName name="solver_sho" localSheetId="5" hidden="1">2</definedName>
    <definedName name="solver_ssz" localSheetId="0" hidden="1">100</definedName>
    <definedName name="solver_ssz" localSheetId="4" hidden="1">100</definedName>
    <definedName name="solver_ssz" localSheetId="5" hidden="1">100</definedName>
    <definedName name="solver_tim" localSheetId="0" hidden="1">2147483647</definedName>
    <definedName name="solver_tim" localSheetId="4" hidden="1">2147483647</definedName>
    <definedName name="solver_tim" localSheetId="5" hidden="1">2147483647</definedName>
    <definedName name="solver_tol" localSheetId="0" hidden="1">0.01</definedName>
    <definedName name="solver_tol" localSheetId="4" hidden="1">0.01</definedName>
    <definedName name="solver_tol" localSheetId="5" hidden="1">0.01</definedName>
    <definedName name="solver_typ" localSheetId="0" hidden="1">1</definedName>
    <definedName name="solver_typ" localSheetId="4" hidden="1">3</definedName>
    <definedName name="solver_typ" localSheetId="5" hidden="1">3</definedName>
    <definedName name="solver_val" localSheetId="0" hidden="1">0</definedName>
    <definedName name="solver_val" localSheetId="4" hidden="1">52.787908</definedName>
    <definedName name="solver_val" localSheetId="5" hidden="1">58.266784</definedName>
    <definedName name="solver_ver" localSheetId="0" hidden="1">3</definedName>
    <definedName name="solver_ver" localSheetId="4" hidden="1">3</definedName>
    <definedName name="solver_ver" localSheetId="5" hidden="1">3</definedName>
    <definedName name="Suchitepéquez">Ubicacion!$B$302:$B$322</definedName>
    <definedName name="Totonicapán">Ubicacion!$B$323:$B$330</definedName>
    <definedName name="Zacapa">Ubicacion!$B$331:$B$341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9" i="2" l="1"/>
  <c r="B45" i="2"/>
  <c r="G48" i="2"/>
  <c r="F48" i="2"/>
  <c r="E48" i="2"/>
  <c r="D48" i="2"/>
  <c r="C48" i="2"/>
  <c r="B48" i="2"/>
  <c r="G38" i="2"/>
  <c r="F38" i="2"/>
  <c r="E38" i="2"/>
  <c r="D38" i="2"/>
  <c r="C38" i="2"/>
  <c r="G37" i="2"/>
  <c r="F37" i="2"/>
  <c r="E37" i="2"/>
  <c r="D37" i="2"/>
  <c r="C37" i="2"/>
  <c r="G46" i="2"/>
  <c r="G47" i="2" s="1"/>
  <c r="F46" i="2"/>
  <c r="F47" i="2" s="1"/>
  <c r="E46" i="2"/>
  <c r="E47" i="2" s="1"/>
  <c r="E29" i="2"/>
  <c r="F29" i="2"/>
  <c r="G29" i="2"/>
  <c r="E30" i="2"/>
  <c r="F30" i="2"/>
  <c r="G30" i="2"/>
  <c r="E31" i="2"/>
  <c r="F31" i="2"/>
  <c r="G31" i="2"/>
  <c r="E32" i="2"/>
  <c r="F32" i="2"/>
  <c r="G32" i="2"/>
  <c r="E33" i="2"/>
  <c r="F33" i="2"/>
  <c r="G33" i="2"/>
  <c r="E34" i="2"/>
  <c r="F34" i="2"/>
  <c r="G34" i="2"/>
  <c r="E35" i="2"/>
  <c r="F35" i="2"/>
  <c r="G35" i="2"/>
  <c r="E36" i="2"/>
  <c r="F36" i="2"/>
  <c r="G36" i="2"/>
  <c r="B71" i="2"/>
  <c r="G27" i="2"/>
  <c r="F27" i="2"/>
  <c r="E27" i="2"/>
  <c r="D27" i="2"/>
  <c r="C27" i="2"/>
  <c r="B27" i="2"/>
  <c r="G26" i="2"/>
  <c r="F26" i="2"/>
  <c r="E26" i="2"/>
  <c r="D26" i="2"/>
  <c r="C26" i="2"/>
  <c r="B26" i="2"/>
  <c r="G25" i="2"/>
  <c r="F25" i="2"/>
  <c r="E25" i="2"/>
  <c r="D25" i="2"/>
  <c r="C25" i="2"/>
  <c r="B25" i="2"/>
  <c r="G24" i="2"/>
  <c r="F24" i="2"/>
  <c r="E24" i="2"/>
  <c r="D24" i="2"/>
  <c r="C24" i="2"/>
  <c r="B24" i="2"/>
  <c r="G23" i="2"/>
  <c r="F23" i="2"/>
  <c r="E23" i="2"/>
  <c r="D23" i="2"/>
  <c r="C23" i="2"/>
  <c r="B23" i="2"/>
  <c r="G22" i="2"/>
  <c r="F22" i="2"/>
  <c r="E22" i="2"/>
  <c r="D22" i="2"/>
  <c r="C22" i="2"/>
  <c r="B22" i="2"/>
  <c r="B51" i="2"/>
  <c r="B38" i="7"/>
  <c r="D8" i="7"/>
  <c r="D38" i="7" s="1"/>
  <c r="C8" i="7"/>
  <c r="C38" i="7" s="1"/>
  <c r="B13" i="7"/>
  <c r="D28" i="7" l="1"/>
  <c r="C28" i="7"/>
  <c r="B58" i="7"/>
  <c r="B27" i="7"/>
  <c r="J11" i="7"/>
  <c r="J12" i="7" s="1"/>
  <c r="I11" i="7"/>
  <c r="I12" i="7" s="1"/>
  <c r="J8" i="7"/>
  <c r="I8" i="7"/>
  <c r="H8" i="7"/>
  <c r="D13" i="7" l="1"/>
  <c r="E13" i="7" s="1"/>
  <c r="C13" i="7"/>
  <c r="C27" i="7"/>
  <c r="C26" i="7" s="1"/>
  <c r="C25" i="7" s="1"/>
  <c r="D27" i="7"/>
  <c r="D26" i="7" s="1"/>
  <c r="D25" i="7" s="1"/>
  <c r="E9" i="7"/>
  <c r="G18" i="2"/>
  <c r="F18" i="2"/>
  <c r="E18" i="2"/>
  <c r="D18" i="2"/>
  <c r="C18" i="2"/>
  <c r="B18" i="2"/>
  <c r="D29" i="2" l="1"/>
  <c r="D32" i="2"/>
  <c r="D35" i="2"/>
  <c r="D31" i="2"/>
  <c r="D30" i="2"/>
  <c r="D33" i="2"/>
  <c r="D36" i="2"/>
  <c r="D34" i="2"/>
  <c r="C33" i="2"/>
  <c r="C31" i="2"/>
  <c r="C36" i="2"/>
  <c r="C32" i="2"/>
  <c r="C34" i="2"/>
  <c r="C35" i="2"/>
  <c r="B36" i="2"/>
  <c r="B35" i="2"/>
  <c r="B34" i="2"/>
  <c r="B33" i="2"/>
  <c r="B32" i="2"/>
  <c r="B31" i="2"/>
  <c r="H18" i="2"/>
  <c r="B26" i="7"/>
  <c r="B25" i="7" s="1"/>
  <c r="B58" i="2"/>
  <c r="G39" i="2"/>
  <c r="F39" i="2"/>
  <c r="E39" i="2"/>
  <c r="D39" i="2"/>
  <c r="C39" i="2"/>
  <c r="B39" i="2"/>
  <c r="G64" i="2"/>
  <c r="F64" i="2"/>
  <c r="E64" i="2"/>
  <c r="D64" i="2"/>
  <c r="C64" i="2"/>
  <c r="B64" i="2"/>
  <c r="U363" i="1"/>
  <c r="U352" i="1"/>
  <c r="U326" i="1"/>
  <c r="U323" i="1"/>
  <c r="U294" i="1"/>
  <c r="U281" i="1"/>
  <c r="U246" i="1"/>
  <c r="U239" i="1"/>
  <c r="U233" i="1"/>
  <c r="U205" i="1"/>
  <c r="U179" i="1"/>
  <c r="U169" i="1"/>
  <c r="U153" i="1"/>
  <c r="U152" i="1"/>
  <c r="U120" i="1"/>
  <c r="U105" i="1"/>
  <c r="U103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62" i="1"/>
  <c r="U55" i="1"/>
  <c r="U44" i="1"/>
  <c r="U28" i="1"/>
  <c r="U23" i="1"/>
  <c r="U5" i="1"/>
  <c r="K304" i="1"/>
  <c r="J305" i="1" s="1"/>
  <c r="U327" i="1" s="1"/>
  <c r="K301" i="1"/>
  <c r="J300" i="1" s="1"/>
  <c r="U322" i="1" s="1"/>
  <c r="K157" i="1"/>
  <c r="J166" i="1" s="1"/>
  <c r="U188" i="1" s="1"/>
  <c r="K147" i="1"/>
  <c r="J153" i="1" s="1"/>
  <c r="U175" i="1" s="1"/>
  <c r="K259" i="1"/>
  <c r="J267" i="1" s="1"/>
  <c r="U289" i="1" s="1"/>
  <c r="K272" i="1"/>
  <c r="J280" i="1" s="1"/>
  <c r="U302" i="1" s="1"/>
  <c r="G45" i="2" l="1"/>
  <c r="F45" i="2"/>
  <c r="E45" i="2"/>
  <c r="D45" i="2"/>
  <c r="C45" i="2"/>
  <c r="J243" i="1"/>
  <c r="U265" i="1" s="1"/>
  <c r="J255" i="1"/>
  <c r="U277" i="1" s="1"/>
  <c r="J268" i="1"/>
  <c r="U290" i="1" s="1"/>
  <c r="J316" i="1"/>
  <c r="U338" i="1" s="1"/>
  <c r="J141" i="1"/>
  <c r="U163" i="1" s="1"/>
  <c r="J154" i="1"/>
  <c r="U176" i="1" s="1"/>
  <c r="J167" i="1"/>
  <c r="U189" i="1" s="1"/>
  <c r="J281" i="1"/>
  <c r="U303" i="1" s="1"/>
  <c r="J142" i="1"/>
  <c r="U164" i="1" s="1"/>
  <c r="J155" i="1"/>
  <c r="U177" i="1" s="1"/>
  <c r="J168" i="1"/>
  <c r="U190" i="1" s="1"/>
  <c r="J244" i="1"/>
  <c r="U266" i="1" s="1"/>
  <c r="J256" i="1"/>
  <c r="U278" i="1" s="1"/>
  <c r="J269" i="1"/>
  <c r="U291" i="1" s="1"/>
  <c r="J282" i="1"/>
  <c r="U304" i="1" s="1"/>
  <c r="J317" i="1"/>
  <c r="U339" i="1" s="1"/>
  <c r="J143" i="1"/>
  <c r="U165" i="1" s="1"/>
  <c r="J156" i="1"/>
  <c r="U178" i="1" s="1"/>
  <c r="J245" i="1"/>
  <c r="U267" i="1" s="1"/>
  <c r="J257" i="1"/>
  <c r="U279" i="1" s="1"/>
  <c r="J270" i="1"/>
  <c r="U292" i="1" s="1"/>
  <c r="J306" i="1"/>
  <c r="U328" i="1" s="1"/>
  <c r="J318" i="1"/>
  <c r="U340" i="1" s="1"/>
  <c r="J144" i="1"/>
  <c r="U166" i="1" s="1"/>
  <c r="J158" i="1"/>
  <c r="U180" i="1" s="1"/>
  <c r="J246" i="1"/>
  <c r="U268" i="1" s="1"/>
  <c r="J258" i="1"/>
  <c r="U280" i="1" s="1"/>
  <c r="J271" i="1"/>
  <c r="U293" i="1" s="1"/>
  <c r="J307" i="1"/>
  <c r="U329" i="1" s="1"/>
  <c r="J319" i="1"/>
  <c r="U341" i="1" s="1"/>
  <c r="J145" i="1"/>
  <c r="U167" i="1" s="1"/>
  <c r="J159" i="1"/>
  <c r="U181" i="1" s="1"/>
  <c r="J247" i="1"/>
  <c r="U269" i="1" s="1"/>
  <c r="J260" i="1"/>
  <c r="U282" i="1" s="1"/>
  <c r="J273" i="1"/>
  <c r="U295" i="1" s="1"/>
  <c r="J308" i="1"/>
  <c r="U330" i="1" s="1"/>
  <c r="J320" i="1"/>
  <c r="U342" i="1" s="1"/>
  <c r="J146" i="1"/>
  <c r="U168" i="1" s="1"/>
  <c r="J160" i="1"/>
  <c r="U182" i="1" s="1"/>
  <c r="J248" i="1"/>
  <c r="U270" i="1" s="1"/>
  <c r="J261" i="1"/>
  <c r="U283" i="1" s="1"/>
  <c r="J274" i="1"/>
  <c r="U296" i="1" s="1"/>
  <c r="J309" i="1"/>
  <c r="U331" i="1" s="1"/>
  <c r="J321" i="1"/>
  <c r="U343" i="1" s="1"/>
  <c r="J148" i="1"/>
  <c r="U170" i="1" s="1"/>
  <c r="J161" i="1"/>
  <c r="U183" i="1" s="1"/>
  <c r="J249" i="1"/>
  <c r="U271" i="1" s="1"/>
  <c r="J262" i="1"/>
  <c r="U284" i="1" s="1"/>
  <c r="J275" i="1"/>
  <c r="U297" i="1" s="1"/>
  <c r="J310" i="1"/>
  <c r="U332" i="1" s="1"/>
  <c r="J322" i="1"/>
  <c r="U344" i="1" s="1"/>
  <c r="J149" i="1"/>
  <c r="U171" i="1" s="1"/>
  <c r="J162" i="1"/>
  <c r="U184" i="1" s="1"/>
  <c r="J250" i="1"/>
  <c r="U272" i="1" s="1"/>
  <c r="J263" i="1"/>
  <c r="U285" i="1" s="1"/>
  <c r="J276" i="1"/>
  <c r="U298" i="1" s="1"/>
  <c r="J311" i="1"/>
  <c r="U333" i="1" s="1"/>
  <c r="J150" i="1"/>
  <c r="U172" i="1" s="1"/>
  <c r="J163" i="1"/>
  <c r="U185" i="1" s="1"/>
  <c r="J239" i="1"/>
  <c r="U261" i="1" s="1"/>
  <c r="J251" i="1"/>
  <c r="U273" i="1" s="1"/>
  <c r="J264" i="1"/>
  <c r="U286" i="1" s="1"/>
  <c r="J277" i="1"/>
  <c r="U299" i="1" s="1"/>
  <c r="J312" i="1"/>
  <c r="U334" i="1" s="1"/>
  <c r="J138" i="1"/>
  <c r="U160" i="1" s="1"/>
  <c r="J151" i="1"/>
  <c r="U173" i="1" s="1"/>
  <c r="J164" i="1"/>
  <c r="U186" i="1" s="1"/>
  <c r="J240" i="1"/>
  <c r="U262" i="1" s="1"/>
  <c r="J252" i="1"/>
  <c r="U274" i="1" s="1"/>
  <c r="J265" i="1"/>
  <c r="U287" i="1" s="1"/>
  <c r="J278" i="1"/>
  <c r="U300" i="1" s="1"/>
  <c r="J313" i="1"/>
  <c r="U335" i="1" s="1"/>
  <c r="J139" i="1"/>
  <c r="U161" i="1" s="1"/>
  <c r="J152" i="1"/>
  <c r="U174" i="1" s="1"/>
  <c r="J165" i="1"/>
  <c r="U187" i="1" s="1"/>
  <c r="J241" i="1"/>
  <c r="U263" i="1" s="1"/>
  <c r="J253" i="1"/>
  <c r="U275" i="1" s="1"/>
  <c r="J266" i="1"/>
  <c r="U288" i="1" s="1"/>
  <c r="J279" i="1"/>
  <c r="U301" i="1" s="1"/>
  <c r="J314" i="1"/>
  <c r="U336" i="1" s="1"/>
  <c r="J140" i="1"/>
  <c r="U162" i="1" s="1"/>
  <c r="J242" i="1"/>
  <c r="U264" i="1" s="1"/>
  <c r="J254" i="1"/>
  <c r="U276" i="1" s="1"/>
  <c r="J315" i="1"/>
  <c r="U337" i="1" s="1"/>
  <c r="J302" i="1"/>
  <c r="U324" i="1" s="1"/>
  <c r="J303" i="1"/>
  <c r="U325" i="1" s="1"/>
  <c r="J289" i="1"/>
  <c r="U311" i="1" s="1"/>
  <c r="J290" i="1"/>
  <c r="U312" i="1" s="1"/>
  <c r="J291" i="1"/>
  <c r="U313" i="1" s="1"/>
  <c r="J292" i="1"/>
  <c r="U314" i="1" s="1"/>
  <c r="J293" i="1"/>
  <c r="U315" i="1" s="1"/>
  <c r="J294" i="1"/>
  <c r="U316" i="1" s="1"/>
  <c r="J283" i="1"/>
  <c r="U305" i="1" s="1"/>
  <c r="J295" i="1"/>
  <c r="U317" i="1" s="1"/>
  <c r="J284" i="1"/>
  <c r="U306" i="1" s="1"/>
  <c r="J296" i="1"/>
  <c r="U318" i="1" s="1"/>
  <c r="J285" i="1"/>
  <c r="U307" i="1" s="1"/>
  <c r="J297" i="1"/>
  <c r="U319" i="1" s="1"/>
  <c r="J286" i="1"/>
  <c r="U308" i="1" s="1"/>
  <c r="J298" i="1"/>
  <c r="U320" i="1" s="1"/>
  <c r="J287" i="1"/>
  <c r="U309" i="1" s="1"/>
  <c r="J299" i="1"/>
  <c r="U321" i="1" s="1"/>
  <c r="J288" i="1"/>
  <c r="U310" i="1" s="1"/>
  <c r="D46" i="2" l="1"/>
  <c r="D47" i="2" s="1"/>
  <c r="C46" i="2"/>
  <c r="C47" i="2" s="1"/>
  <c r="H39" i="2"/>
  <c r="H17" i="2"/>
  <c r="H64" i="2" l="1"/>
  <c r="K341" i="1"/>
  <c r="K330" i="1"/>
  <c r="K224" i="1"/>
  <c r="K217" i="1"/>
  <c r="K211" i="1"/>
  <c r="K183" i="1"/>
  <c r="K131" i="1"/>
  <c r="K130" i="1"/>
  <c r="K98" i="1"/>
  <c r="K83" i="1"/>
  <c r="K81" i="1"/>
  <c r="K55" i="1"/>
  <c r="K62" i="1"/>
  <c r="K79" i="1"/>
  <c r="K44" i="1"/>
  <c r="K5" i="1"/>
  <c r="K28" i="1"/>
  <c r="K23" i="1"/>
  <c r="J340" i="1" l="1"/>
  <c r="U362" i="1" s="1"/>
  <c r="J339" i="1"/>
  <c r="U361" i="1" s="1"/>
  <c r="J338" i="1"/>
  <c r="U360" i="1" s="1"/>
  <c r="J337" i="1"/>
  <c r="U359" i="1" s="1"/>
  <c r="J336" i="1"/>
  <c r="U358" i="1" s="1"/>
  <c r="J335" i="1"/>
  <c r="U357" i="1" s="1"/>
  <c r="J334" i="1"/>
  <c r="U356" i="1" s="1"/>
  <c r="J333" i="1"/>
  <c r="U355" i="1" s="1"/>
  <c r="J332" i="1"/>
  <c r="U354" i="1" s="1"/>
  <c r="J331" i="1"/>
  <c r="U353" i="1" s="1"/>
  <c r="J74" i="1"/>
  <c r="U74" i="1" s="1"/>
  <c r="J73" i="1"/>
  <c r="U73" i="1" s="1"/>
  <c r="J72" i="1"/>
  <c r="U72" i="1" s="1"/>
  <c r="J71" i="1"/>
  <c r="U71" i="1" s="1"/>
  <c r="J70" i="1"/>
  <c r="U70" i="1" s="1"/>
  <c r="J69" i="1"/>
  <c r="U69" i="1" s="1"/>
  <c r="J68" i="1"/>
  <c r="U68" i="1" s="1"/>
  <c r="J67" i="1"/>
  <c r="U67" i="1" s="1"/>
  <c r="J66" i="1"/>
  <c r="U66" i="1" s="1"/>
  <c r="J65" i="1"/>
  <c r="U65" i="1" s="1"/>
  <c r="J64" i="1"/>
  <c r="U64" i="1" s="1"/>
  <c r="J75" i="1"/>
  <c r="U75" i="1" s="1"/>
  <c r="J63" i="1"/>
  <c r="U63" i="1" s="1"/>
  <c r="J61" i="1"/>
  <c r="U61" i="1" s="1"/>
  <c r="J60" i="1"/>
  <c r="U60" i="1" s="1"/>
  <c r="J59" i="1"/>
  <c r="U59" i="1" s="1"/>
  <c r="J58" i="1"/>
  <c r="U58" i="1" s="1"/>
  <c r="J57" i="1"/>
  <c r="U57" i="1" s="1"/>
  <c r="J56" i="1"/>
  <c r="U56" i="1" s="1"/>
  <c r="J54" i="1"/>
  <c r="U54" i="1" s="1"/>
  <c r="J203" i="1"/>
  <c r="U225" i="1" s="1"/>
  <c r="J202" i="1"/>
  <c r="U224" i="1" s="1"/>
  <c r="J201" i="1"/>
  <c r="U223" i="1" s="1"/>
  <c r="J213" i="1"/>
  <c r="U235" i="1" s="1"/>
  <c r="J200" i="1"/>
  <c r="U222" i="1" s="1"/>
  <c r="J212" i="1"/>
  <c r="U234" i="1" s="1"/>
  <c r="J199" i="1"/>
  <c r="U221" i="1" s="1"/>
  <c r="J210" i="1"/>
  <c r="U232" i="1" s="1"/>
  <c r="J198" i="1"/>
  <c r="U220" i="1" s="1"/>
  <c r="J209" i="1"/>
  <c r="U231" i="1" s="1"/>
  <c r="J197" i="1"/>
  <c r="U219" i="1" s="1"/>
  <c r="J208" i="1"/>
  <c r="U230" i="1" s="1"/>
  <c r="J196" i="1"/>
  <c r="U218" i="1" s="1"/>
  <c r="J207" i="1"/>
  <c r="U229" i="1" s="1"/>
  <c r="J195" i="1"/>
  <c r="U217" i="1" s="1"/>
  <c r="J206" i="1"/>
  <c r="U228" i="1" s="1"/>
  <c r="J194" i="1"/>
  <c r="U216" i="1" s="1"/>
  <c r="J205" i="1"/>
  <c r="U227" i="1" s="1"/>
  <c r="J193" i="1"/>
  <c r="U215" i="1" s="1"/>
  <c r="J204" i="1"/>
  <c r="U226" i="1" s="1"/>
  <c r="J114" i="1"/>
  <c r="U136" i="1" s="1"/>
  <c r="J102" i="1"/>
  <c r="U124" i="1" s="1"/>
  <c r="J125" i="1"/>
  <c r="U147" i="1" s="1"/>
  <c r="J113" i="1"/>
  <c r="U135" i="1" s="1"/>
  <c r="J101" i="1"/>
  <c r="U123" i="1" s="1"/>
  <c r="J124" i="1"/>
  <c r="U146" i="1" s="1"/>
  <c r="J112" i="1"/>
  <c r="U134" i="1" s="1"/>
  <c r="J100" i="1"/>
  <c r="U122" i="1" s="1"/>
  <c r="J123" i="1"/>
  <c r="U145" i="1" s="1"/>
  <c r="J111" i="1"/>
  <c r="U133" i="1" s="1"/>
  <c r="J99" i="1"/>
  <c r="U121" i="1" s="1"/>
  <c r="J122" i="1"/>
  <c r="U144" i="1" s="1"/>
  <c r="J110" i="1"/>
  <c r="U132" i="1" s="1"/>
  <c r="J97" i="1"/>
  <c r="U119" i="1" s="1"/>
  <c r="J121" i="1"/>
  <c r="U143" i="1" s="1"/>
  <c r="J109" i="1"/>
  <c r="U131" i="1" s="1"/>
  <c r="J96" i="1"/>
  <c r="U118" i="1" s="1"/>
  <c r="J120" i="1"/>
  <c r="U142" i="1" s="1"/>
  <c r="J108" i="1"/>
  <c r="U130" i="1" s="1"/>
  <c r="J95" i="1"/>
  <c r="U117" i="1" s="1"/>
  <c r="J119" i="1"/>
  <c r="U141" i="1" s="1"/>
  <c r="J107" i="1"/>
  <c r="U129" i="1" s="1"/>
  <c r="J94" i="1"/>
  <c r="U116" i="1" s="1"/>
  <c r="J118" i="1"/>
  <c r="U140" i="1" s="1"/>
  <c r="J106" i="1"/>
  <c r="U128" i="1" s="1"/>
  <c r="J93" i="1"/>
  <c r="U115" i="1" s="1"/>
  <c r="J117" i="1"/>
  <c r="U139" i="1" s="1"/>
  <c r="J105" i="1"/>
  <c r="U127" i="1" s="1"/>
  <c r="J116" i="1"/>
  <c r="U138" i="1" s="1"/>
  <c r="J104" i="1"/>
  <c r="U126" i="1" s="1"/>
  <c r="J115" i="1"/>
  <c r="U137" i="1" s="1"/>
  <c r="J103" i="1"/>
  <c r="U125" i="1" s="1"/>
  <c r="J126" i="1"/>
  <c r="U148" i="1" s="1"/>
  <c r="J129" i="1"/>
  <c r="U151" i="1" s="1"/>
  <c r="J128" i="1"/>
  <c r="U150" i="1" s="1"/>
  <c r="J127" i="1"/>
  <c r="U149" i="1" s="1"/>
  <c r="J137" i="1"/>
  <c r="U159" i="1" s="1"/>
  <c r="J136" i="1"/>
  <c r="U158" i="1" s="1"/>
  <c r="J135" i="1"/>
  <c r="U157" i="1" s="1"/>
  <c r="J134" i="1"/>
  <c r="U156" i="1" s="1"/>
  <c r="J133" i="1"/>
  <c r="U155" i="1" s="1"/>
  <c r="J132" i="1"/>
  <c r="U154" i="1" s="1"/>
  <c r="J24" i="1"/>
  <c r="U24" i="1" s="1"/>
  <c r="J22" i="1"/>
  <c r="U22" i="1" s="1"/>
  <c r="J21" i="1"/>
  <c r="U21" i="1" s="1"/>
  <c r="J20" i="1"/>
  <c r="U20" i="1" s="1"/>
  <c r="J19" i="1"/>
  <c r="U19" i="1" s="1"/>
  <c r="J25" i="1"/>
  <c r="U25" i="1" s="1"/>
  <c r="J26" i="1"/>
  <c r="U26" i="1" s="1"/>
  <c r="J191" i="1"/>
  <c r="U213" i="1" s="1"/>
  <c r="J178" i="1"/>
  <c r="U200" i="1" s="1"/>
  <c r="J190" i="1"/>
  <c r="U212" i="1" s="1"/>
  <c r="J177" i="1"/>
  <c r="U199" i="1" s="1"/>
  <c r="J189" i="1"/>
  <c r="U211" i="1" s="1"/>
  <c r="J176" i="1"/>
  <c r="U198" i="1" s="1"/>
  <c r="J188" i="1"/>
  <c r="U210" i="1" s="1"/>
  <c r="J175" i="1"/>
  <c r="U197" i="1" s="1"/>
  <c r="J187" i="1"/>
  <c r="U209" i="1" s="1"/>
  <c r="J174" i="1"/>
  <c r="U196" i="1" s="1"/>
  <c r="J186" i="1"/>
  <c r="U208" i="1" s="1"/>
  <c r="J173" i="1"/>
  <c r="U195" i="1" s="1"/>
  <c r="J185" i="1"/>
  <c r="U207" i="1" s="1"/>
  <c r="J172" i="1"/>
  <c r="U194" i="1" s="1"/>
  <c r="J184" i="1"/>
  <c r="U206" i="1" s="1"/>
  <c r="J171" i="1"/>
  <c r="U193" i="1" s="1"/>
  <c r="J182" i="1"/>
  <c r="U204" i="1" s="1"/>
  <c r="J170" i="1"/>
  <c r="U192" i="1" s="1"/>
  <c r="J181" i="1"/>
  <c r="U203" i="1" s="1"/>
  <c r="J169" i="1"/>
  <c r="U191" i="1" s="1"/>
  <c r="J180" i="1"/>
  <c r="U202" i="1" s="1"/>
  <c r="J192" i="1"/>
  <c r="U214" i="1" s="1"/>
  <c r="J179" i="1"/>
  <c r="U201" i="1" s="1"/>
  <c r="J35" i="1"/>
  <c r="U35" i="1" s="1"/>
  <c r="J34" i="1"/>
  <c r="U34" i="1" s="1"/>
  <c r="J33" i="1"/>
  <c r="U33" i="1" s="1"/>
  <c r="J32" i="1"/>
  <c r="U32" i="1" s="1"/>
  <c r="J31" i="1"/>
  <c r="U31" i="1" s="1"/>
  <c r="J42" i="1"/>
  <c r="U42" i="1" s="1"/>
  <c r="J30" i="1"/>
  <c r="U30" i="1" s="1"/>
  <c r="J41" i="1"/>
  <c r="U41" i="1" s="1"/>
  <c r="J29" i="1"/>
  <c r="U29" i="1" s="1"/>
  <c r="J40" i="1"/>
  <c r="U40" i="1" s="1"/>
  <c r="J27" i="1"/>
  <c r="U27" i="1" s="1"/>
  <c r="J39" i="1"/>
  <c r="U39" i="1" s="1"/>
  <c r="J38" i="1"/>
  <c r="U38" i="1" s="1"/>
  <c r="J37" i="1"/>
  <c r="U37" i="1" s="1"/>
  <c r="J36" i="1"/>
  <c r="U36" i="1" s="1"/>
  <c r="J12" i="1"/>
  <c r="U12" i="1" s="1"/>
  <c r="J11" i="1"/>
  <c r="U11" i="1" s="1"/>
  <c r="J10" i="1"/>
  <c r="U10" i="1" s="1"/>
  <c r="J7" i="1"/>
  <c r="U7" i="1" s="1"/>
  <c r="J9" i="1"/>
  <c r="U9" i="1" s="1"/>
  <c r="J8" i="1"/>
  <c r="U8" i="1" s="1"/>
  <c r="J13" i="1"/>
  <c r="U13" i="1" s="1"/>
  <c r="J18" i="1"/>
  <c r="U18" i="1" s="1"/>
  <c r="J6" i="1"/>
  <c r="U6" i="1" s="1"/>
  <c r="J17" i="1"/>
  <c r="U17" i="1" s="1"/>
  <c r="J4" i="1"/>
  <c r="U4" i="1" s="1"/>
  <c r="J16" i="1"/>
  <c r="U16" i="1" s="1"/>
  <c r="J3" i="1"/>
  <c r="U3" i="1" s="1"/>
  <c r="J15" i="1"/>
  <c r="U15" i="1" s="1"/>
  <c r="J2" i="1"/>
  <c r="U2" i="1" s="1"/>
  <c r="J14" i="1"/>
  <c r="U14" i="1" s="1"/>
  <c r="J216" i="1"/>
  <c r="U238" i="1" s="1"/>
  <c r="J215" i="1"/>
  <c r="U237" i="1" s="1"/>
  <c r="J214" i="1"/>
  <c r="U236" i="1" s="1"/>
  <c r="J222" i="1"/>
  <c r="U244" i="1" s="1"/>
  <c r="J221" i="1"/>
  <c r="U243" i="1" s="1"/>
  <c r="J220" i="1"/>
  <c r="U242" i="1" s="1"/>
  <c r="J219" i="1"/>
  <c r="U241" i="1" s="1"/>
  <c r="J218" i="1"/>
  <c r="U240" i="1" s="1"/>
  <c r="J48" i="1"/>
  <c r="U48" i="1" s="1"/>
  <c r="J47" i="1"/>
  <c r="U47" i="1" s="1"/>
  <c r="J46" i="1"/>
  <c r="U46" i="1" s="1"/>
  <c r="J45" i="1"/>
  <c r="U45" i="1" s="1"/>
  <c r="J43" i="1"/>
  <c r="U43" i="1" s="1"/>
  <c r="J53" i="1"/>
  <c r="U53" i="1" s="1"/>
  <c r="J52" i="1"/>
  <c r="U52" i="1" s="1"/>
  <c r="J51" i="1"/>
  <c r="U51" i="1" s="1"/>
  <c r="J50" i="1"/>
  <c r="U50" i="1" s="1"/>
  <c r="J49" i="1"/>
  <c r="U49" i="1" s="1"/>
  <c r="J230" i="1"/>
  <c r="U252" i="1" s="1"/>
  <c r="J229" i="1"/>
  <c r="U251" i="1" s="1"/>
  <c r="J228" i="1"/>
  <c r="U250" i="1" s="1"/>
  <c r="J227" i="1"/>
  <c r="U249" i="1" s="1"/>
  <c r="J238" i="1"/>
  <c r="U260" i="1" s="1"/>
  <c r="J226" i="1"/>
  <c r="U248" i="1" s="1"/>
  <c r="J237" i="1"/>
  <c r="U259" i="1" s="1"/>
  <c r="J225" i="1"/>
  <c r="U247" i="1" s="1"/>
  <c r="J236" i="1"/>
  <c r="U258" i="1" s="1"/>
  <c r="J223" i="1"/>
  <c r="U245" i="1" s="1"/>
  <c r="J235" i="1"/>
  <c r="U257" i="1" s="1"/>
  <c r="J234" i="1"/>
  <c r="U256" i="1" s="1"/>
  <c r="J233" i="1"/>
  <c r="U255" i="1" s="1"/>
  <c r="J232" i="1"/>
  <c r="U254" i="1" s="1"/>
  <c r="J231" i="1"/>
  <c r="U253" i="1" s="1"/>
  <c r="J89" i="1"/>
  <c r="U111" i="1" s="1"/>
  <c r="J88" i="1"/>
  <c r="U110" i="1" s="1"/>
  <c r="J87" i="1"/>
  <c r="U109" i="1" s="1"/>
  <c r="J86" i="1"/>
  <c r="U108" i="1" s="1"/>
  <c r="J85" i="1"/>
  <c r="U107" i="1" s="1"/>
  <c r="J84" i="1"/>
  <c r="U106" i="1" s="1"/>
  <c r="J82" i="1"/>
  <c r="U104" i="1" s="1"/>
  <c r="J80" i="1"/>
  <c r="U102" i="1" s="1"/>
  <c r="J78" i="1"/>
  <c r="U78" i="1" s="1"/>
  <c r="J92" i="1"/>
  <c r="U114" i="1" s="1"/>
  <c r="J77" i="1"/>
  <c r="U77" i="1" s="1"/>
  <c r="J91" i="1"/>
  <c r="U113" i="1" s="1"/>
  <c r="J76" i="1"/>
  <c r="U76" i="1" s="1"/>
  <c r="J90" i="1"/>
  <c r="U112" i="1" s="1"/>
  <c r="J327" i="1"/>
  <c r="U349" i="1" s="1"/>
  <c r="J326" i="1"/>
  <c r="U348" i="1" s="1"/>
  <c r="J325" i="1"/>
  <c r="U347" i="1" s="1"/>
  <c r="J324" i="1"/>
  <c r="U346" i="1" s="1"/>
  <c r="J323" i="1"/>
  <c r="U345" i="1" s="1"/>
  <c r="J329" i="1"/>
  <c r="U351" i="1" s="1"/>
  <c r="J328" i="1"/>
  <c r="U350" i="1" s="1"/>
  <c r="B120" i="5"/>
  <c r="B120" i="4"/>
  <c r="B109" i="3"/>
  <c r="G51" i="2" l="1"/>
  <c r="G58" i="2" s="1"/>
  <c r="F51" i="2"/>
  <c r="F58" i="2" s="1"/>
  <c r="E51" i="2"/>
  <c r="E58" i="2" s="1"/>
  <c r="D51" i="2"/>
  <c r="D58" i="2" s="1"/>
  <c r="C51" i="2"/>
  <c r="C58" i="2" s="1"/>
  <c r="C32" i="7"/>
  <c r="D32" i="7"/>
  <c r="B32" i="7"/>
  <c r="H9" i="2"/>
  <c r="H16" i="2"/>
  <c r="H15" i="2"/>
  <c r="H14" i="2"/>
  <c r="I14" i="2" s="1"/>
  <c r="H13" i="2"/>
  <c r="I13" i="2" s="1"/>
  <c r="H12" i="2"/>
  <c r="H11" i="2"/>
  <c r="I11" i="2" s="1"/>
  <c r="H10" i="2"/>
  <c r="K206" i="4"/>
  <c r="J206" i="4"/>
  <c r="I206" i="4"/>
  <c r="H206" i="4"/>
  <c r="G206" i="4"/>
  <c r="F206" i="4"/>
  <c r="E206" i="4"/>
  <c r="D206" i="4"/>
  <c r="C206" i="4"/>
  <c r="K191" i="4"/>
  <c r="J191" i="4"/>
  <c r="I191" i="4"/>
  <c r="H191" i="4"/>
  <c r="G191" i="4"/>
  <c r="F191" i="4"/>
  <c r="E191" i="4"/>
  <c r="D191" i="4"/>
  <c r="C191" i="4"/>
  <c r="K186" i="4"/>
  <c r="J186" i="4"/>
  <c r="I186" i="4"/>
  <c r="H186" i="4"/>
  <c r="G186" i="4"/>
  <c r="F186" i="4"/>
  <c r="E186" i="4"/>
  <c r="D186" i="4"/>
  <c r="C186" i="4"/>
  <c r="K171" i="4"/>
  <c r="J171" i="4"/>
  <c r="I171" i="4"/>
  <c r="H171" i="4"/>
  <c r="G171" i="4"/>
  <c r="F171" i="4"/>
  <c r="E171" i="4"/>
  <c r="D171" i="4"/>
  <c r="C171" i="4"/>
  <c r="K156" i="4"/>
  <c r="J156" i="4"/>
  <c r="I156" i="4"/>
  <c r="H156" i="4"/>
  <c r="G156" i="4"/>
  <c r="F156" i="4"/>
  <c r="E156" i="4"/>
  <c r="D156" i="4"/>
  <c r="C156" i="4"/>
  <c r="K141" i="4"/>
  <c r="J141" i="4"/>
  <c r="I141" i="4"/>
  <c r="H141" i="4"/>
  <c r="G141" i="4"/>
  <c r="F141" i="4"/>
  <c r="E141" i="4"/>
  <c r="D141" i="4"/>
  <c r="C141" i="4"/>
  <c r="K206" i="5"/>
  <c r="J206" i="5"/>
  <c r="I206" i="5"/>
  <c r="H206" i="5"/>
  <c r="G206" i="5"/>
  <c r="F206" i="5"/>
  <c r="E206" i="5"/>
  <c r="D206" i="5"/>
  <c r="C206" i="5"/>
  <c r="K191" i="5"/>
  <c r="J191" i="5"/>
  <c r="I191" i="5"/>
  <c r="H191" i="5"/>
  <c r="G191" i="5"/>
  <c r="F191" i="5"/>
  <c r="E191" i="5"/>
  <c r="D191" i="5"/>
  <c r="C191" i="5"/>
  <c r="K186" i="5"/>
  <c r="J186" i="5"/>
  <c r="I186" i="5"/>
  <c r="H186" i="5"/>
  <c r="G186" i="5"/>
  <c r="F186" i="5"/>
  <c r="E186" i="5"/>
  <c r="D186" i="5"/>
  <c r="C186" i="5"/>
  <c r="K171" i="5"/>
  <c r="J171" i="5"/>
  <c r="I171" i="5"/>
  <c r="H171" i="5"/>
  <c r="G171" i="5"/>
  <c r="F171" i="5"/>
  <c r="E171" i="5"/>
  <c r="D171" i="5"/>
  <c r="C171" i="5"/>
  <c r="K156" i="5"/>
  <c r="J156" i="5"/>
  <c r="I156" i="5"/>
  <c r="H156" i="5"/>
  <c r="G156" i="5"/>
  <c r="F156" i="5"/>
  <c r="E156" i="5"/>
  <c r="D156" i="5"/>
  <c r="C156" i="5"/>
  <c r="K141" i="5"/>
  <c r="J141" i="5"/>
  <c r="I141" i="5"/>
  <c r="H141" i="5"/>
  <c r="G141" i="5"/>
  <c r="F141" i="5"/>
  <c r="E141" i="5"/>
  <c r="D141" i="5"/>
  <c r="C141" i="5"/>
  <c r="K185" i="3"/>
  <c r="J185" i="3"/>
  <c r="I185" i="3"/>
  <c r="H185" i="3"/>
  <c r="G185" i="3"/>
  <c r="F185" i="3"/>
  <c r="E185" i="3"/>
  <c r="D185" i="3"/>
  <c r="C185" i="3"/>
  <c r="K172" i="3"/>
  <c r="J172" i="3"/>
  <c r="I172" i="3"/>
  <c r="H172" i="3"/>
  <c r="G172" i="3"/>
  <c r="F172" i="3"/>
  <c r="E172" i="3"/>
  <c r="D172" i="3"/>
  <c r="C172" i="3"/>
  <c r="K167" i="3"/>
  <c r="J167" i="3"/>
  <c r="I167" i="3"/>
  <c r="H167" i="3"/>
  <c r="G167" i="3"/>
  <c r="F167" i="3"/>
  <c r="E167" i="3"/>
  <c r="D167" i="3"/>
  <c r="C167" i="3"/>
  <c r="K154" i="3"/>
  <c r="J154" i="3"/>
  <c r="I154" i="3"/>
  <c r="H154" i="3"/>
  <c r="G154" i="3"/>
  <c r="F154" i="3"/>
  <c r="E154" i="3"/>
  <c r="D154" i="3"/>
  <c r="C154" i="3"/>
  <c r="K141" i="3"/>
  <c r="J141" i="3"/>
  <c r="I141" i="3"/>
  <c r="H141" i="3"/>
  <c r="G141" i="3"/>
  <c r="F141" i="3"/>
  <c r="E141" i="3"/>
  <c r="D141" i="3"/>
  <c r="C141" i="3"/>
  <c r="K128" i="3"/>
  <c r="J128" i="3"/>
  <c r="I128" i="3"/>
  <c r="H128" i="3"/>
  <c r="G128" i="3"/>
  <c r="F128" i="3"/>
  <c r="E128" i="3"/>
  <c r="D128" i="3"/>
  <c r="C128" i="3"/>
  <c r="I12" i="2" l="1"/>
  <c r="B46" i="2"/>
  <c r="I10" i="2"/>
  <c r="H34" i="2"/>
  <c r="H33" i="2"/>
  <c r="H32" i="2"/>
  <c r="H31" i="2"/>
  <c r="F232" i="5"/>
  <c r="F231" i="5"/>
  <c r="F230" i="5"/>
  <c r="F229" i="5"/>
  <c r="F228" i="5"/>
  <c r="F227" i="5"/>
  <c r="F226" i="5"/>
  <c r="F225" i="5"/>
  <c r="B206" i="5"/>
  <c r="B191" i="5"/>
  <c r="O183" i="5"/>
  <c r="N183" i="5"/>
  <c r="M183" i="5"/>
  <c r="L183" i="5"/>
  <c r="K183" i="5"/>
  <c r="J183" i="5"/>
  <c r="I183" i="5"/>
  <c r="H183" i="5"/>
  <c r="G183" i="5"/>
  <c r="F183" i="5"/>
  <c r="E183" i="5"/>
  <c r="D183" i="5"/>
  <c r="C183" i="5"/>
  <c r="O181" i="5"/>
  <c r="N181" i="5"/>
  <c r="M181" i="5"/>
  <c r="L181" i="5"/>
  <c r="K181" i="5"/>
  <c r="J181" i="5"/>
  <c r="I181" i="5"/>
  <c r="H181" i="5"/>
  <c r="G181" i="5"/>
  <c r="F181" i="5"/>
  <c r="E181" i="5"/>
  <c r="D181" i="5"/>
  <c r="C181" i="5"/>
  <c r="O180" i="5"/>
  <c r="N180" i="5"/>
  <c r="M180" i="5"/>
  <c r="L180" i="5"/>
  <c r="K180" i="5"/>
  <c r="J180" i="5"/>
  <c r="I180" i="5"/>
  <c r="H180" i="5"/>
  <c r="G180" i="5"/>
  <c r="F180" i="5"/>
  <c r="E180" i="5"/>
  <c r="D180" i="5"/>
  <c r="C180" i="5"/>
  <c r="O178" i="5"/>
  <c r="N178" i="5"/>
  <c r="M178" i="5"/>
  <c r="L178" i="5"/>
  <c r="K178" i="5"/>
  <c r="J178" i="5"/>
  <c r="I178" i="5"/>
  <c r="H178" i="5"/>
  <c r="G178" i="5"/>
  <c r="F178" i="5"/>
  <c r="E178" i="5"/>
  <c r="D178" i="5"/>
  <c r="C178" i="5"/>
  <c r="O176" i="5"/>
  <c r="N176" i="5"/>
  <c r="M176" i="5"/>
  <c r="L176" i="5"/>
  <c r="K176" i="5"/>
  <c r="J176" i="5"/>
  <c r="I176" i="5"/>
  <c r="H176" i="5"/>
  <c r="G176" i="5"/>
  <c r="F176" i="5"/>
  <c r="E176" i="5"/>
  <c r="D176" i="5"/>
  <c r="C176" i="5"/>
  <c r="O175" i="5"/>
  <c r="N175" i="5"/>
  <c r="M175" i="5"/>
  <c r="L175" i="5"/>
  <c r="K175" i="5"/>
  <c r="J175" i="5"/>
  <c r="I175" i="5"/>
  <c r="H175" i="5"/>
  <c r="G175" i="5"/>
  <c r="F175" i="5"/>
  <c r="E175" i="5"/>
  <c r="D175" i="5"/>
  <c r="C175" i="5"/>
  <c r="O173" i="5"/>
  <c r="N173" i="5"/>
  <c r="M173" i="5"/>
  <c r="L173" i="5"/>
  <c r="K173" i="5"/>
  <c r="J173" i="5"/>
  <c r="I173" i="5"/>
  <c r="H173" i="5"/>
  <c r="G173" i="5"/>
  <c r="F173" i="5"/>
  <c r="E173" i="5"/>
  <c r="D173" i="5"/>
  <c r="C173" i="5"/>
  <c r="O172" i="5"/>
  <c r="N172" i="5"/>
  <c r="M172" i="5"/>
  <c r="L172" i="5"/>
  <c r="K172" i="5"/>
  <c r="J172" i="5"/>
  <c r="I172" i="5"/>
  <c r="H172" i="5"/>
  <c r="G172" i="5"/>
  <c r="F172" i="5"/>
  <c r="E172" i="5"/>
  <c r="D172" i="5"/>
  <c r="C172" i="5"/>
  <c r="B171" i="5"/>
  <c r="O168" i="5"/>
  <c r="N168" i="5"/>
  <c r="M168" i="5"/>
  <c r="L168" i="5"/>
  <c r="K168" i="5"/>
  <c r="J168" i="5"/>
  <c r="I168" i="5"/>
  <c r="H168" i="5"/>
  <c r="G168" i="5"/>
  <c r="F168" i="5"/>
  <c r="E168" i="5"/>
  <c r="D168" i="5"/>
  <c r="C168" i="5"/>
  <c r="O166" i="5"/>
  <c r="N166" i="5"/>
  <c r="M166" i="5"/>
  <c r="L166" i="5"/>
  <c r="K166" i="5"/>
  <c r="J166" i="5"/>
  <c r="I166" i="5"/>
  <c r="H166" i="5"/>
  <c r="G166" i="5"/>
  <c r="F166" i="5"/>
  <c r="E166" i="5"/>
  <c r="D166" i="5"/>
  <c r="C166" i="5"/>
  <c r="O165" i="5"/>
  <c r="N165" i="5"/>
  <c r="M165" i="5"/>
  <c r="L165" i="5"/>
  <c r="K165" i="5"/>
  <c r="J165" i="5"/>
  <c r="I165" i="5"/>
  <c r="H165" i="5"/>
  <c r="G165" i="5"/>
  <c r="F165" i="5"/>
  <c r="E165" i="5"/>
  <c r="D165" i="5"/>
  <c r="C165" i="5"/>
  <c r="O163" i="5"/>
  <c r="N163" i="5"/>
  <c r="M163" i="5"/>
  <c r="L163" i="5"/>
  <c r="K163" i="5"/>
  <c r="J163" i="5"/>
  <c r="I163" i="5"/>
  <c r="H163" i="5"/>
  <c r="G163" i="5"/>
  <c r="F163" i="5"/>
  <c r="E163" i="5"/>
  <c r="D163" i="5"/>
  <c r="C163" i="5"/>
  <c r="O161" i="5"/>
  <c r="N161" i="5"/>
  <c r="M161" i="5"/>
  <c r="L161" i="5"/>
  <c r="K161" i="5"/>
  <c r="J161" i="5"/>
  <c r="I161" i="5"/>
  <c r="H161" i="5"/>
  <c r="G161" i="5"/>
  <c r="F161" i="5"/>
  <c r="E161" i="5"/>
  <c r="D161" i="5"/>
  <c r="C161" i="5"/>
  <c r="O160" i="5"/>
  <c r="N160" i="5"/>
  <c r="M160" i="5"/>
  <c r="L160" i="5"/>
  <c r="K160" i="5"/>
  <c r="J160" i="5"/>
  <c r="I160" i="5"/>
  <c r="H160" i="5"/>
  <c r="G160" i="5"/>
  <c r="F160" i="5"/>
  <c r="E160" i="5"/>
  <c r="D160" i="5"/>
  <c r="C160" i="5"/>
  <c r="O158" i="5"/>
  <c r="N158" i="5"/>
  <c r="M158" i="5"/>
  <c r="L158" i="5"/>
  <c r="K158" i="5"/>
  <c r="J158" i="5"/>
  <c r="I158" i="5"/>
  <c r="H158" i="5"/>
  <c r="G158" i="5"/>
  <c r="F158" i="5"/>
  <c r="E158" i="5"/>
  <c r="D158" i="5"/>
  <c r="C158" i="5"/>
  <c r="O157" i="5"/>
  <c r="N157" i="5"/>
  <c r="M157" i="5"/>
  <c r="L157" i="5"/>
  <c r="K157" i="5"/>
  <c r="J157" i="5"/>
  <c r="I157" i="5"/>
  <c r="H157" i="5"/>
  <c r="G157" i="5"/>
  <c r="F157" i="5"/>
  <c r="E157" i="5"/>
  <c r="D157" i="5"/>
  <c r="C157" i="5"/>
  <c r="B156" i="5"/>
  <c r="O154" i="5"/>
  <c r="O169" i="5" s="1"/>
  <c r="N154" i="5"/>
  <c r="N169" i="5" s="1"/>
  <c r="M154" i="5"/>
  <c r="M184" i="5" s="1"/>
  <c r="L154" i="5"/>
  <c r="L169" i="5" s="1"/>
  <c r="K154" i="5"/>
  <c r="K169" i="5" s="1"/>
  <c r="J154" i="5"/>
  <c r="J169" i="5" s="1"/>
  <c r="I154" i="5"/>
  <c r="I169" i="5" s="1"/>
  <c r="H154" i="5"/>
  <c r="H184" i="5" s="1"/>
  <c r="G154" i="5"/>
  <c r="G184" i="5" s="1"/>
  <c r="F154" i="5"/>
  <c r="F184" i="5" s="1"/>
  <c r="E154" i="5"/>
  <c r="E169" i="5" s="1"/>
  <c r="D154" i="5"/>
  <c r="D184" i="5" s="1"/>
  <c r="C154" i="5"/>
  <c r="C169" i="5" s="1"/>
  <c r="O149" i="5"/>
  <c r="O164" i="5" s="1"/>
  <c r="N149" i="5"/>
  <c r="N164" i="5" s="1"/>
  <c r="M149" i="5"/>
  <c r="M164" i="5" s="1"/>
  <c r="L149" i="5"/>
  <c r="L179" i="5" s="1"/>
  <c r="K149" i="5"/>
  <c r="K179" i="5" s="1"/>
  <c r="J149" i="5"/>
  <c r="J179" i="5" s="1"/>
  <c r="I149" i="5"/>
  <c r="I164" i="5" s="1"/>
  <c r="H149" i="5"/>
  <c r="H179" i="5" s="1"/>
  <c r="G149" i="5"/>
  <c r="G164" i="5" s="1"/>
  <c r="F149" i="5"/>
  <c r="F164" i="5" s="1"/>
  <c r="E149" i="5"/>
  <c r="E164" i="5" s="1"/>
  <c r="D149" i="5"/>
  <c r="D164" i="5" s="1"/>
  <c r="C149" i="5"/>
  <c r="C164" i="5" s="1"/>
  <c r="B141" i="5"/>
  <c r="O139" i="5"/>
  <c r="N139" i="5"/>
  <c r="M139" i="5"/>
  <c r="L139" i="5"/>
  <c r="K139" i="5"/>
  <c r="J139" i="5"/>
  <c r="I139" i="5"/>
  <c r="H139" i="5"/>
  <c r="G139" i="5"/>
  <c r="F139" i="5"/>
  <c r="E139" i="5"/>
  <c r="D139" i="5"/>
  <c r="C139" i="5"/>
  <c r="O138" i="5"/>
  <c r="N138" i="5"/>
  <c r="M138" i="5"/>
  <c r="L138" i="5"/>
  <c r="K138" i="5"/>
  <c r="J138" i="5"/>
  <c r="I138" i="5"/>
  <c r="H138" i="5"/>
  <c r="G138" i="5"/>
  <c r="F138" i="5"/>
  <c r="E138" i="5"/>
  <c r="D138" i="5"/>
  <c r="C138" i="5"/>
  <c r="O136" i="5"/>
  <c r="O137" i="5" s="1"/>
  <c r="N136" i="5"/>
  <c r="N137" i="5" s="1"/>
  <c r="M136" i="5"/>
  <c r="M137" i="5" s="1"/>
  <c r="L136" i="5"/>
  <c r="L137" i="5" s="1"/>
  <c r="K136" i="5"/>
  <c r="K137" i="5" s="1"/>
  <c r="J136" i="5"/>
  <c r="J137" i="5" s="1"/>
  <c r="I136" i="5"/>
  <c r="I137" i="5" s="1"/>
  <c r="H136" i="5"/>
  <c r="H137" i="5" s="1"/>
  <c r="G136" i="5"/>
  <c r="G137" i="5" s="1"/>
  <c r="F136" i="5"/>
  <c r="F137" i="5" s="1"/>
  <c r="E136" i="5"/>
  <c r="E137" i="5" s="1"/>
  <c r="D136" i="5"/>
  <c r="D137" i="5" s="1"/>
  <c r="O134" i="5"/>
  <c r="N134" i="5"/>
  <c r="M134" i="5"/>
  <c r="L134" i="5"/>
  <c r="K134" i="5"/>
  <c r="J134" i="5"/>
  <c r="I134" i="5"/>
  <c r="H134" i="5"/>
  <c r="G134" i="5"/>
  <c r="F134" i="5"/>
  <c r="E134" i="5"/>
  <c r="D134" i="5"/>
  <c r="C134" i="5"/>
  <c r="O133" i="5"/>
  <c r="N133" i="5"/>
  <c r="M133" i="5"/>
  <c r="L133" i="5"/>
  <c r="K133" i="5"/>
  <c r="J133" i="5"/>
  <c r="I133" i="5"/>
  <c r="H133" i="5"/>
  <c r="G133" i="5"/>
  <c r="F133" i="5"/>
  <c r="E133" i="5"/>
  <c r="D133" i="5"/>
  <c r="C133" i="5"/>
  <c r="O132" i="5"/>
  <c r="N132" i="5"/>
  <c r="M132" i="5"/>
  <c r="L132" i="5"/>
  <c r="K132" i="5"/>
  <c r="J132" i="5"/>
  <c r="I132" i="5"/>
  <c r="H132" i="5"/>
  <c r="G132" i="5"/>
  <c r="F132" i="5"/>
  <c r="E132" i="5"/>
  <c r="D132" i="5"/>
  <c r="O131" i="5"/>
  <c r="N131" i="5"/>
  <c r="M131" i="5"/>
  <c r="L131" i="5"/>
  <c r="K131" i="5"/>
  <c r="J131" i="5"/>
  <c r="I131" i="5"/>
  <c r="H131" i="5"/>
  <c r="G131" i="5"/>
  <c r="F131" i="5"/>
  <c r="E131" i="5"/>
  <c r="D131" i="5"/>
  <c r="O129" i="5"/>
  <c r="N129" i="5"/>
  <c r="M129" i="5"/>
  <c r="L129" i="5"/>
  <c r="K129" i="5"/>
  <c r="J129" i="5"/>
  <c r="I129" i="5"/>
  <c r="H129" i="5"/>
  <c r="G129" i="5"/>
  <c r="F129" i="5"/>
  <c r="E129" i="5"/>
  <c r="D129" i="5"/>
  <c r="O128" i="5"/>
  <c r="N128" i="5"/>
  <c r="M128" i="5"/>
  <c r="L128" i="5"/>
  <c r="K128" i="5"/>
  <c r="J128" i="5"/>
  <c r="I128" i="5"/>
  <c r="H128" i="5"/>
  <c r="G128" i="5"/>
  <c r="F128" i="5"/>
  <c r="E128" i="5"/>
  <c r="D128" i="5"/>
  <c r="C128" i="5"/>
  <c r="B126" i="5"/>
  <c r="A100" i="5"/>
  <c r="K70" i="5"/>
  <c r="J70" i="5"/>
  <c r="I70" i="5"/>
  <c r="H70" i="5"/>
  <c r="G70" i="5"/>
  <c r="F70" i="5"/>
  <c r="E70" i="5"/>
  <c r="D70" i="5"/>
  <c r="C70" i="5"/>
  <c r="B70" i="5"/>
  <c r="K64" i="5"/>
  <c r="J64" i="5"/>
  <c r="I64" i="5"/>
  <c r="H64" i="5"/>
  <c r="G64" i="5"/>
  <c r="F64" i="5"/>
  <c r="E64" i="5"/>
  <c r="D64" i="5"/>
  <c r="C64" i="5"/>
  <c r="B64" i="5"/>
  <c r="F232" i="4"/>
  <c r="F231" i="4"/>
  <c r="F230" i="4"/>
  <c r="F229" i="4"/>
  <c r="F228" i="4"/>
  <c r="F227" i="4"/>
  <c r="F226" i="4"/>
  <c r="F225" i="4"/>
  <c r="B206" i="4"/>
  <c r="B191" i="4"/>
  <c r="O183" i="4"/>
  <c r="N183" i="4"/>
  <c r="M183" i="4"/>
  <c r="L183" i="4"/>
  <c r="K183" i="4"/>
  <c r="J183" i="4"/>
  <c r="I183" i="4"/>
  <c r="H183" i="4"/>
  <c r="G183" i="4"/>
  <c r="F183" i="4"/>
  <c r="E183" i="4"/>
  <c r="D183" i="4"/>
  <c r="C183" i="4"/>
  <c r="O181" i="4"/>
  <c r="N181" i="4"/>
  <c r="M181" i="4"/>
  <c r="L181" i="4"/>
  <c r="K181" i="4"/>
  <c r="J181" i="4"/>
  <c r="I181" i="4"/>
  <c r="H181" i="4"/>
  <c r="G181" i="4"/>
  <c r="F181" i="4"/>
  <c r="E181" i="4"/>
  <c r="D181" i="4"/>
  <c r="C181" i="4"/>
  <c r="O180" i="4"/>
  <c r="N180" i="4"/>
  <c r="M180" i="4"/>
  <c r="L180" i="4"/>
  <c r="K180" i="4"/>
  <c r="J180" i="4"/>
  <c r="I180" i="4"/>
  <c r="H180" i="4"/>
  <c r="G180" i="4"/>
  <c r="F180" i="4"/>
  <c r="E180" i="4"/>
  <c r="D180" i="4"/>
  <c r="C180" i="4"/>
  <c r="O178" i="4"/>
  <c r="N178" i="4"/>
  <c r="M178" i="4"/>
  <c r="L178" i="4"/>
  <c r="K178" i="4"/>
  <c r="J178" i="4"/>
  <c r="I178" i="4"/>
  <c r="H178" i="4"/>
  <c r="G178" i="4"/>
  <c r="F178" i="4"/>
  <c r="E178" i="4"/>
  <c r="D178" i="4"/>
  <c r="C178" i="4"/>
  <c r="O176" i="4"/>
  <c r="N176" i="4"/>
  <c r="M176" i="4"/>
  <c r="L176" i="4"/>
  <c r="K176" i="4"/>
  <c r="J176" i="4"/>
  <c r="I176" i="4"/>
  <c r="H176" i="4"/>
  <c r="G176" i="4"/>
  <c r="F176" i="4"/>
  <c r="E176" i="4"/>
  <c r="D176" i="4"/>
  <c r="C176" i="4"/>
  <c r="O175" i="4"/>
  <c r="N175" i="4"/>
  <c r="M175" i="4"/>
  <c r="L175" i="4"/>
  <c r="K175" i="4"/>
  <c r="J175" i="4"/>
  <c r="I175" i="4"/>
  <c r="H175" i="4"/>
  <c r="G175" i="4"/>
  <c r="F175" i="4"/>
  <c r="E175" i="4"/>
  <c r="D175" i="4"/>
  <c r="C175" i="4"/>
  <c r="O172" i="4"/>
  <c r="N172" i="4"/>
  <c r="M172" i="4"/>
  <c r="L172" i="4"/>
  <c r="K172" i="4"/>
  <c r="J172" i="4"/>
  <c r="I172" i="4"/>
  <c r="H172" i="4"/>
  <c r="G172" i="4"/>
  <c r="F172" i="4"/>
  <c r="E172" i="4"/>
  <c r="D172" i="4"/>
  <c r="C172" i="4"/>
  <c r="B171" i="4"/>
  <c r="O168" i="4"/>
  <c r="N168" i="4"/>
  <c r="M168" i="4"/>
  <c r="L168" i="4"/>
  <c r="K168" i="4"/>
  <c r="J168" i="4"/>
  <c r="I168" i="4"/>
  <c r="H168" i="4"/>
  <c r="G168" i="4"/>
  <c r="F168" i="4"/>
  <c r="E168" i="4"/>
  <c r="D168" i="4"/>
  <c r="C168" i="4"/>
  <c r="O166" i="4"/>
  <c r="N166" i="4"/>
  <c r="M166" i="4"/>
  <c r="L166" i="4"/>
  <c r="K166" i="4"/>
  <c r="J166" i="4"/>
  <c r="I166" i="4"/>
  <c r="H166" i="4"/>
  <c r="G166" i="4"/>
  <c r="F166" i="4"/>
  <c r="E166" i="4"/>
  <c r="D166" i="4"/>
  <c r="C166" i="4"/>
  <c r="O165" i="4"/>
  <c r="N165" i="4"/>
  <c r="M165" i="4"/>
  <c r="L165" i="4"/>
  <c r="K165" i="4"/>
  <c r="J165" i="4"/>
  <c r="I165" i="4"/>
  <c r="H165" i="4"/>
  <c r="G165" i="4"/>
  <c r="F165" i="4"/>
  <c r="E165" i="4"/>
  <c r="D165" i="4"/>
  <c r="C165" i="4"/>
  <c r="O163" i="4"/>
  <c r="N163" i="4"/>
  <c r="M163" i="4"/>
  <c r="L163" i="4"/>
  <c r="K163" i="4"/>
  <c r="J163" i="4"/>
  <c r="I163" i="4"/>
  <c r="H163" i="4"/>
  <c r="G163" i="4"/>
  <c r="F163" i="4"/>
  <c r="E163" i="4"/>
  <c r="D163" i="4"/>
  <c r="C163" i="4"/>
  <c r="O161" i="4"/>
  <c r="N161" i="4"/>
  <c r="M161" i="4"/>
  <c r="L161" i="4"/>
  <c r="K161" i="4"/>
  <c r="J161" i="4"/>
  <c r="I161" i="4"/>
  <c r="H161" i="4"/>
  <c r="G161" i="4"/>
  <c r="F161" i="4"/>
  <c r="E161" i="4"/>
  <c r="D161" i="4"/>
  <c r="C161" i="4"/>
  <c r="O160" i="4"/>
  <c r="N160" i="4"/>
  <c r="M160" i="4"/>
  <c r="L160" i="4"/>
  <c r="K160" i="4"/>
  <c r="J160" i="4"/>
  <c r="I160" i="4"/>
  <c r="H160" i="4"/>
  <c r="G160" i="4"/>
  <c r="F160" i="4"/>
  <c r="E160" i="4"/>
  <c r="D160" i="4"/>
  <c r="C160" i="4"/>
  <c r="O158" i="4"/>
  <c r="O173" i="4" s="1"/>
  <c r="N158" i="4"/>
  <c r="N173" i="4" s="1"/>
  <c r="M158" i="4"/>
  <c r="M173" i="4" s="1"/>
  <c r="L158" i="4"/>
  <c r="L173" i="4" s="1"/>
  <c r="K158" i="4"/>
  <c r="K173" i="4" s="1"/>
  <c r="J158" i="4"/>
  <c r="J173" i="4" s="1"/>
  <c r="I158" i="4"/>
  <c r="I173" i="4" s="1"/>
  <c r="H158" i="4"/>
  <c r="H173" i="4" s="1"/>
  <c r="G158" i="4"/>
  <c r="G173" i="4" s="1"/>
  <c r="F158" i="4"/>
  <c r="F173" i="4" s="1"/>
  <c r="E158" i="4"/>
  <c r="E173" i="4" s="1"/>
  <c r="D158" i="4"/>
  <c r="D173" i="4" s="1"/>
  <c r="C158" i="4"/>
  <c r="C173" i="4" s="1"/>
  <c r="O157" i="4"/>
  <c r="N157" i="4"/>
  <c r="M157" i="4"/>
  <c r="L157" i="4"/>
  <c r="K157" i="4"/>
  <c r="J157" i="4"/>
  <c r="I157" i="4"/>
  <c r="H157" i="4"/>
  <c r="G157" i="4"/>
  <c r="F157" i="4"/>
  <c r="E157" i="4"/>
  <c r="D157" i="4"/>
  <c r="C157" i="4"/>
  <c r="B156" i="4"/>
  <c r="O154" i="4"/>
  <c r="O169" i="4" s="1"/>
  <c r="O184" i="4" s="1"/>
  <c r="N154" i="4"/>
  <c r="N169" i="4" s="1"/>
  <c r="N184" i="4" s="1"/>
  <c r="M154" i="4"/>
  <c r="M169" i="4" s="1"/>
  <c r="M184" i="4" s="1"/>
  <c r="L154" i="4"/>
  <c r="L169" i="4" s="1"/>
  <c r="L184" i="4" s="1"/>
  <c r="K154" i="4"/>
  <c r="K169" i="4" s="1"/>
  <c r="K184" i="4" s="1"/>
  <c r="J154" i="4"/>
  <c r="J169" i="4" s="1"/>
  <c r="J184" i="4" s="1"/>
  <c r="I154" i="4"/>
  <c r="I169" i="4" s="1"/>
  <c r="I184" i="4" s="1"/>
  <c r="H154" i="4"/>
  <c r="H169" i="4" s="1"/>
  <c r="H184" i="4" s="1"/>
  <c r="G154" i="4"/>
  <c r="G169" i="4" s="1"/>
  <c r="G184" i="4" s="1"/>
  <c r="F154" i="4"/>
  <c r="F169" i="4" s="1"/>
  <c r="F184" i="4" s="1"/>
  <c r="E154" i="4"/>
  <c r="E169" i="4" s="1"/>
  <c r="E184" i="4" s="1"/>
  <c r="D154" i="4"/>
  <c r="D169" i="4" s="1"/>
  <c r="D184" i="4" s="1"/>
  <c r="C154" i="4"/>
  <c r="C169" i="4" s="1"/>
  <c r="C184" i="4" s="1"/>
  <c r="O149" i="4"/>
  <c r="O179" i="4" s="1"/>
  <c r="N149" i="4"/>
  <c r="N164" i="4" s="1"/>
  <c r="M149" i="4"/>
  <c r="M179" i="4" s="1"/>
  <c r="L149" i="4"/>
  <c r="L179" i="4" s="1"/>
  <c r="K149" i="4"/>
  <c r="K179" i="4" s="1"/>
  <c r="J149" i="4"/>
  <c r="J164" i="4" s="1"/>
  <c r="I149" i="4"/>
  <c r="I179" i="4" s="1"/>
  <c r="H149" i="4"/>
  <c r="H164" i="4" s="1"/>
  <c r="G149" i="4"/>
  <c r="G164" i="4" s="1"/>
  <c r="F149" i="4"/>
  <c r="F164" i="4" s="1"/>
  <c r="E149" i="4"/>
  <c r="E164" i="4" s="1"/>
  <c r="D149" i="4"/>
  <c r="D179" i="4" s="1"/>
  <c r="C149" i="4"/>
  <c r="C164" i="4" s="1"/>
  <c r="B141" i="4"/>
  <c r="O139" i="4"/>
  <c r="N139" i="4"/>
  <c r="M139" i="4"/>
  <c r="L139" i="4"/>
  <c r="K139" i="4"/>
  <c r="J139" i="4"/>
  <c r="I139" i="4"/>
  <c r="H139" i="4"/>
  <c r="G139" i="4"/>
  <c r="F139" i="4"/>
  <c r="E139" i="4"/>
  <c r="D139" i="4"/>
  <c r="C139" i="4"/>
  <c r="O138" i="4"/>
  <c r="N138" i="4"/>
  <c r="M138" i="4"/>
  <c r="L138" i="4"/>
  <c r="K138" i="4"/>
  <c r="J138" i="4"/>
  <c r="I138" i="4"/>
  <c r="H138" i="4"/>
  <c r="G138" i="4"/>
  <c r="F138" i="4"/>
  <c r="E138" i="4"/>
  <c r="D138" i="4"/>
  <c r="C138" i="4"/>
  <c r="O137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O136" i="4"/>
  <c r="N136" i="4"/>
  <c r="M136" i="4"/>
  <c r="L136" i="4"/>
  <c r="K136" i="4"/>
  <c r="J136" i="4"/>
  <c r="I136" i="4"/>
  <c r="H136" i="4"/>
  <c r="G136" i="4"/>
  <c r="F136" i="4"/>
  <c r="E136" i="4"/>
  <c r="D136" i="4"/>
  <c r="C136" i="4"/>
  <c r="O132" i="4"/>
  <c r="O134" i="4" s="1"/>
  <c r="N132" i="4"/>
  <c r="N134" i="4" s="1"/>
  <c r="M132" i="4"/>
  <c r="M134" i="4" s="1"/>
  <c r="L132" i="4"/>
  <c r="L134" i="4" s="1"/>
  <c r="K132" i="4"/>
  <c r="K134" i="4" s="1"/>
  <c r="J132" i="4"/>
  <c r="J134" i="4" s="1"/>
  <c r="I132" i="4"/>
  <c r="I134" i="4" s="1"/>
  <c r="H132" i="4"/>
  <c r="H134" i="4" s="1"/>
  <c r="G132" i="4"/>
  <c r="G134" i="4" s="1"/>
  <c r="F132" i="4"/>
  <c r="F134" i="4" s="1"/>
  <c r="E132" i="4"/>
  <c r="E134" i="4" s="1"/>
  <c r="D132" i="4"/>
  <c r="D134" i="4" s="1"/>
  <c r="C132" i="4"/>
  <c r="C134" i="4" s="1"/>
  <c r="O131" i="4"/>
  <c r="O133" i="4" s="1"/>
  <c r="N131" i="4"/>
  <c r="N133" i="4" s="1"/>
  <c r="M131" i="4"/>
  <c r="M133" i="4" s="1"/>
  <c r="L131" i="4"/>
  <c r="L133" i="4" s="1"/>
  <c r="K131" i="4"/>
  <c r="K133" i="4" s="1"/>
  <c r="J131" i="4"/>
  <c r="J133" i="4" s="1"/>
  <c r="I131" i="4"/>
  <c r="I133" i="4" s="1"/>
  <c r="H131" i="4"/>
  <c r="H133" i="4" s="1"/>
  <c r="G131" i="4"/>
  <c r="G133" i="4" s="1"/>
  <c r="F131" i="4"/>
  <c r="F133" i="4" s="1"/>
  <c r="E131" i="4"/>
  <c r="E133" i="4" s="1"/>
  <c r="D131" i="4"/>
  <c r="D133" i="4" s="1"/>
  <c r="C131" i="4"/>
  <c r="C133" i="4" s="1"/>
  <c r="O129" i="4"/>
  <c r="N129" i="4"/>
  <c r="M129" i="4"/>
  <c r="L129" i="4"/>
  <c r="K129" i="4"/>
  <c r="J129" i="4"/>
  <c r="I129" i="4"/>
  <c r="H129" i="4"/>
  <c r="G129" i="4"/>
  <c r="F129" i="4"/>
  <c r="E129" i="4"/>
  <c r="D129" i="4"/>
  <c r="C129" i="4"/>
  <c r="O128" i="4"/>
  <c r="N128" i="4"/>
  <c r="M128" i="4"/>
  <c r="L128" i="4"/>
  <c r="K128" i="4"/>
  <c r="J128" i="4"/>
  <c r="I128" i="4"/>
  <c r="H128" i="4"/>
  <c r="G128" i="4"/>
  <c r="F128" i="4"/>
  <c r="E128" i="4"/>
  <c r="D128" i="4"/>
  <c r="C128" i="4"/>
  <c r="B126" i="4"/>
  <c r="A100" i="4"/>
  <c r="K70" i="4"/>
  <c r="J70" i="4"/>
  <c r="I70" i="4"/>
  <c r="H70" i="4"/>
  <c r="G70" i="4"/>
  <c r="F70" i="4"/>
  <c r="E70" i="4"/>
  <c r="D70" i="4"/>
  <c r="C70" i="4"/>
  <c r="B70" i="4"/>
  <c r="K64" i="4"/>
  <c r="J64" i="4"/>
  <c r="I64" i="4"/>
  <c r="H64" i="4"/>
  <c r="G64" i="4"/>
  <c r="F64" i="4"/>
  <c r="E64" i="4"/>
  <c r="D64" i="4"/>
  <c r="C64" i="4"/>
  <c r="B64" i="4"/>
  <c r="B185" i="3"/>
  <c r="B172" i="3"/>
  <c r="O163" i="3"/>
  <c r="N163" i="3"/>
  <c r="M163" i="3"/>
  <c r="L163" i="3"/>
  <c r="K163" i="3"/>
  <c r="J163" i="3"/>
  <c r="I163" i="3"/>
  <c r="H163" i="3"/>
  <c r="G163" i="3"/>
  <c r="F163" i="3"/>
  <c r="E163" i="3"/>
  <c r="D163" i="3"/>
  <c r="C163" i="3"/>
  <c r="O162" i="3"/>
  <c r="N162" i="3"/>
  <c r="M162" i="3"/>
  <c r="L162" i="3"/>
  <c r="K162" i="3"/>
  <c r="J162" i="3"/>
  <c r="I162" i="3"/>
  <c r="H162" i="3"/>
  <c r="G162" i="3"/>
  <c r="F162" i="3"/>
  <c r="E162" i="3"/>
  <c r="D162" i="3"/>
  <c r="C162" i="3"/>
  <c r="O161" i="3"/>
  <c r="N161" i="3"/>
  <c r="M161" i="3"/>
  <c r="L161" i="3"/>
  <c r="K161" i="3"/>
  <c r="J161" i="3"/>
  <c r="I161" i="3"/>
  <c r="H161" i="3"/>
  <c r="G161" i="3"/>
  <c r="F161" i="3"/>
  <c r="E161" i="3"/>
  <c r="D161" i="3"/>
  <c r="C161" i="3"/>
  <c r="O159" i="3"/>
  <c r="N159" i="3"/>
  <c r="M159" i="3"/>
  <c r="L159" i="3"/>
  <c r="K159" i="3"/>
  <c r="J159" i="3"/>
  <c r="I159" i="3"/>
  <c r="H159" i="3"/>
  <c r="G159" i="3"/>
  <c r="F159" i="3"/>
  <c r="E159" i="3"/>
  <c r="D159" i="3"/>
  <c r="C159" i="3"/>
  <c r="O158" i="3"/>
  <c r="N158" i="3"/>
  <c r="M158" i="3"/>
  <c r="L158" i="3"/>
  <c r="K158" i="3"/>
  <c r="J158" i="3"/>
  <c r="I158" i="3"/>
  <c r="H158" i="3"/>
  <c r="G158" i="3"/>
  <c r="F158" i="3"/>
  <c r="E158" i="3"/>
  <c r="D158" i="3"/>
  <c r="C158" i="3"/>
  <c r="O156" i="3"/>
  <c r="N156" i="3"/>
  <c r="M156" i="3"/>
  <c r="L156" i="3"/>
  <c r="K156" i="3"/>
  <c r="J156" i="3"/>
  <c r="I156" i="3"/>
  <c r="H156" i="3"/>
  <c r="G156" i="3"/>
  <c r="F156" i="3"/>
  <c r="E156" i="3"/>
  <c r="D156" i="3"/>
  <c r="C156" i="3"/>
  <c r="O155" i="3"/>
  <c r="N155" i="3"/>
  <c r="M155" i="3"/>
  <c r="L155" i="3"/>
  <c r="K155" i="3"/>
  <c r="J155" i="3"/>
  <c r="I155" i="3"/>
  <c r="H155" i="3"/>
  <c r="G155" i="3"/>
  <c r="F155" i="3"/>
  <c r="E155" i="3"/>
  <c r="D155" i="3"/>
  <c r="C155" i="3"/>
  <c r="B154" i="3"/>
  <c r="O152" i="3"/>
  <c r="O165" i="3" s="1"/>
  <c r="N152" i="3"/>
  <c r="N165" i="3" s="1"/>
  <c r="M152" i="3"/>
  <c r="M165" i="3" s="1"/>
  <c r="L152" i="3"/>
  <c r="L165" i="3" s="1"/>
  <c r="K152" i="3"/>
  <c r="K165" i="3" s="1"/>
  <c r="J152" i="3"/>
  <c r="J165" i="3" s="1"/>
  <c r="I152" i="3"/>
  <c r="I165" i="3" s="1"/>
  <c r="H152" i="3"/>
  <c r="H165" i="3" s="1"/>
  <c r="G152" i="3"/>
  <c r="G165" i="3" s="1"/>
  <c r="F152" i="3"/>
  <c r="F165" i="3" s="1"/>
  <c r="E152" i="3"/>
  <c r="E165" i="3" s="1"/>
  <c r="D152" i="3"/>
  <c r="D165" i="3" s="1"/>
  <c r="C152" i="3"/>
  <c r="C165" i="3" s="1"/>
  <c r="O150" i="3"/>
  <c r="N150" i="3"/>
  <c r="M150" i="3"/>
  <c r="L150" i="3"/>
  <c r="K150" i="3"/>
  <c r="J150" i="3"/>
  <c r="I150" i="3"/>
  <c r="H150" i="3"/>
  <c r="G150" i="3"/>
  <c r="F150" i="3"/>
  <c r="E150" i="3"/>
  <c r="D150" i="3"/>
  <c r="C150" i="3"/>
  <c r="O149" i="3"/>
  <c r="N149" i="3"/>
  <c r="M149" i="3"/>
  <c r="L149" i="3"/>
  <c r="K149" i="3"/>
  <c r="J149" i="3"/>
  <c r="I149" i="3"/>
  <c r="H149" i="3"/>
  <c r="G149" i="3"/>
  <c r="F149" i="3"/>
  <c r="E149" i="3"/>
  <c r="D149" i="3"/>
  <c r="C149" i="3"/>
  <c r="O148" i="3"/>
  <c r="N148" i="3"/>
  <c r="M148" i="3"/>
  <c r="L148" i="3"/>
  <c r="K148" i="3"/>
  <c r="J148" i="3"/>
  <c r="I148" i="3"/>
  <c r="H148" i="3"/>
  <c r="G148" i="3"/>
  <c r="F148" i="3"/>
  <c r="E148" i="3"/>
  <c r="D148" i="3"/>
  <c r="C148" i="3"/>
  <c r="O146" i="3"/>
  <c r="N146" i="3"/>
  <c r="M146" i="3"/>
  <c r="L146" i="3"/>
  <c r="K146" i="3"/>
  <c r="J146" i="3"/>
  <c r="I146" i="3"/>
  <c r="H146" i="3"/>
  <c r="G146" i="3"/>
  <c r="F146" i="3"/>
  <c r="E146" i="3"/>
  <c r="D146" i="3"/>
  <c r="C146" i="3"/>
  <c r="O145" i="3"/>
  <c r="N145" i="3"/>
  <c r="M145" i="3"/>
  <c r="L145" i="3"/>
  <c r="K145" i="3"/>
  <c r="J145" i="3"/>
  <c r="I145" i="3"/>
  <c r="H145" i="3"/>
  <c r="G145" i="3"/>
  <c r="F145" i="3"/>
  <c r="E145" i="3"/>
  <c r="D145" i="3"/>
  <c r="C145" i="3"/>
  <c r="O143" i="3"/>
  <c r="N143" i="3"/>
  <c r="M143" i="3"/>
  <c r="L143" i="3"/>
  <c r="K143" i="3"/>
  <c r="J143" i="3"/>
  <c r="I143" i="3"/>
  <c r="H143" i="3"/>
  <c r="G143" i="3"/>
  <c r="F143" i="3"/>
  <c r="E143" i="3"/>
  <c r="D143" i="3"/>
  <c r="C143" i="3"/>
  <c r="O142" i="3"/>
  <c r="N142" i="3"/>
  <c r="M142" i="3"/>
  <c r="L142" i="3"/>
  <c r="K142" i="3"/>
  <c r="J142" i="3"/>
  <c r="I142" i="3"/>
  <c r="H142" i="3"/>
  <c r="G142" i="3"/>
  <c r="F142" i="3"/>
  <c r="E142" i="3"/>
  <c r="D142" i="3"/>
  <c r="C142" i="3"/>
  <c r="B141" i="3"/>
  <c r="B128" i="3"/>
  <c r="O124" i="3"/>
  <c r="N124" i="3"/>
  <c r="M124" i="3"/>
  <c r="L124" i="3"/>
  <c r="K124" i="3"/>
  <c r="J124" i="3"/>
  <c r="I124" i="3"/>
  <c r="H124" i="3"/>
  <c r="G124" i="3"/>
  <c r="F124" i="3"/>
  <c r="E124" i="3"/>
  <c r="D124" i="3"/>
  <c r="C124" i="3"/>
  <c r="O120" i="3"/>
  <c r="N120" i="3"/>
  <c r="M120" i="3"/>
  <c r="L120" i="3"/>
  <c r="K120" i="3"/>
  <c r="J120" i="3"/>
  <c r="I120" i="3"/>
  <c r="H120" i="3"/>
  <c r="G120" i="3"/>
  <c r="F120" i="3"/>
  <c r="E120" i="3"/>
  <c r="D120" i="3"/>
  <c r="C120" i="3"/>
  <c r="B115" i="3"/>
  <c r="A91" i="3"/>
  <c r="F81" i="3"/>
  <c r="K61" i="3"/>
  <c r="J61" i="3"/>
  <c r="I61" i="3"/>
  <c r="H61" i="3"/>
  <c r="G61" i="3"/>
  <c r="F61" i="3"/>
  <c r="E61" i="3"/>
  <c r="D61" i="3"/>
  <c r="C61" i="3"/>
  <c r="B61" i="3"/>
  <c r="K55" i="3"/>
  <c r="J55" i="3"/>
  <c r="I55" i="3"/>
  <c r="H55" i="3"/>
  <c r="G55" i="3"/>
  <c r="F55" i="3"/>
  <c r="E55" i="3"/>
  <c r="D55" i="3"/>
  <c r="C55" i="3"/>
  <c r="B55" i="3"/>
  <c r="B47" i="2" l="1"/>
  <c r="B73" i="2"/>
  <c r="G54" i="2"/>
  <c r="G52" i="2"/>
  <c r="F54" i="2"/>
  <c r="F52" i="2"/>
  <c r="E54" i="2"/>
  <c r="E52" i="2"/>
  <c r="D54" i="2"/>
  <c r="D52" i="2"/>
  <c r="C54" i="2"/>
  <c r="C52" i="2"/>
  <c r="B54" i="2"/>
  <c r="B52" i="2"/>
  <c r="G53" i="2"/>
  <c r="G50" i="2"/>
  <c r="G21" i="2"/>
  <c r="B37" i="7"/>
  <c r="B44" i="7" s="1"/>
  <c r="B41" i="7"/>
  <c r="E20" i="2"/>
  <c r="D20" i="2"/>
  <c r="C20" i="2"/>
  <c r="C29" i="2" s="1"/>
  <c r="B20" i="2"/>
  <c r="B29" i="2" s="1"/>
  <c r="F53" i="2"/>
  <c r="F50" i="2"/>
  <c r="F21" i="2"/>
  <c r="E53" i="2"/>
  <c r="E50" i="2"/>
  <c r="E21" i="2"/>
  <c r="D53" i="2"/>
  <c r="D50" i="2"/>
  <c r="D21" i="2"/>
  <c r="B50" i="2"/>
  <c r="B21" i="2"/>
  <c r="B30" i="2" s="1"/>
  <c r="G20" i="2"/>
  <c r="F20" i="2"/>
  <c r="C53" i="2"/>
  <c r="C50" i="2"/>
  <c r="C21" i="2"/>
  <c r="C30" i="2" s="1"/>
  <c r="B53" i="2"/>
  <c r="B40" i="7"/>
  <c r="B39" i="7"/>
  <c r="C37" i="7"/>
  <c r="C44" i="7" s="1"/>
  <c r="D41" i="7"/>
  <c r="D40" i="7"/>
  <c r="D37" i="7"/>
  <c r="D44" i="7" s="1"/>
  <c r="C39" i="7"/>
  <c r="D39" i="7"/>
  <c r="C41" i="7"/>
  <c r="C40" i="7"/>
  <c r="H17" i="7"/>
  <c r="H22" i="7" s="1"/>
  <c r="J18" i="7"/>
  <c r="J23" i="7" s="1"/>
  <c r="I18" i="7"/>
  <c r="I23" i="7" s="1"/>
  <c r="H16" i="7"/>
  <c r="H21" i="7" s="1"/>
  <c r="I16" i="7"/>
  <c r="I21" i="7" s="1"/>
  <c r="H15" i="7"/>
  <c r="H20" i="7" s="1"/>
  <c r="J16" i="7"/>
  <c r="J21" i="7" s="1"/>
  <c r="I17" i="7"/>
  <c r="I22" i="7" s="1"/>
  <c r="I15" i="7"/>
  <c r="I20" i="7" s="1"/>
  <c r="H18" i="7"/>
  <c r="H23" i="7" s="1"/>
  <c r="J17" i="7"/>
  <c r="J22" i="7" s="1"/>
  <c r="J15" i="7"/>
  <c r="J20" i="7" s="1"/>
  <c r="H169" i="5"/>
  <c r="I179" i="5"/>
  <c r="D179" i="5"/>
  <c r="N179" i="5"/>
  <c r="L184" i="5"/>
  <c r="F169" i="5"/>
  <c r="M169" i="5"/>
  <c r="E184" i="5"/>
  <c r="J184" i="5"/>
  <c r="H164" i="5"/>
  <c r="L164" i="5"/>
  <c r="C179" i="4"/>
  <c r="O164" i="4"/>
  <c r="I164" i="4"/>
  <c r="N179" i="4"/>
  <c r="K164" i="4"/>
  <c r="G179" i="4"/>
  <c r="F84" i="3"/>
  <c r="D169" i="5"/>
  <c r="M179" i="5"/>
  <c r="I184" i="5"/>
  <c r="M164" i="4"/>
  <c r="E179" i="4"/>
  <c r="J164" i="5"/>
  <c r="F179" i="4"/>
  <c r="K164" i="5"/>
  <c r="G169" i="5"/>
  <c r="C179" i="5"/>
  <c r="O179" i="5"/>
  <c r="K184" i="5"/>
  <c r="D164" i="4"/>
  <c r="H179" i="4"/>
  <c r="E179" i="5"/>
  <c r="L164" i="4"/>
  <c r="F179" i="5"/>
  <c r="N184" i="5"/>
  <c r="J179" i="4"/>
  <c r="G179" i="5"/>
  <c r="C184" i="5"/>
  <c r="O184" i="5"/>
  <c r="B37" i="2" l="1"/>
  <c r="B38" i="2" s="1"/>
  <c r="I25" i="7"/>
  <c r="I27" i="7" s="1"/>
  <c r="I26" i="7"/>
  <c r="E44" i="7"/>
  <c r="H25" i="7"/>
  <c r="H27" i="7" s="1"/>
  <c r="J25" i="7"/>
  <c r="J27" i="7" s="1"/>
  <c r="F60" i="2"/>
  <c r="C59" i="2"/>
  <c r="F57" i="2"/>
  <c r="C61" i="2"/>
  <c r="B61" i="2"/>
  <c r="C57" i="2"/>
  <c r="C60" i="2"/>
  <c r="E57" i="2"/>
  <c r="E61" i="2"/>
  <c r="D60" i="2"/>
  <c r="E60" i="2"/>
  <c r="G60" i="2"/>
  <c r="G57" i="2"/>
  <c r="D59" i="2"/>
  <c r="E59" i="2"/>
  <c r="B57" i="2"/>
  <c r="B59" i="2"/>
  <c r="B60" i="2"/>
  <c r="D57" i="2"/>
  <c r="D61" i="2"/>
  <c r="C40" i="2"/>
  <c r="F61" i="2"/>
  <c r="G61" i="2"/>
  <c r="F59" i="2"/>
  <c r="G59" i="2"/>
  <c r="F40" i="2"/>
  <c r="E40" i="2"/>
  <c r="G40" i="2"/>
  <c r="D40" i="2"/>
  <c r="F83" i="4"/>
  <c r="C80" i="4" s="1"/>
  <c r="F83" i="5"/>
  <c r="C80" i="5" s="1"/>
  <c r="F79" i="3"/>
  <c r="C76" i="3" s="1"/>
  <c r="F74" i="3"/>
  <c r="C71" i="3" s="1"/>
  <c r="F88" i="4"/>
  <c r="C85" i="4" s="1"/>
  <c r="F88" i="5"/>
  <c r="C85" i="5" s="1"/>
  <c r="H26" i="7" l="1"/>
  <c r="J26" i="7"/>
  <c r="J28" i="7" s="1"/>
  <c r="J4" i="7" s="1"/>
  <c r="H28" i="7"/>
  <c r="H4" i="7" s="1"/>
  <c r="I28" i="7"/>
  <c r="I4" i="7" s="1"/>
  <c r="H35" i="2"/>
  <c r="H29" i="2"/>
  <c r="H30" i="2"/>
  <c r="H36" i="2"/>
  <c r="H61" i="2"/>
  <c r="H59" i="2"/>
  <c r="C62" i="2"/>
  <c r="C63" i="2" s="1"/>
  <c r="C65" i="2" s="1"/>
  <c r="E62" i="2"/>
  <c r="E63" i="2" s="1"/>
  <c r="E65" i="2" s="1"/>
  <c r="H57" i="2"/>
  <c r="D62" i="2"/>
  <c r="D63" i="2" s="1"/>
  <c r="D65" i="2" s="1"/>
  <c r="B62" i="2"/>
  <c r="B63" i="2" s="1"/>
  <c r="B65" i="2" s="1"/>
  <c r="F62" i="2"/>
  <c r="F63" i="2" s="1"/>
  <c r="F65" i="2" s="1"/>
  <c r="G62" i="2"/>
  <c r="G63" i="2" s="1"/>
  <c r="G65" i="2" s="1"/>
  <c r="H60" i="2"/>
  <c r="B5" i="7" l="1"/>
  <c r="D18" i="7"/>
  <c r="B18" i="7"/>
  <c r="C18" i="7"/>
  <c r="C17" i="7"/>
  <c r="C16" i="7"/>
  <c r="B16" i="7"/>
  <c r="D17" i="7"/>
  <c r="D16" i="7"/>
  <c r="B15" i="7"/>
  <c r="B17" i="7"/>
  <c r="C15" i="7"/>
  <c r="D15" i="7"/>
  <c r="B40" i="2"/>
  <c r="B41" i="2" s="1"/>
  <c r="H37" i="2"/>
  <c r="G66" i="2"/>
  <c r="H38" i="2"/>
  <c r="E66" i="2"/>
  <c r="C66" i="2"/>
  <c r="F66" i="2"/>
  <c r="D66" i="2"/>
  <c r="H62" i="2"/>
  <c r="H65" i="2"/>
  <c r="D41" i="2"/>
  <c r="F41" i="2"/>
  <c r="C41" i="2"/>
  <c r="G41" i="2"/>
  <c r="E41" i="2"/>
  <c r="H63" i="2"/>
  <c r="B66" i="2"/>
  <c r="F83" i="3"/>
  <c r="F93" i="5"/>
  <c r="G93" i="5" s="1"/>
  <c r="F90" i="5"/>
  <c r="F92" i="5"/>
  <c r="G92" i="5" s="1"/>
  <c r="F93" i="4"/>
  <c r="F90" i="4"/>
  <c r="D10" i="7" l="1"/>
  <c r="D20" i="7"/>
  <c r="C10" i="7"/>
  <c r="C20" i="7"/>
  <c r="B20" i="7"/>
  <c r="B10" i="7"/>
  <c r="B11" i="7" s="1"/>
  <c r="H40" i="2"/>
  <c r="H66" i="2"/>
  <c r="B75" i="2" s="1"/>
  <c r="H41" i="2"/>
  <c r="B74" i="2" s="1"/>
  <c r="F92" i="4"/>
  <c r="G90" i="5"/>
  <c r="F91" i="5"/>
  <c r="G91" i="5" s="1"/>
  <c r="F91" i="4"/>
  <c r="F82" i="3"/>
  <c r="F85" i="3" s="1"/>
  <c r="E20" i="7" l="1"/>
  <c r="C11" i="7"/>
  <c r="C21" i="7"/>
  <c r="C35" i="7"/>
  <c r="C45" i="7" s="1"/>
  <c r="D11" i="7"/>
  <c r="D35" i="7"/>
  <c r="D45" i="7" s="1"/>
  <c r="D21" i="7"/>
  <c r="B76" i="2"/>
  <c r="B77" i="2" s="1"/>
  <c r="F94" i="4"/>
  <c r="F95" i="4" s="1"/>
  <c r="B86" i="3"/>
  <c r="F86" i="3"/>
  <c r="F94" i="5"/>
  <c r="D47" i="7" l="1"/>
  <c r="D22" i="7"/>
  <c r="D12" i="7"/>
  <c r="C22" i="7"/>
  <c r="C12" i="7"/>
  <c r="C47" i="7"/>
  <c r="B95" i="4"/>
  <c r="F95" i="5"/>
  <c r="F90" i="3"/>
  <c r="F91" i="3" s="1"/>
  <c r="F93" i="3" s="1"/>
  <c r="F99" i="5"/>
  <c r="F100" i="5" s="1"/>
  <c r="F99" i="4"/>
  <c r="F100" i="4" s="1"/>
  <c r="F102" i="4" s="1"/>
  <c r="D48" i="7" l="1"/>
  <c r="D23" i="7"/>
  <c r="D24" i="7" s="1"/>
  <c r="C48" i="7"/>
  <c r="C23" i="7"/>
  <c r="C24" i="7" s="1"/>
  <c r="F102" i="5"/>
  <c r="E28" i="7" l="1"/>
  <c r="B61" i="7" s="1"/>
  <c r="E25" i="7"/>
  <c r="E26" i="7" l="1"/>
  <c r="E27" i="7"/>
  <c r="B35" i="7" l="1"/>
  <c r="B45" i="7" s="1"/>
  <c r="B21" i="7"/>
  <c r="E21" i="7" s="1"/>
  <c r="E10" i="7"/>
  <c r="B56" i="7" s="1"/>
  <c r="E11" i="7"/>
  <c r="B33" i="7" l="1"/>
  <c r="B34" i="7" s="1"/>
  <c r="B46" i="7" s="1"/>
  <c r="C33" i="7"/>
  <c r="C34" i="7" s="1"/>
  <c r="C46" i="7" s="1"/>
  <c r="C49" i="7" s="1"/>
  <c r="B60" i="7"/>
  <c r="D33" i="7"/>
  <c r="D34" i="7" s="1"/>
  <c r="D46" i="7" s="1"/>
  <c r="D49" i="7" s="1"/>
  <c r="B47" i="7"/>
  <c r="E47" i="7" s="1"/>
  <c r="B12" i="7"/>
  <c r="B22" i="7"/>
  <c r="E22" i="7" s="1"/>
  <c r="D50" i="7" l="1"/>
  <c r="D52" i="7" s="1"/>
  <c r="D51" i="7"/>
  <c r="C50" i="7"/>
  <c r="C52" i="7" s="1"/>
  <c r="C51" i="7"/>
  <c r="E46" i="7"/>
  <c r="E12" i="7"/>
  <c r="B48" i="7"/>
  <c r="E48" i="7" s="1"/>
  <c r="B23" i="7"/>
  <c r="E23" i="7" s="1"/>
  <c r="C53" i="7" l="1"/>
  <c r="D53" i="7"/>
  <c r="B49" i="7"/>
  <c r="B51" i="7" s="1"/>
  <c r="B24" i="7"/>
  <c r="B50" i="7" l="1"/>
  <c r="E49" i="7"/>
  <c r="B52" i="7" l="1"/>
  <c r="E52" i="7" s="1"/>
  <c r="E50" i="7"/>
  <c r="E51" i="7"/>
  <c r="B53" i="7" l="1"/>
  <c r="E53" i="7" s="1"/>
  <c r="B62" i="7" s="1"/>
  <c r="B63" i="7" s="1"/>
  <c r="B64" i="7" s="1"/>
</calcChain>
</file>

<file path=xl/sharedStrings.xml><?xml version="1.0" encoding="utf-8"?>
<sst xmlns="http://schemas.openxmlformats.org/spreadsheetml/2006/main" count="3802" uniqueCount="754">
  <si>
    <t>capital</t>
  </si>
  <si>
    <t>Guatemala</t>
  </si>
  <si>
    <t>GT</t>
  </si>
  <si>
    <t>Villa Nueva</t>
  </si>
  <si>
    <t>Cobán</t>
  </si>
  <si>
    <t>Alta Verapaz</t>
  </si>
  <si>
    <t>Coatepeque</t>
  </si>
  <si>
    <t>Quetzaltenango</t>
  </si>
  <si>
    <t>San Pedro Carchá</t>
  </si>
  <si>
    <t>San Juan Sacatepéquez</t>
  </si>
  <si>
    <t>Jutiapa</t>
  </si>
  <si>
    <t>Flores</t>
  </si>
  <si>
    <t>Petén</t>
  </si>
  <si>
    <t>Momostenango</t>
  </si>
  <si>
    <t>Totonicapán</t>
  </si>
  <si>
    <t>San Luis</t>
  </si>
  <si>
    <t>Nueva Concepción</t>
  </si>
  <si>
    <t>Escuintla</t>
  </si>
  <si>
    <t>Santa Lucía Cotzumalguapa</t>
  </si>
  <si>
    <t>Amatitlán</t>
  </si>
  <si>
    <t>Jalapa</t>
  </si>
  <si>
    <t>Puerto Barrios</t>
  </si>
  <si>
    <t>Izabal</t>
  </si>
  <si>
    <t>Quiché</t>
  </si>
  <si>
    <t>Malacatán</t>
  </si>
  <si>
    <t>San Marcos</t>
  </si>
  <si>
    <t>Mazatenango</t>
  </si>
  <si>
    <t>Suchitepéquez</t>
  </si>
  <si>
    <t>Morales</t>
  </si>
  <si>
    <t>Tacaná</t>
  </si>
  <si>
    <t>Chiquimula</t>
  </si>
  <si>
    <t>Villa Canales</t>
  </si>
  <si>
    <t>Chinautla</t>
  </si>
  <si>
    <t>Lívingston</t>
  </si>
  <si>
    <t>San Juan Chamelco</t>
  </si>
  <si>
    <t>Chisec</t>
  </si>
  <si>
    <t>San Pedro Sacatepéquez</t>
  </si>
  <si>
    <t>Zacapa</t>
  </si>
  <si>
    <t>San Francisco El Alto</t>
  </si>
  <si>
    <t>Esquipulas</t>
  </si>
  <si>
    <t>Sololá</t>
  </si>
  <si>
    <t>Santa Catarina Pinula</t>
  </si>
  <si>
    <t>Palín</t>
  </si>
  <si>
    <t>Panzos</t>
  </si>
  <si>
    <t>Senahú</t>
  </si>
  <si>
    <t>Nahualá</t>
  </si>
  <si>
    <t>Iztapa</t>
  </si>
  <si>
    <t>Tecpán Guatemala</t>
  </si>
  <si>
    <t>Chimaltenango</t>
  </si>
  <si>
    <t>Sayaxché</t>
  </si>
  <si>
    <t>Comitancillo</t>
  </si>
  <si>
    <t>Antigua Guatemala</t>
  </si>
  <si>
    <t>Sacatepéquez</t>
  </si>
  <si>
    <t>Concepción Tutuapa</t>
  </si>
  <si>
    <t>Santa María Chiquimula</t>
  </si>
  <si>
    <t>La Gomera</t>
  </si>
  <si>
    <t>Huehuetenango</t>
  </si>
  <si>
    <t>Salamá</t>
  </si>
  <si>
    <t>Baja Verapaz</t>
  </si>
  <si>
    <t>Los Amates</t>
  </si>
  <si>
    <t>Santa Cruz Verapaz</t>
  </si>
  <si>
    <t>Tiquisate</t>
  </si>
  <si>
    <t>San Cristóbal Verapaz</t>
  </si>
  <si>
    <t>Tajumulco</t>
  </si>
  <si>
    <t>Cuyotenango</t>
  </si>
  <si>
    <t>Gualán</t>
  </si>
  <si>
    <t>Palencia</t>
  </si>
  <si>
    <t>Santa Catarina Ixtahuacán</t>
  </si>
  <si>
    <t>San Francisco</t>
  </si>
  <si>
    <t>San José Pinula</t>
  </si>
  <si>
    <t>Cubulco</t>
  </si>
  <si>
    <t>Fray Bartolomé de Las Casas</t>
  </si>
  <si>
    <t>Santiago Atitlán</t>
  </si>
  <si>
    <t>Rabinal</t>
  </si>
  <si>
    <t>San Pedro Ayampuc</t>
  </si>
  <si>
    <t>Poptún</t>
  </si>
  <si>
    <t>San Cristóbal Totonicapán</t>
  </si>
  <si>
    <t>Uspantán</t>
  </si>
  <si>
    <t>El Tumbador</t>
  </si>
  <si>
    <t>Asunción Mita</t>
  </si>
  <si>
    <t>San Agustín Acasaguastlán</t>
  </si>
  <si>
    <t>El Progreso</t>
  </si>
  <si>
    <t>Retalhuleu</t>
  </si>
  <si>
    <t>Dolores</t>
  </si>
  <si>
    <t>La Unión</t>
  </si>
  <si>
    <t>San Miguel Ixtahuacán</t>
  </si>
  <si>
    <t>Santa Cruz del Quiché</t>
  </si>
  <si>
    <t>Champerico</t>
  </si>
  <si>
    <t>Raxruhá</t>
  </si>
  <si>
    <t>Todos Santos Cuchumatán</t>
  </si>
  <si>
    <t>Sanarate</t>
  </si>
  <si>
    <t>Fraijanes</t>
  </si>
  <si>
    <t>Mataquescuintla</t>
  </si>
  <si>
    <t>Cantel</t>
  </si>
  <si>
    <t>Santo Domingo Suchitepéquez</t>
  </si>
  <si>
    <t>San Andrés Itzapa</t>
  </si>
  <si>
    <t>Chajul</t>
  </si>
  <si>
    <t>Olintepeque</t>
  </si>
  <si>
    <t>Cuilapa</t>
  </si>
  <si>
    <t>Santa Rosa</t>
  </si>
  <si>
    <t>Santiago Sacatepéquez</t>
  </si>
  <si>
    <t>Ciudad Vieja</t>
  </si>
  <si>
    <t>Tactic</t>
  </si>
  <si>
    <t>San Andrés Xecul</t>
  </si>
  <si>
    <t>Nentón</t>
  </si>
  <si>
    <t>Tucurú</t>
  </si>
  <si>
    <t>Ixchiguán</t>
  </si>
  <si>
    <t>Sibinal</t>
  </si>
  <si>
    <t>Colotenango</t>
  </si>
  <si>
    <t>San Juan Ixcoy</t>
  </si>
  <si>
    <t>San Lucas Tolimán</t>
  </si>
  <si>
    <t>San Lucas Sacatepéquez</t>
  </si>
  <si>
    <t>La Blanca</t>
  </si>
  <si>
    <t>San Martín Sacatepéquez</t>
  </si>
  <si>
    <t>Cabricán</t>
  </si>
  <si>
    <t>Comapa</t>
  </si>
  <si>
    <t>Olopa</t>
  </si>
  <si>
    <t>Santa Lucía Utatlán</t>
  </si>
  <si>
    <t>El Tejar</t>
  </si>
  <si>
    <t>San Miguel Chicaj</t>
  </si>
  <si>
    <t>Taxisco</t>
  </si>
  <si>
    <t>La Democracia</t>
  </si>
  <si>
    <t>Zacualpa</t>
  </si>
  <si>
    <t>San Andrés Villa Seca</t>
  </si>
  <si>
    <t>Siquinalá</t>
  </si>
  <si>
    <t>Teculután</t>
  </si>
  <si>
    <t>Ocós</t>
  </si>
  <si>
    <t>Guastatoya</t>
  </si>
  <si>
    <t>San José Ojetenam</t>
  </si>
  <si>
    <t>San Antonio Sacatepéquez</t>
  </si>
  <si>
    <t>El Quetzal</t>
  </si>
  <si>
    <t>Yupiltepeque</t>
  </si>
  <si>
    <t>Sipacapa</t>
  </si>
  <si>
    <t>Salcajá</t>
  </si>
  <si>
    <t>Alotenango</t>
  </si>
  <si>
    <t>San Felipe</t>
  </si>
  <si>
    <t>Huitán</t>
  </si>
  <si>
    <t>Almolonga</t>
  </si>
  <si>
    <t>Cajolá</t>
  </si>
  <si>
    <t>Pajapita</t>
  </si>
  <si>
    <t>Lanquín</t>
  </si>
  <si>
    <t>Palestina de los Altos</t>
  </si>
  <si>
    <t>Guanagazapa</t>
  </si>
  <si>
    <t>San Cristóbal Cucho</t>
  </si>
  <si>
    <t>El Estor</t>
  </si>
  <si>
    <t>Atescatempa</t>
  </si>
  <si>
    <t>Santa María de Jesús</t>
  </si>
  <si>
    <t>Conguaco</t>
  </si>
  <si>
    <t>San Rafael Pie de la Cuesta</t>
  </si>
  <si>
    <t>San Antonio La Paz</t>
  </si>
  <si>
    <t>Cabañas</t>
  </si>
  <si>
    <t>Guazacapán</t>
  </si>
  <si>
    <t>Pastores</t>
  </si>
  <si>
    <t>Agua Blanca</t>
  </si>
  <si>
    <t>San Jorge</t>
  </si>
  <si>
    <t>Usumatlán</t>
  </si>
  <si>
    <t>Tamahú</t>
  </si>
  <si>
    <t>Chiquimulilla</t>
  </si>
  <si>
    <t>Zunil</t>
  </si>
  <si>
    <t>Huité</t>
  </si>
  <si>
    <t>El Palmar</t>
  </si>
  <si>
    <t>San Antonio Palopó</t>
  </si>
  <si>
    <t>Morazán</t>
  </si>
  <si>
    <t>Panajachel</t>
  </si>
  <si>
    <t>Esquipulas Palo Gordo</t>
  </si>
  <si>
    <t>Santa Ana Huista</t>
  </si>
  <si>
    <t>Sansare</t>
  </si>
  <si>
    <t>Estanzuela</t>
  </si>
  <si>
    <t>San Juan La Laguna</t>
  </si>
  <si>
    <t>San Pedro La Laguna</t>
  </si>
  <si>
    <t>Jerez</t>
  </si>
  <si>
    <t>Santa Clara La Laguna</t>
  </si>
  <si>
    <t>Canillá</t>
  </si>
  <si>
    <t>La Libertad</t>
  </si>
  <si>
    <t>Chinique</t>
  </si>
  <si>
    <t>Sibilia</t>
  </si>
  <si>
    <t>Santa Ana</t>
  </si>
  <si>
    <t>San Diego</t>
  </si>
  <si>
    <t>San Miguel Sigüilá</t>
  </si>
  <si>
    <t>San Vicente Pacaya</t>
  </si>
  <si>
    <t>Chuarrancho</t>
  </si>
  <si>
    <t>San Cristóbal Acasaguastlán</t>
  </si>
  <si>
    <t>Purulhá</t>
  </si>
  <si>
    <t>San Miguel Panán</t>
  </si>
  <si>
    <t>San José del Golfo</t>
  </si>
  <si>
    <t>Patzité</t>
  </si>
  <si>
    <t>San Andrés Semetabaj</t>
  </si>
  <si>
    <t>Concepción</t>
  </si>
  <si>
    <t>Santa María Visitación</t>
  </si>
  <si>
    <t>Santa Catarina Palopó</t>
  </si>
  <si>
    <t>San José Chacayá</t>
  </si>
  <si>
    <t>San Marcos La Laguna</t>
  </si>
  <si>
    <t>Zapotitlán</t>
  </si>
  <si>
    <t>Mixco</t>
  </si>
  <si>
    <t>La Esperanza</t>
  </si>
  <si>
    <t>San Antonio Aguas Calientes</t>
  </si>
  <si>
    <t>Jocotenango</t>
  </si>
  <si>
    <t>San Pablo La Laguna</t>
  </si>
  <si>
    <t>San Francisco Zapotitlán</t>
  </si>
  <si>
    <t>San Sebastián</t>
  </si>
  <si>
    <t>San Martín Zapotitlán</t>
  </si>
  <si>
    <t>San Bartolomé Milpas Altas</t>
  </si>
  <si>
    <t>San Bernardino</t>
  </si>
  <si>
    <t>Santa Lucía Milpas Altas</t>
  </si>
  <si>
    <t>San Mateo</t>
  </si>
  <si>
    <t>Santo Tomás La Unión</t>
  </si>
  <si>
    <t>Santa Catarina Barahona</t>
  </si>
  <si>
    <t>San Antonio Suchitepéquez</t>
  </si>
  <si>
    <t>Concepción Chiquirichapa</t>
  </si>
  <si>
    <t>Sumpango</t>
  </si>
  <si>
    <t>Magdalena Milpas Altas</t>
  </si>
  <si>
    <t>Santa Cruz La Laguna</t>
  </si>
  <si>
    <t>San Pablo Jocopilas</t>
  </si>
  <si>
    <t>Samayac</t>
  </si>
  <si>
    <t>Parramos</t>
  </si>
  <si>
    <t>Chiantla</t>
  </si>
  <si>
    <t>Patzicía</t>
  </si>
  <si>
    <t>Pueblo Nuevo</t>
  </si>
  <si>
    <t>Zaragoza</t>
  </si>
  <si>
    <t>San Benito</t>
  </si>
  <si>
    <t>Santiago Chimaltenango</t>
  </si>
  <si>
    <t>Catarina</t>
  </si>
  <si>
    <t>El Asintal</t>
  </si>
  <si>
    <t>Flores Costa Cuca</t>
  </si>
  <si>
    <t>San Gabriel</t>
  </si>
  <si>
    <t>San Pablo</t>
  </si>
  <si>
    <t>Santa Cruz Balanyá</t>
  </si>
  <si>
    <t>San Francisco la Unión</t>
  </si>
  <si>
    <t>Aguacatán</t>
  </si>
  <si>
    <t>Santa Apolonia</t>
  </si>
  <si>
    <t>Santo Domingo Xenacoj</t>
  </si>
  <si>
    <t>Nuevo San Carlos</t>
  </si>
  <si>
    <t>Nuevo Progreso</t>
  </si>
  <si>
    <t>Patzún</t>
  </si>
  <si>
    <t>San Carlos Alzatate</t>
  </si>
  <si>
    <t>San Lorenzo</t>
  </si>
  <si>
    <t>Barberena</t>
  </si>
  <si>
    <t>Chiché</t>
  </si>
  <si>
    <t>San Miguel Dueñas</t>
  </si>
  <si>
    <t>San José Poaquil</t>
  </si>
  <si>
    <t>Nueva Santa Rosa</t>
  </si>
  <si>
    <t>Génova</t>
  </si>
  <si>
    <t>Santa Eulalia</t>
  </si>
  <si>
    <t>Jocotán</t>
  </si>
  <si>
    <t>Camotán</t>
  </si>
  <si>
    <t>San Juan Bautista</t>
  </si>
  <si>
    <t>Tejutla</t>
  </si>
  <si>
    <t>San Miguel Acatán</t>
  </si>
  <si>
    <t>San Juan Atitán</t>
  </si>
  <si>
    <t>Chicacao</t>
  </si>
  <si>
    <t>La Reforma</t>
  </si>
  <si>
    <t>Santa Cruz Naranjo</t>
  </si>
  <si>
    <t>Zunilito</t>
  </si>
  <si>
    <t>San Martín Jilotepeque</t>
  </si>
  <si>
    <t>El Adelanto</t>
  </si>
  <si>
    <t>San Rafael La Independencia</t>
  </si>
  <si>
    <t>San Sebastián Coatán</t>
  </si>
  <si>
    <t>Acatenango</t>
  </si>
  <si>
    <t>San Pedro Necta</t>
  </si>
  <si>
    <t>San Gaspar Ixchil</t>
  </si>
  <si>
    <t>Patulul</t>
  </si>
  <si>
    <t>San Juan Cotzal</t>
  </si>
  <si>
    <t>Río Blanco</t>
  </si>
  <si>
    <t>San Antonio Huista</t>
  </si>
  <si>
    <t>Cunén</t>
  </si>
  <si>
    <t>Jacaltenango</t>
  </si>
  <si>
    <t>San Bartolomé Jocotenango</t>
  </si>
  <si>
    <t>San Juan Ermita</t>
  </si>
  <si>
    <t>San Carlos Sija</t>
  </si>
  <si>
    <t>Quesada</t>
  </si>
  <si>
    <t>Jalpatagua</t>
  </si>
  <si>
    <t>San Mateo Ixtatán</t>
  </si>
  <si>
    <t>Monjas</t>
  </si>
  <si>
    <t>San Andrés Sajcabajá</t>
  </si>
  <si>
    <t>San José</t>
  </si>
  <si>
    <t>Santa Bárbara</t>
  </si>
  <si>
    <t>San Antonio Ilotenango</t>
  </si>
  <si>
    <t>San Rafael Las Flores</t>
  </si>
  <si>
    <t>Santa María Ixhuatán</t>
  </si>
  <si>
    <t>Río Bravo</t>
  </si>
  <si>
    <t>Pachalum</t>
  </si>
  <si>
    <t>Casillas</t>
  </si>
  <si>
    <t>Sacapulas</t>
  </si>
  <si>
    <t>San Pedro Pinula</t>
  </si>
  <si>
    <t>Santa Rosa de Lima</t>
  </si>
  <si>
    <t>San Sebastián Huehuetenango</t>
  </si>
  <si>
    <t>San Juan Tecuaco</t>
  </si>
  <si>
    <t>San Luis Jilotepeque</t>
  </si>
  <si>
    <t>Santa Catarina Mita</t>
  </si>
  <si>
    <t>Santa Cruz Muluá</t>
  </si>
  <si>
    <t>Cuilco</t>
  </si>
  <si>
    <t>San José El Ídolo</t>
  </si>
  <si>
    <t>Pueblo Nuevo Viñas</t>
  </si>
  <si>
    <t>Masagua</t>
  </si>
  <si>
    <t>Chahal</t>
  </si>
  <si>
    <t>Moyuta</t>
  </si>
  <si>
    <t>San José Acatempa</t>
  </si>
  <si>
    <t>Ipala</t>
  </si>
  <si>
    <t>San Jerónimo</t>
  </si>
  <si>
    <t>La Tinta</t>
  </si>
  <si>
    <t>Concepción Huista</t>
  </si>
  <si>
    <t>Pochuta</t>
  </si>
  <si>
    <t>San Manuel Chaparrón</t>
  </si>
  <si>
    <t>San José La Arada</t>
  </si>
  <si>
    <t>Granados</t>
  </si>
  <si>
    <t>Oratorio</t>
  </si>
  <si>
    <t>El Jícaro</t>
  </si>
  <si>
    <t>Concepción Las Minas</t>
  </si>
  <si>
    <t>Pasaco</t>
  </si>
  <si>
    <t>Malacatancito</t>
  </si>
  <si>
    <t>Chicamán</t>
  </si>
  <si>
    <t>Río Hondo</t>
  </si>
  <si>
    <t>Tectitán</t>
  </si>
  <si>
    <t>El Chal</t>
  </si>
  <si>
    <t>San Andrés</t>
  </si>
  <si>
    <t>Santa María Cahabón</t>
  </si>
  <si>
    <t>Municipio</t>
  </si>
  <si>
    <t>Santa Cruz El Chol</t>
  </si>
  <si>
    <t>San Pedro Yepocapa</t>
  </si>
  <si>
    <t>San Juan Comalapa</t>
  </si>
  <si>
    <t>San Jacinto</t>
  </si>
  <si>
    <t>Sipacate</t>
  </si>
  <si>
    <t>Ciudad de Guatemala</t>
  </si>
  <si>
    <t>San Miguel Petapa</t>
  </si>
  <si>
    <t>San Raymundo</t>
  </si>
  <si>
    <t>San Ildefonso Ixtahuacán</t>
  </si>
  <si>
    <t>Santa Cruz Barillas</t>
  </si>
  <si>
    <t>San Pedro Soloma</t>
  </si>
  <si>
    <t>Petatán</t>
  </si>
  <si>
    <t>San Rafael Pétzal</t>
  </si>
  <si>
    <t>Unión Cantinil</t>
  </si>
  <si>
    <t>Melchor de Mencos</t>
  </si>
  <si>
    <t>Las Cruces</t>
  </si>
  <si>
    <t>Colomba Costa Cuca</t>
  </si>
  <si>
    <t>San Juan Ostuncalco</t>
  </si>
  <si>
    <t>Ayutla Tecún Umán</t>
  </si>
  <si>
    <t>San José El Rodeo</t>
  </si>
  <si>
    <t>San José La Máquina</t>
  </si>
  <si>
    <t>San Bartolo Aguas Calientes</t>
  </si>
  <si>
    <t>tipo</t>
  </si>
  <si>
    <t>Municipalidad</t>
  </si>
  <si>
    <t>Departamento</t>
  </si>
  <si>
    <t>latitud</t>
  </si>
  <si>
    <t>longitud</t>
  </si>
  <si>
    <t>Pais</t>
  </si>
  <si>
    <t>San Pedro Jocopilas</t>
  </si>
  <si>
    <t>Santa María Joyabaj</t>
  </si>
  <si>
    <t>Santa María Nebaj</t>
  </si>
  <si>
    <t>Ixcán</t>
  </si>
  <si>
    <t>ISO3166</t>
  </si>
  <si>
    <t>cabecera</t>
  </si>
  <si>
    <t>municipio</t>
  </si>
  <si>
    <t>PPP</t>
  </si>
  <si>
    <t>Elegir Trim.</t>
  </si>
  <si>
    <t>Nov 21-Ene 22</t>
  </si>
  <si>
    <t>Feb-Abr 22</t>
  </si>
  <si>
    <t>May-Jul 22</t>
  </si>
  <si>
    <t>Ago-Oct 22</t>
  </si>
  <si>
    <t>Nov 22-Ene 23</t>
  </si>
  <si>
    <t>Feb-Abr 23</t>
  </si>
  <si>
    <t>May-Jul 23</t>
  </si>
  <si>
    <t>Ago-Oct 23</t>
  </si>
  <si>
    <t>Nov 23-Ene 24</t>
  </si>
  <si>
    <t>Precio Base de Energía de Tarifas No afectas a la Tarifa Social</t>
  </si>
  <si>
    <t>PEST =</t>
  </si>
  <si>
    <t>Precio Base de Potencia de Tarifas No afectas a la Tarifa Social</t>
  </si>
  <si>
    <t>PPST =</t>
  </si>
  <si>
    <t>Precio Base de Energía Tarifa BTS</t>
  </si>
  <si>
    <t>PEST BTS =</t>
  </si>
  <si>
    <t>Precio Base de Energía Alumbrado Público</t>
  </si>
  <si>
    <t>PEST AP =</t>
  </si>
  <si>
    <t>Precio Base de Energía Baja Tensión con Demanda Fuera de Punta</t>
  </si>
  <si>
    <t>PEST BTDFP =</t>
  </si>
  <si>
    <t>Precio Base de Energía Baja Tensión con Demanda en Punta</t>
  </si>
  <si>
    <t>PEST BTDP =</t>
  </si>
  <si>
    <t>Precio Base de Energía Media Tensión con Demanda Fuera de Punta</t>
  </si>
  <si>
    <t>PEST MTDFP =</t>
  </si>
  <si>
    <t>Precio Base de Energía Media Tensión con Demanda en Punta</t>
  </si>
  <si>
    <t>PEST MTDP =</t>
  </si>
  <si>
    <t>Precio Base de Energía en Banda Punta</t>
  </si>
  <si>
    <t>PEST Punta =</t>
  </si>
  <si>
    <t>Precio Base de Energía en Banda Intermedia</t>
  </si>
  <si>
    <t>PEST Intermedia =</t>
  </si>
  <si>
    <t>Precio Base de Energía en Banda Valle</t>
  </si>
  <si>
    <t>PEST Valle =</t>
  </si>
  <si>
    <t>Cargo Base por Potencia de Distribución en Baja Tensión</t>
  </si>
  <si>
    <t>CDBT =</t>
  </si>
  <si>
    <t>Cargo Base por Potencia de Distribución en Media Tensión</t>
  </si>
  <si>
    <t>CDMT =</t>
  </si>
  <si>
    <t>Cargo Fijo Base, Usuarios Media Tensión con Demanda</t>
  </si>
  <si>
    <t>CFMT-MTD 0 =</t>
  </si>
  <si>
    <t>Cargo Fijo Base, Usuarios Baja Tensión con Demanda</t>
  </si>
  <si>
    <t>CFBT-BTD 0 =</t>
  </si>
  <si>
    <t>Cargo Fijo Base, Usuario Baja Tensión simple</t>
  </si>
  <si>
    <t>CFBT-BTS 0 =</t>
  </si>
  <si>
    <t>Factor de Pérdidas de Energía, Baja Tensión</t>
  </si>
  <si>
    <t>FPEBT =</t>
  </si>
  <si>
    <t>Factor de Pérdidas de Energía, Media Tensión</t>
  </si>
  <si>
    <t>FPEMT =</t>
  </si>
  <si>
    <t>Factor de Pérdidas de Potencia, Baja Tensión sin Tarifa Social</t>
  </si>
  <si>
    <t>FPPBTP =</t>
  </si>
  <si>
    <t>Factor de Pérdidas de Potencia, Media Tensión sin Tarifa Social</t>
  </si>
  <si>
    <t>FPPMTP =</t>
  </si>
  <si>
    <t>Factor de Pérdidas de Potencia, Baja Tensión</t>
  </si>
  <si>
    <t>FPPBT =</t>
  </si>
  <si>
    <t>Factor de Pérdidas de Potencia en Baje Tensión y Media Tensión</t>
  </si>
  <si>
    <t>FPPBT_MT =</t>
  </si>
  <si>
    <t>Factor de Pérdidas de Potencia Media Tensión</t>
  </si>
  <si>
    <t>FPPMT =</t>
  </si>
  <si>
    <t>Factor de Pérdidas de Energía en Alumbrado Público</t>
  </si>
  <si>
    <t>FPEAP =</t>
  </si>
  <si>
    <t>Factor de Pérdidas de Potencia en Alumbrado Público</t>
  </si>
  <si>
    <t>FPPAP =</t>
  </si>
  <si>
    <t>Proporción del VAD que se recuperará a través del cargo por Potencia Contratada</t>
  </si>
  <si>
    <t>ALFA =</t>
  </si>
  <si>
    <t>Fator de Ajuste de Potencia, Sin Tarifa Social</t>
  </si>
  <si>
    <t>FA Pot =</t>
  </si>
  <si>
    <t>Factor de Ajuste de Potencia, Baja Tensión</t>
  </si>
  <si>
    <t xml:space="preserve">FABT = </t>
  </si>
  <si>
    <t>Factor de Ajuste de Potencia, Media Tensión</t>
  </si>
  <si>
    <t>FAMT =</t>
  </si>
  <si>
    <t>Factor de Ajuste Trimestral</t>
  </si>
  <si>
    <t>ATN =</t>
  </si>
  <si>
    <t>Factor de Ajuste del CDBT</t>
  </si>
  <si>
    <t>FACD BT =</t>
  </si>
  <si>
    <t>Factor de Ajuste del DMT</t>
  </si>
  <si>
    <t>FACD MT =</t>
  </si>
  <si>
    <t>Factor de Ajuste de CFBTS 0 y CFBTD 0</t>
  </si>
  <si>
    <t>FACFBT =</t>
  </si>
  <si>
    <t>Factor de Ajuste del CFMTD 0</t>
  </si>
  <si>
    <t>FACFMT =</t>
  </si>
  <si>
    <t>Factor de Ajuste del Cargo por Corte y Reconexión</t>
  </si>
  <si>
    <t>FACACYRm =</t>
  </si>
  <si>
    <t>Ajuste a Formula BT</t>
  </si>
  <si>
    <t>Ajuste del Cargo Unitario por Pérdidas de Energía de Energía en Punta</t>
  </si>
  <si>
    <t>Ajuste del Cargo Unitario por Pérdidas de Energía de Energía Intermedia</t>
  </si>
  <si>
    <t>Ajuste del Cargo Unitario por Pérdidas de Energía de Energía Valle</t>
  </si>
  <si>
    <t>Ajuste del Cargo Unitario por Potencia Máxima</t>
  </si>
  <si>
    <t>Ajuste a Formula MT</t>
  </si>
  <si>
    <t>Peaje Usuario Baja Tension</t>
  </si>
  <si>
    <t>Cargo Unitario por Pérdidas de Energía de Energía en Punta</t>
  </si>
  <si>
    <t>CPEP =</t>
  </si>
  <si>
    <t>Cargo Unitario por Pérdidas de Energía de Energía Intermedia</t>
  </si>
  <si>
    <t>CPEI =</t>
  </si>
  <si>
    <t>Cargo Unitario por Pérdidas de Energía de Energía Valle</t>
  </si>
  <si>
    <t>CPEV =</t>
  </si>
  <si>
    <t>Cargo Unitario por Potencia Máxima</t>
  </si>
  <si>
    <t>CP MAX =</t>
  </si>
  <si>
    <t>Peaje Usuario Media Tension</t>
  </si>
  <si>
    <r>
      <t xml:space="preserve">(PPST X FCREDMTPEAJEFT_BT X FCIPEAJEFT_BT X (FPPBTP X FPPMTP-1) X </t>
    </r>
    <r>
      <rPr>
        <u/>
        <sz val="10"/>
        <color indexed="8"/>
        <rFont val="Calibri"/>
        <family val="2"/>
        <scheme val="minor"/>
      </rPr>
      <t>FAPOT</t>
    </r>
    <r>
      <rPr>
        <sz val="10"/>
        <color indexed="8"/>
        <rFont val="Calibri"/>
        <family val="2"/>
        <scheme val="minor"/>
      </rPr>
      <t>)</t>
    </r>
  </si>
  <si>
    <r>
      <t xml:space="preserve">(PPST X FCREDMTPEAJEFT_MT X FCIPEAJEFT_MT X (FPPMTP-1) X </t>
    </r>
    <r>
      <rPr>
        <u/>
        <sz val="10"/>
        <rFont val="Calibri"/>
        <family val="2"/>
        <scheme val="minor"/>
      </rPr>
      <t>FAPOT</t>
    </r>
    <r>
      <rPr>
        <sz val="10"/>
        <rFont val="Calibri"/>
        <family val="2"/>
        <scheme val="minor"/>
      </rPr>
      <t>)</t>
    </r>
  </si>
  <si>
    <t>Resolución CNEE =</t>
  </si>
  <si>
    <t>252-2021</t>
  </si>
  <si>
    <t>34-2022</t>
  </si>
  <si>
    <t>105-2022</t>
  </si>
  <si>
    <t>185-2022</t>
  </si>
  <si>
    <t>250-2022</t>
  </si>
  <si>
    <t>56-2023</t>
  </si>
  <si>
    <t>TARIFA COBT (LIBRES BAJA TENSION)</t>
  </si>
  <si>
    <t>KWH Hoja 1!</t>
  </si>
  <si>
    <t>Cargo por Pérdidas de Energía =</t>
  </si>
  <si>
    <t>Cargo por Pérdidas de Potencia =</t>
  </si>
  <si>
    <t>Cargo por Peaje =</t>
  </si>
  <si>
    <t>Total</t>
  </si>
  <si>
    <t>TARIFA COMT (LIBRES MEDIA TENSION)</t>
  </si>
  <si>
    <t>EEGSA</t>
  </si>
  <si>
    <t>Cargo Fijo por Cliente</t>
  </si>
  <si>
    <t>Q/usuario-mes</t>
  </si>
  <si>
    <t>Cargo Unitario por Energía</t>
  </si>
  <si>
    <t>Q/kWh</t>
  </si>
  <si>
    <t>kWh</t>
  </si>
  <si>
    <t>Potencia Máxima: Cargo por Distribución</t>
  </si>
  <si>
    <t>Q/kW</t>
  </si>
  <si>
    <t>Potencia Contratada: Cargo por Distribución</t>
  </si>
  <si>
    <t>Total Cargos por Generacion y Transporte</t>
  </si>
  <si>
    <t>Total Cargos por Generacion y Transporte (+IVA)</t>
  </si>
  <si>
    <t>Q</t>
  </si>
  <si>
    <t>Iva</t>
  </si>
  <si>
    <t>F.P.</t>
  </si>
  <si>
    <t>Penalizacion por Incumplimiento a NTSD (con IVA)</t>
  </si>
  <si>
    <t>TOTAL CARGOS DEL MES</t>
  </si>
  <si>
    <t>Baja Tension Simple (BTS)</t>
  </si>
  <si>
    <t>Baja Tension Simple Horaria (BTSH)</t>
  </si>
  <si>
    <t>Baja Tension con Demanda en Punta (BTDP)</t>
  </si>
  <si>
    <t>Baja Tension con Demanda fuera de Punta (BTDFP)</t>
  </si>
  <si>
    <t>Baja Tension Horaria con Demanda (BTHD)</t>
  </si>
  <si>
    <t>Media Tension con Demana en Punta (MTDP)</t>
  </si>
  <si>
    <t>Media Tension con Demana fuera de Punta (MTDFP)</t>
  </si>
  <si>
    <t>Media Tension Horaria con Demanda (MTHD)</t>
  </si>
  <si>
    <t>Baja Tension Simple Autoproductores (BTSA)</t>
  </si>
  <si>
    <t>Baja Tension con Demanda Autoproductores (BTDA)</t>
  </si>
  <si>
    <t>Media Tension con Demanda Autoproductores (MTDA)</t>
  </si>
  <si>
    <t>Energía Cargo: por Generación y Transporte PUNTA</t>
  </si>
  <si>
    <t>BTS EP=</t>
  </si>
  <si>
    <t>BTSA EP=</t>
  </si>
  <si>
    <t>BTSH EP=</t>
  </si>
  <si>
    <t>BTDP EP=</t>
  </si>
  <si>
    <t>BTDFP EP=</t>
  </si>
  <si>
    <t>BTHD EP=</t>
  </si>
  <si>
    <t>BTDA EP=</t>
  </si>
  <si>
    <t>MTDP EP=</t>
  </si>
  <si>
    <t>MTDFP EP=</t>
  </si>
  <si>
    <t>MTHD EP=</t>
  </si>
  <si>
    <t>MTDA EP=</t>
  </si>
  <si>
    <t>Energía Cargo: por Generación y Transporte DIURNA</t>
  </si>
  <si>
    <t>BTS ED=</t>
  </si>
  <si>
    <t>BTSA ED=</t>
  </si>
  <si>
    <t>BTH ED=</t>
  </si>
  <si>
    <t>BTDP ED=</t>
  </si>
  <si>
    <t>BTDFP ED=</t>
  </si>
  <si>
    <t>BTHD ED=</t>
  </si>
  <si>
    <t>BTDA ED=</t>
  </si>
  <si>
    <t>MTDP ED=</t>
  </si>
  <si>
    <t>MTDFP ED=</t>
  </si>
  <si>
    <t>MTHD ED=</t>
  </si>
  <si>
    <t>MTDA ED=</t>
  </si>
  <si>
    <t>Energía Cargo: por Generación y Transporte VALLE</t>
  </si>
  <si>
    <t>BTS EV=</t>
  </si>
  <si>
    <t>BTSA EV=</t>
  </si>
  <si>
    <t>BTSH EV=</t>
  </si>
  <si>
    <t>BTDP EV=</t>
  </si>
  <si>
    <t>BTDFP EV=</t>
  </si>
  <si>
    <t>BTHD EV=</t>
  </si>
  <si>
    <t>BTDA EV=</t>
  </si>
  <si>
    <t>MTDP EV=</t>
  </si>
  <si>
    <t>MTDFP EV=</t>
  </si>
  <si>
    <t>MTHD EV=</t>
  </si>
  <si>
    <t>MTDA EV=</t>
  </si>
  <si>
    <t>Energía Cargo por Generación y Transporte VALLE ADICIONAL</t>
  </si>
  <si>
    <t>Potencia Máxima</t>
  </si>
  <si>
    <t>BTS PM=</t>
  </si>
  <si>
    <t>BTSA PM=</t>
  </si>
  <si>
    <t>BTH PM=</t>
  </si>
  <si>
    <t>BTDP PM=</t>
  </si>
  <si>
    <t>BTDFP PM=</t>
  </si>
  <si>
    <t>BTHD PM=</t>
  </si>
  <si>
    <t>BTDA PM=</t>
  </si>
  <si>
    <t>MTDP PM=</t>
  </si>
  <si>
    <t>MTDFP PM=</t>
  </si>
  <si>
    <t>MTHD PM=</t>
  </si>
  <si>
    <t>MTDA PM=</t>
  </si>
  <si>
    <t>Potencia Contratada</t>
  </si>
  <si>
    <t>BTS PC=</t>
  </si>
  <si>
    <t>BTSA PC=</t>
  </si>
  <si>
    <t>BTH PC=</t>
  </si>
  <si>
    <t>BTDP PC=</t>
  </si>
  <si>
    <t>BTDFP PC=</t>
  </si>
  <si>
    <t>BTHD PC=</t>
  </si>
  <si>
    <t>BTDA PC=</t>
  </si>
  <si>
    <t>MTDP PC=</t>
  </si>
  <si>
    <t>MTDFP PC=</t>
  </si>
  <si>
    <t>MTHD PC=</t>
  </si>
  <si>
    <t>MTDA PC=</t>
  </si>
  <si>
    <t>Alumbrado publico</t>
  </si>
  <si>
    <t>Mora %</t>
  </si>
  <si>
    <t>Punta</t>
  </si>
  <si>
    <t>Resto</t>
  </si>
  <si>
    <t>Valle</t>
  </si>
  <si>
    <t>BTS</t>
  </si>
  <si>
    <t>AP</t>
  </si>
  <si>
    <t>BTDFP</t>
  </si>
  <si>
    <t>BTDP</t>
  </si>
  <si>
    <t>MTDFP</t>
  </si>
  <si>
    <t>MTDP</t>
  </si>
  <si>
    <t>PeajeFT_BT</t>
  </si>
  <si>
    <t>PeajeFT_MT</t>
  </si>
  <si>
    <t>CATEGORIA</t>
  </si>
  <si>
    <t>NHU</t>
  </si>
  <si>
    <t>FCRedBT</t>
  </si>
  <si>
    <t>FCTotalBT</t>
  </si>
  <si>
    <t>FCtotalMT</t>
  </si>
  <si>
    <t>FCREdMT</t>
  </si>
  <si>
    <t>FCI</t>
  </si>
  <si>
    <t>FPCont</t>
  </si>
  <si>
    <t>DTDP</t>
  </si>
  <si>
    <t>BTH</t>
  </si>
  <si>
    <t>MTH</t>
  </si>
  <si>
    <t>Factor de Ajuste de Potencia, Media Tensión BTS</t>
  </si>
  <si>
    <t>FAMT BTS =</t>
  </si>
  <si>
    <t>Factor de Ajuste de Potencia, Media Tensión AP</t>
  </si>
  <si>
    <t>FAMT AP =</t>
  </si>
  <si>
    <t>Factor de Ajuste de Potencia, Media Tensión BTDP</t>
  </si>
  <si>
    <t>FAMT BTDP =</t>
  </si>
  <si>
    <t>Factor de Ajuste de Potencia, Media Tensión BTDFP</t>
  </si>
  <si>
    <t>FAMT BTDFP =</t>
  </si>
  <si>
    <t>Factor de Ajuste de Potencia, Media Tensión MTDP</t>
  </si>
  <si>
    <t>FAMT MTDP =</t>
  </si>
  <si>
    <t>Factor de Ajuste de Potencia, Media Tensión MTDFP</t>
  </si>
  <si>
    <t>FAMT MTDFP =</t>
  </si>
  <si>
    <t>Factor de Ajuste de Potencia, Media Tensión BTH</t>
  </si>
  <si>
    <t>FAMT BTH =</t>
  </si>
  <si>
    <t>Factor de Ajuste de Potencia, Media Tensión MTH</t>
  </si>
  <si>
    <t>FAMT MTH =</t>
  </si>
  <si>
    <t>Factor de Ajuste de Potencia, Media Tensión Peaje_BT</t>
  </si>
  <si>
    <t>FAMT Peaje_BT =</t>
  </si>
  <si>
    <t>Factor de Ajuste de Potencia, Media Tensión Peaje_MT</t>
  </si>
  <si>
    <t>FAMT Peaje_MT =</t>
  </si>
  <si>
    <t>(PPST X FCREDMTPEAJEFT_BT X FCIPEAJEFT_BT X (FPPBTP X FPPMTP-1) X FAPOT)</t>
  </si>
  <si>
    <t>(PPST X FCREDMTPEAJEFT_MT X FCIPEAJEFT_MT X (FPPMTP-1) X FAPOT)</t>
  </si>
  <si>
    <t>254-2021</t>
  </si>
  <si>
    <t>30-2022</t>
  </si>
  <si>
    <t>107-2022</t>
  </si>
  <si>
    <t>181-2022</t>
  </si>
  <si>
    <t>246-2022</t>
  </si>
  <si>
    <t>52-2023</t>
  </si>
  <si>
    <t>DEOCSA</t>
  </si>
  <si>
    <t>BTDpA EP=</t>
  </si>
  <si>
    <t>BTDfpA EP=</t>
  </si>
  <si>
    <t>MTDPA EP=</t>
  </si>
  <si>
    <t>MTDfPA EP=</t>
  </si>
  <si>
    <t>BTDpA ED=</t>
  </si>
  <si>
    <t>BTDfpA ED=</t>
  </si>
  <si>
    <t>MTDPA ED=</t>
  </si>
  <si>
    <t>MTDfPA ED=</t>
  </si>
  <si>
    <t>BTDpA EV=</t>
  </si>
  <si>
    <t>BTDfpA EV=</t>
  </si>
  <si>
    <t>MTDPA EV=</t>
  </si>
  <si>
    <t>MTDfPA EV=</t>
  </si>
  <si>
    <t>BTDpA PM=</t>
  </si>
  <si>
    <t>BTDfpA PM=</t>
  </si>
  <si>
    <t>MTDPA PM=</t>
  </si>
  <si>
    <t>MTDfPA PM=</t>
  </si>
  <si>
    <t>BTDpA PC=</t>
  </si>
  <si>
    <t>BTDfpA PC=</t>
  </si>
  <si>
    <t>MTDPA PC=</t>
  </si>
  <si>
    <t>MTDfPA PC=</t>
  </si>
  <si>
    <t>256-2021</t>
  </si>
  <si>
    <t>32-2022</t>
  </si>
  <si>
    <t>109-2022</t>
  </si>
  <si>
    <t>183-2022</t>
  </si>
  <si>
    <t>248-2022</t>
  </si>
  <si>
    <t>54-2023</t>
  </si>
  <si>
    <t>DEORSA</t>
  </si>
  <si>
    <t>Baja Tension con Demanda en Punta Autoproductores (BTDpA)</t>
  </si>
  <si>
    <t>Baja Tension con Demanda fuera de Punta Autoproductores (BTDfpA)</t>
  </si>
  <si>
    <t>Media Tension con Demanda en Punta Autoproductores (MTDPA)</t>
  </si>
  <si>
    <t>Media Tension con Demanda fuera de Punta Autoproductores (MTDfpA)</t>
  </si>
  <si>
    <t>Distribuidora</t>
  </si>
  <si>
    <t>Tarifa</t>
  </si>
  <si>
    <t>EEM</t>
  </si>
  <si>
    <t>DeOCsa</t>
  </si>
  <si>
    <t>DeORsa</t>
  </si>
  <si>
    <t>Contadores</t>
  </si>
  <si>
    <t>Energía en Punta</t>
  </si>
  <si>
    <t>Energía en Valle</t>
  </si>
  <si>
    <t>Energía Intermedia</t>
  </si>
  <si>
    <t>Energía en Valle Adicional</t>
  </si>
  <si>
    <t>Energía Total</t>
  </si>
  <si>
    <t>Cargo Fijo x Cliente</t>
  </si>
  <si>
    <t>Cargo por Energía</t>
  </si>
  <si>
    <t>Demanda en Punta</t>
  </si>
  <si>
    <t>Cargo Ene. Punta</t>
  </si>
  <si>
    <t>Cargo Ene. Intermedia</t>
  </si>
  <si>
    <t>Cargo Ene. Valle</t>
  </si>
  <si>
    <t>Monto Fijo x Cliente</t>
  </si>
  <si>
    <t>Cargo Ene. Valle Adicional</t>
  </si>
  <si>
    <t>Monto Energía</t>
  </si>
  <si>
    <t>Cargo Demanda en Punta</t>
  </si>
  <si>
    <t>Cargo Pot. Contratada</t>
  </si>
  <si>
    <t>Monto Ene. Punta</t>
  </si>
  <si>
    <t>Monto Ene. Intermedia</t>
  </si>
  <si>
    <t>Monto Ene. Valle</t>
  </si>
  <si>
    <t>Monto Ene. Valle Adicional</t>
  </si>
  <si>
    <t>Monto Demanda en Punta</t>
  </si>
  <si>
    <t>Monto Pot. Contratada</t>
  </si>
  <si>
    <t>Total Cargo Sin IVA</t>
  </si>
  <si>
    <t>Tasa Municipal</t>
  </si>
  <si>
    <t>Incumplimiento NTSD</t>
  </si>
  <si>
    <t>Total Cargo Con IVA</t>
  </si>
  <si>
    <t>Promedio</t>
  </si>
  <si>
    <t>ACTUAL</t>
  </si>
  <si>
    <t>CON PLANTA SOLAR</t>
  </si>
  <si>
    <t>BTSA</t>
  </si>
  <si>
    <t>BTSH</t>
  </si>
  <si>
    <t>BTHD</t>
  </si>
  <si>
    <t>BTDA</t>
  </si>
  <si>
    <t>MTHD</t>
  </si>
  <si>
    <t>MTDA</t>
  </si>
  <si>
    <t>BTDpA</t>
  </si>
  <si>
    <t>BTDfpA</t>
  </si>
  <si>
    <t>MTDPA</t>
  </si>
  <si>
    <t>MTDfPA</t>
  </si>
  <si>
    <t>Autoproductores</t>
  </si>
  <si>
    <t>Fecha Factura</t>
  </si>
  <si>
    <t>Paneles</t>
  </si>
  <si>
    <t>Inversión</t>
  </si>
  <si>
    <t>Watts</t>
  </si>
  <si>
    <t>Inversión por Watt</t>
  </si>
  <si>
    <t>Tipo de Cambio</t>
  </si>
  <si>
    <t>Gasto Actual</t>
  </si>
  <si>
    <t>Inversion Total</t>
  </si>
  <si>
    <t>Gasto Proyectado</t>
  </si>
  <si>
    <t>Ahorro Proyectado</t>
  </si>
  <si>
    <t>Ahorro Anual</t>
  </si>
  <si>
    <t>Cargos por Generación y Transporte (BTSA)</t>
  </si>
  <si>
    <t>Cargos por Distribución (BTSA)</t>
  </si>
  <si>
    <t>Desagregación Tarifa</t>
  </si>
  <si>
    <t>BTSA Gen</t>
  </si>
  <si>
    <t>BTSA Dist</t>
  </si>
  <si>
    <t>Cargos por Potencia (BTS)</t>
  </si>
  <si>
    <t>BTS Pot</t>
  </si>
  <si>
    <t>Cargos por Energía (BTS)</t>
  </si>
  <si>
    <t>BTS Ene</t>
  </si>
  <si>
    <t>Zona</t>
  </si>
  <si>
    <t>KWh/m²/año</t>
  </si>
  <si>
    <t>Factor</t>
  </si>
  <si>
    <t>Zona 1</t>
  </si>
  <si>
    <t>Zona 2</t>
  </si>
  <si>
    <t>Zona 3</t>
  </si>
  <si>
    <t>Zona 4</t>
  </si>
  <si>
    <t>Zona 5</t>
  </si>
  <si>
    <t>Zona 6</t>
  </si>
  <si>
    <t>Zona 7</t>
  </si>
  <si>
    <t>Zona 8</t>
  </si>
  <si>
    <t>Zona 9</t>
  </si>
  <si>
    <t>Zona 10</t>
  </si>
  <si>
    <t>Zona 11</t>
  </si>
  <si>
    <t>Zona 12</t>
  </si>
  <si>
    <t>Zona 13</t>
  </si>
  <si>
    <t>Zona 14</t>
  </si>
  <si>
    <t>Zona 15</t>
  </si>
  <si>
    <t>Zona 16</t>
  </si>
  <si>
    <t>Zona 17</t>
  </si>
  <si>
    <t>Zona 18</t>
  </si>
  <si>
    <t>Zona 19</t>
  </si>
  <si>
    <t>Zona 21</t>
  </si>
  <si>
    <t>Zona 24</t>
  </si>
  <si>
    <t>Zona 25</t>
  </si>
  <si>
    <t>Fijo</t>
  </si>
  <si>
    <t>Variable</t>
  </si>
  <si>
    <t>Tope</t>
  </si>
  <si>
    <t>Puerto San José</t>
  </si>
  <si>
    <t>Factor de Potencia</t>
  </si>
  <si>
    <t>rangos</t>
  </si>
  <si>
    <t>Quetzaltepeque</t>
  </si>
  <si>
    <t>Santo Tomás Chichicastenango</t>
  </si>
  <si>
    <t>Santa Lucía La Reforma</t>
  </si>
  <si>
    <t>Pob. 2018</t>
  </si>
  <si>
    <t>Obs</t>
  </si>
  <si>
    <t>Cargo por Distribución</t>
  </si>
  <si>
    <t>Energía Retirada</t>
  </si>
  <si>
    <t>Ajuste</t>
  </si>
  <si>
    <t>x</t>
  </si>
  <si>
    <t>Energía Total Generada</t>
  </si>
  <si>
    <t>Energía Consumida</t>
  </si>
  <si>
    <t>Capacidad Panel (Watts)</t>
  </si>
  <si>
    <t>Horas Solares por Mes</t>
  </si>
  <si>
    <t>Monto por Distribución</t>
  </si>
  <si>
    <t>Inv. X Watt</t>
  </si>
  <si>
    <t>%</t>
  </si>
  <si>
    <t>Ajuste por Estimación</t>
  </si>
  <si>
    <t>EEGSA Autroproductores</t>
  </si>
  <si>
    <t>DEOCSA Autoproductores</t>
  </si>
  <si>
    <t>DEORSA Autoproductores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</si>
</sst>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44" formatCode="_-&quot;Q&quot;* #,##0.00_-;\-&quot;Q&quot;* #,##0.00_-;_-&quot;Q&quot;* &quot;-&quot;??_-;_-@_-"/>
    <numFmt numFmtId="43" formatCode="_-* #,##0.00_-;\-* #,##0.00_-;_-* &quot;-&quot;??_-;_-@_-"/>
    <numFmt numFmtId="164" formatCode="0.0000"/>
    <numFmt numFmtId="165" formatCode="0.000000"/>
    <numFmt numFmtId="166" formatCode="_(* #,##0.00_);_(* \(#,##0.00\);_(* &quot;-&quot;??_);_(@_)"/>
    <numFmt numFmtId="167" formatCode="_(&quot;Q&quot;* #,##0.00_);_(&quot;Q&quot;* \(#,##0.00\);_(&quot;Q&quot;* &quot;-&quot;??_);_(@_)"/>
    <numFmt numFmtId="168" formatCode="0.00;[Red]0.00"/>
    <numFmt numFmtId="169" formatCode="_(* #,##0.0000_);_(* \(#,##0.0000\);_(* &quot;-&quot;??_);_(@_)"/>
    <numFmt numFmtId="170" formatCode="0.0"/>
    <numFmt numFmtId="171" formatCode="0.000"/>
    <numFmt numFmtId="172" formatCode="_(* #,##0.000000_);_(* \(#,##0.000000\);_(* &quot;-&quot;??_);_(@_)"/>
    <numFmt numFmtId="173" formatCode="0.000000%"/>
    <numFmt numFmtId="174" formatCode="dd\-mmm\-yy;@"/>
    <numFmt numFmtId="175" formatCode="_-&quot;Q&quot;* #,##0.000000_-;\-&quot;Q&quot;* #,##0.000000_-;_-&quot;Q&quot;* &quot;-&quot;??_-;_-@_-"/>
    <numFmt numFmtId="176" formatCode="mmm\-yyyy"/>
    <numFmt numFmtId="177" formatCode="_-* #,##0.000000_-;\-* #,##0.000000_-;_-* &quot;-&quot;??_-;_-@_-"/>
    <numFmt numFmtId="178" formatCode="_-* #,##0.0_-;\-* #,##0.0_-;_-* &quot;-&quot;??_-;_-@_-"/>
    <numFmt numFmtId="179" formatCode="_-* #,##0_-;\-* #,##0_-;_-* &quot;-&quot;??_-;_-@_-"/>
    <numFmt numFmtId="180" formatCode="_-&quot;Q&quot;* #,##0.00000_-;\-&quot;Q&quot;* #,##0.00000_-;_-&quot;Q&quot;* &quot;-&quot;??_-;_-@_-"/>
    <numFmt numFmtId="181" formatCode="_-[$$-409]* #,##0.00_ ;_-[$$-409]* \-#,##0.00\ ;_-[$$-409]* &quot;-&quot;??_ ;_-@_ "/>
    <numFmt numFmtId="182" formatCode="0.0%"/>
    <numFmt numFmtId="183" formatCode="_-* #,##0.0000_-;\-* #,##0.0000_-;_-* &quot;-&quot;??_-;_-@_-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6100"/>
      <name val="Calibri"/>
      <family val="2"/>
      <scheme val="minor"/>
    </font>
    <font>
      <sz val="10"/>
      <name val="Arial"/>
      <family val="2"/>
    </font>
    <font>
      <sz val="10"/>
      <color indexed="8"/>
      <name val="Calibri"/>
      <family val="2"/>
      <scheme val="minor"/>
    </font>
    <font>
      <u/>
      <sz val="10"/>
      <color indexed="8"/>
      <name val="Calibri"/>
      <family val="2"/>
      <scheme val="minor"/>
    </font>
    <font>
      <u/>
      <sz val="10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1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4" fillId="0" borderId="0">
      <alignment vertical="top"/>
    </xf>
    <xf numFmtId="0" fontId="8" fillId="0" borderId="0"/>
    <xf numFmtId="167" fontId="8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8" fillId="0" borderId="0"/>
    <xf numFmtId="9" fontId="8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/>
    </xf>
    <xf numFmtId="0" fontId="5" fillId="0" borderId="0" xfId="4" applyFont="1" applyAlignment="1"/>
    <xf numFmtId="165" fontId="5" fillId="0" borderId="0" xfId="4" applyNumberFormat="1" applyFont="1" applyAlignment="1"/>
    <xf numFmtId="0" fontId="5" fillId="3" borderId="0" xfId="4" applyFont="1" applyFill="1" applyAlignment="1"/>
    <xf numFmtId="0" fontId="6" fillId="0" borderId="0" xfId="4" applyFont="1" applyAlignment="1"/>
    <xf numFmtId="165" fontId="7" fillId="2" borderId="0" xfId="3" applyNumberFormat="1" applyFont="1"/>
    <xf numFmtId="165" fontId="5" fillId="0" borderId="0" xfId="5" applyNumberFormat="1" applyFont="1"/>
    <xf numFmtId="0" fontId="9" fillId="0" borderId="0" xfId="4" applyFont="1">
      <alignment vertical="top"/>
    </xf>
    <xf numFmtId="0" fontId="6" fillId="0" borderId="0" xfId="4" applyFont="1" applyAlignment="1">
      <alignment horizontal="center"/>
    </xf>
    <xf numFmtId="0" fontId="5" fillId="4" borderId="3" xfId="4" applyFont="1" applyFill="1" applyBorder="1" applyAlignment="1"/>
    <xf numFmtId="0" fontId="5" fillId="0" borderId="4" xfId="4" applyFont="1" applyBorder="1" applyAlignment="1">
      <alignment horizontal="center"/>
    </xf>
    <xf numFmtId="0" fontId="5" fillId="4" borderId="6" xfId="4" applyFont="1" applyFill="1" applyBorder="1" applyAlignment="1"/>
    <xf numFmtId="166" fontId="5" fillId="0" borderId="7" xfId="4" applyNumberFormat="1" applyFont="1" applyBorder="1" applyAlignment="1"/>
    <xf numFmtId="167" fontId="5" fillId="0" borderId="4" xfId="6" applyFont="1" applyBorder="1"/>
    <xf numFmtId="165" fontId="5" fillId="4" borderId="6" xfId="4" applyNumberFormat="1" applyFont="1" applyFill="1" applyBorder="1" applyAlignment="1"/>
    <xf numFmtId="167" fontId="5" fillId="0" borderId="7" xfId="6" applyFont="1" applyBorder="1"/>
    <xf numFmtId="166" fontId="5" fillId="0" borderId="8" xfId="4" applyNumberFormat="1" applyFont="1" applyBorder="1" applyAlignment="1"/>
    <xf numFmtId="167" fontId="5" fillId="0" borderId="8" xfId="6" applyFont="1" applyBorder="1"/>
    <xf numFmtId="0" fontId="5" fillId="0" borderId="9" xfId="4" applyFont="1" applyBorder="1" applyAlignment="1"/>
    <xf numFmtId="167" fontId="5" fillId="0" borderId="10" xfId="6" applyFont="1" applyBorder="1"/>
    <xf numFmtId="43" fontId="5" fillId="0" borderId="0" xfId="4" applyNumberFormat="1" applyFont="1" applyAlignment="1"/>
    <xf numFmtId="165" fontId="5" fillId="4" borderId="13" xfId="4" applyNumberFormat="1" applyFont="1" applyFill="1" applyBorder="1" applyAlignment="1"/>
    <xf numFmtId="44" fontId="5" fillId="0" borderId="0" xfId="4" applyNumberFormat="1" applyFont="1" applyAlignment="1"/>
    <xf numFmtId="0" fontId="6" fillId="0" borderId="0" xfId="4" applyFont="1">
      <alignment vertical="top"/>
    </xf>
    <xf numFmtId="166" fontId="9" fillId="0" borderId="0" xfId="4" applyNumberFormat="1" applyFont="1">
      <alignment vertical="top"/>
    </xf>
    <xf numFmtId="0" fontId="9" fillId="0" borderId="14" xfId="4" applyFont="1" applyBorder="1">
      <alignment vertical="top"/>
    </xf>
    <xf numFmtId="0" fontId="9" fillId="0" borderId="14" xfId="4" applyFont="1" applyBorder="1" applyAlignment="1">
      <alignment horizontal="center"/>
    </xf>
    <xf numFmtId="166" fontId="5" fillId="0" borderId="14" xfId="7" applyFont="1" applyBorder="1"/>
    <xf numFmtId="4" fontId="9" fillId="0" borderId="0" xfId="4" applyNumberFormat="1" applyFont="1">
      <alignment vertical="top"/>
    </xf>
    <xf numFmtId="166" fontId="9" fillId="0" borderId="14" xfId="4" applyNumberFormat="1" applyFont="1" applyBorder="1">
      <alignment vertical="top"/>
    </xf>
    <xf numFmtId="0" fontId="9" fillId="0" borderId="15" xfId="4" applyFont="1" applyBorder="1">
      <alignment vertical="top"/>
    </xf>
    <xf numFmtId="0" fontId="9" fillId="0" borderId="16" xfId="4" applyFont="1" applyBorder="1" applyAlignment="1">
      <alignment horizontal="center"/>
    </xf>
    <xf numFmtId="0" fontId="9" fillId="0" borderId="16" xfId="4" applyFont="1" applyBorder="1">
      <alignment vertical="top"/>
    </xf>
    <xf numFmtId="4" fontId="9" fillId="0" borderId="17" xfId="4" applyNumberFormat="1" applyFont="1" applyBorder="1">
      <alignment vertical="top"/>
    </xf>
    <xf numFmtId="168" fontId="9" fillId="0" borderId="14" xfId="4" applyNumberFormat="1" applyFont="1" applyBorder="1">
      <alignment vertical="top"/>
    </xf>
    <xf numFmtId="4" fontId="12" fillId="0" borderId="0" xfId="4" applyNumberFormat="1" applyFont="1">
      <alignment vertical="top"/>
    </xf>
    <xf numFmtId="0" fontId="9" fillId="0" borderId="0" xfId="4" applyFont="1" applyAlignment="1">
      <alignment horizontal="center"/>
    </xf>
    <xf numFmtId="0" fontId="9" fillId="0" borderId="9" xfId="4" applyFont="1" applyBorder="1">
      <alignment vertical="top"/>
    </xf>
    <xf numFmtId="9" fontId="9" fillId="0" borderId="10" xfId="4" applyNumberFormat="1" applyFont="1" applyBorder="1" applyAlignment="1">
      <alignment horizontal="center"/>
    </xf>
    <xf numFmtId="169" fontId="9" fillId="0" borderId="10" xfId="4" applyNumberFormat="1" applyFont="1" applyBorder="1">
      <alignment vertical="top"/>
    </xf>
    <xf numFmtId="170" fontId="5" fillId="0" borderId="15" xfId="4" applyNumberFormat="1" applyFont="1" applyBorder="1">
      <alignment vertical="top"/>
    </xf>
    <xf numFmtId="0" fontId="9" fillId="0" borderId="18" xfId="4" applyFont="1" applyBorder="1">
      <alignment vertical="top"/>
    </xf>
    <xf numFmtId="171" fontId="9" fillId="0" borderId="18" xfId="4" applyNumberFormat="1" applyFont="1" applyBorder="1">
      <alignment vertical="top"/>
    </xf>
    <xf numFmtId="9" fontId="9" fillId="0" borderId="18" xfId="4" applyNumberFormat="1" applyFont="1" applyBorder="1">
      <alignment vertical="top"/>
    </xf>
    <xf numFmtId="4" fontId="9" fillId="0" borderId="19" xfId="4" applyNumberFormat="1" applyFont="1" applyBorder="1">
      <alignment vertical="top"/>
    </xf>
    <xf numFmtId="0" fontId="6" fillId="0" borderId="9" xfId="4" applyFont="1" applyBorder="1">
      <alignment vertical="top"/>
    </xf>
    <xf numFmtId="0" fontId="9" fillId="0" borderId="20" xfId="4" applyFont="1" applyBorder="1">
      <alignment vertical="top"/>
    </xf>
    <xf numFmtId="4" fontId="9" fillId="0" borderId="10" xfId="4" applyNumberFormat="1" applyFont="1" applyBorder="1">
      <alignment vertical="top"/>
    </xf>
    <xf numFmtId="0" fontId="9" fillId="0" borderId="4" xfId="4" applyFont="1" applyBorder="1" applyAlignment="1">
      <alignment horizontal="center" vertical="center" wrapText="1"/>
    </xf>
    <xf numFmtId="0" fontId="9" fillId="0" borderId="7" xfId="4" applyFont="1" applyBorder="1">
      <alignment vertical="top"/>
    </xf>
    <xf numFmtId="0" fontId="9" fillId="0" borderId="8" xfId="4" applyFont="1" applyBorder="1">
      <alignment vertical="top"/>
    </xf>
    <xf numFmtId="172" fontId="5" fillId="0" borderId="0" xfId="7" applyNumberFormat="1" applyFont="1" applyBorder="1"/>
    <xf numFmtId="0" fontId="9" fillId="0" borderId="5" xfId="4" applyFont="1" applyBorder="1">
      <alignment vertical="top"/>
    </xf>
    <xf numFmtId="0" fontId="5" fillId="5" borderId="0" xfId="4" applyFont="1" applyFill="1" applyAlignment="1"/>
    <xf numFmtId="165" fontId="5" fillId="5" borderId="0" xfId="4" applyNumberFormat="1" applyFont="1" applyFill="1" applyAlignment="1"/>
    <xf numFmtId="0" fontId="5" fillId="0" borderId="0" xfId="8" applyFont="1" applyAlignment="1">
      <alignment horizontal="right"/>
    </xf>
    <xf numFmtId="172" fontId="5" fillId="0" borderId="0" xfId="7" applyNumberFormat="1" applyFont="1" applyFill="1" applyBorder="1" applyAlignment="1"/>
    <xf numFmtId="0" fontId="5" fillId="0" borderId="0" xfId="4" applyFont="1" applyAlignment="1">
      <alignment horizontal="right"/>
    </xf>
    <xf numFmtId="173" fontId="5" fillId="0" borderId="0" xfId="5" applyNumberFormat="1" applyFont="1"/>
    <xf numFmtId="0" fontId="5" fillId="0" borderId="14" xfId="4" applyFont="1" applyBorder="1" applyAlignment="1"/>
    <xf numFmtId="0" fontId="6" fillId="0" borderId="14" xfId="4" applyFont="1" applyBorder="1" applyAlignment="1">
      <alignment horizontal="center"/>
    </xf>
    <xf numFmtId="10" fontId="5" fillId="0" borderId="14" xfId="9" applyNumberFormat="1" applyFont="1" applyBorder="1" applyAlignment="1"/>
    <xf numFmtId="0" fontId="5" fillId="0" borderId="14" xfId="4" applyFont="1" applyBorder="1" applyAlignment="1">
      <alignment horizontal="center"/>
    </xf>
    <xf numFmtId="172" fontId="5" fillId="0" borderId="14" xfId="7" applyNumberFormat="1" applyFont="1" applyBorder="1"/>
    <xf numFmtId="172" fontId="5" fillId="3" borderId="14" xfId="7" applyNumberFormat="1" applyFont="1" applyFill="1" applyBorder="1"/>
    <xf numFmtId="0" fontId="5" fillId="0" borderId="0" xfId="5" applyFont="1"/>
    <xf numFmtId="0" fontId="5" fillId="3" borderId="0" xfId="5" applyFont="1" applyFill="1"/>
    <xf numFmtId="0" fontId="6" fillId="0" borderId="0" xfId="5" applyFont="1"/>
    <xf numFmtId="0" fontId="5" fillId="0" borderId="4" xfId="6" applyNumberFormat="1" applyFont="1" applyBorder="1"/>
    <xf numFmtId="0" fontId="5" fillId="0" borderId="7" xfId="6" applyNumberFormat="1" applyFont="1" applyBorder="1"/>
    <xf numFmtId="0" fontId="5" fillId="0" borderId="8" xfId="6" applyNumberFormat="1" applyFont="1" applyBorder="1"/>
    <xf numFmtId="10" fontId="5" fillId="3" borderId="14" xfId="9" applyNumberFormat="1" applyFont="1" applyFill="1" applyBorder="1" applyAlignment="1"/>
    <xf numFmtId="0" fontId="5" fillId="0" borderId="0" xfId="8" applyFont="1"/>
    <xf numFmtId="165" fontId="5" fillId="0" borderId="0" xfId="8" applyNumberFormat="1" applyFont="1"/>
    <xf numFmtId="0" fontId="6" fillId="0" borderId="0" xfId="8" applyFont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6" xfId="0" applyBorder="1"/>
    <xf numFmtId="0" fontId="0" fillId="0" borderId="13" xfId="0" applyBorder="1"/>
    <xf numFmtId="14" fontId="9" fillId="0" borderId="0" xfId="4" applyNumberFormat="1" applyFont="1">
      <alignment vertical="top"/>
    </xf>
    <xf numFmtId="176" fontId="12" fillId="0" borderId="0" xfId="4" applyNumberFormat="1" applyFont="1">
      <alignment vertical="top"/>
    </xf>
    <xf numFmtId="176" fontId="6" fillId="0" borderId="0" xfId="4" applyNumberFormat="1" applyFont="1" applyAlignment="1"/>
    <xf numFmtId="175" fontId="0" fillId="0" borderId="0" xfId="0" applyNumberFormat="1"/>
    <xf numFmtId="0" fontId="3" fillId="0" borderId="0" xfId="0" applyFont="1" applyAlignment="1">
      <alignment horizontal="center"/>
    </xf>
    <xf numFmtId="44" fontId="0" fillId="5" borderId="0" xfId="2" applyFont="1" applyFill="1"/>
    <xf numFmtId="44" fontId="0" fillId="5" borderId="21" xfId="2" applyFont="1" applyFill="1" applyBorder="1"/>
    <xf numFmtId="0" fontId="0" fillId="0" borderId="14" xfId="0" applyBorder="1"/>
    <xf numFmtId="175" fontId="0" fillId="5" borderId="14" xfId="2" applyNumberFormat="1" applyFont="1" applyFill="1" applyBorder="1"/>
    <xf numFmtId="0" fontId="0" fillId="0" borderId="14" xfId="0" applyBorder="1" applyAlignment="1">
      <alignment horizontal="center"/>
    </xf>
    <xf numFmtId="179" fontId="0" fillId="5" borderId="14" xfId="1" applyNumberFormat="1" applyFont="1" applyFill="1" applyBorder="1" applyAlignment="1">
      <alignment horizontal="center"/>
    </xf>
    <xf numFmtId="178" fontId="0" fillId="5" borderId="14" xfId="1" applyNumberFormat="1" applyFont="1" applyFill="1" applyBorder="1"/>
    <xf numFmtId="44" fontId="0" fillId="5" borderId="0" xfId="0" applyNumberFormat="1" applyFill="1"/>
    <xf numFmtId="44" fontId="0" fillId="6" borderId="0" xfId="2" applyFont="1" applyFill="1"/>
    <xf numFmtId="44" fontId="0" fillId="6" borderId="0" xfId="0" applyNumberFormat="1" applyFill="1"/>
    <xf numFmtId="179" fontId="0" fillId="6" borderId="14" xfId="1" applyNumberFormat="1" applyFont="1" applyFill="1" applyBorder="1" applyAlignment="1">
      <alignment horizontal="center"/>
    </xf>
    <xf numFmtId="178" fontId="0" fillId="6" borderId="14" xfId="1" applyNumberFormat="1" applyFont="1" applyFill="1" applyBorder="1"/>
    <xf numFmtId="0" fontId="0" fillId="6" borderId="14" xfId="0" applyFill="1" applyBorder="1" applyAlignment="1">
      <alignment horizontal="center"/>
    </xf>
    <xf numFmtId="174" fontId="0" fillId="6" borderId="14" xfId="0" applyNumberFormat="1" applyFill="1" applyBorder="1" applyAlignment="1">
      <alignment horizontal="center"/>
    </xf>
    <xf numFmtId="0" fontId="3" fillId="5" borderId="14" xfId="0" applyFont="1" applyFill="1" applyBorder="1" applyAlignment="1">
      <alignment horizontal="center"/>
    </xf>
    <xf numFmtId="0" fontId="0" fillId="6" borderId="14" xfId="0" applyFill="1" applyBorder="1"/>
    <xf numFmtId="0" fontId="0" fillId="6" borderId="14" xfId="0" applyFill="1" applyBorder="1" applyAlignment="1">
      <alignment horizontal="left"/>
    </xf>
    <xf numFmtId="44" fontId="0" fillId="0" borderId="0" xfId="0" applyNumberFormat="1"/>
    <xf numFmtId="180" fontId="0" fillId="0" borderId="0" xfId="2" applyNumberFormat="1" applyFont="1"/>
    <xf numFmtId="44" fontId="0" fillId="5" borderId="24" xfId="2" applyFont="1" applyFill="1" applyBorder="1"/>
    <xf numFmtId="44" fontId="0" fillId="5" borderId="25" xfId="2" applyFont="1" applyFill="1" applyBorder="1"/>
    <xf numFmtId="44" fontId="0" fillId="5" borderId="23" xfId="2" applyFont="1" applyFill="1" applyBorder="1"/>
    <xf numFmtId="44" fontId="0" fillId="5" borderId="23" xfId="0" applyNumberFormat="1" applyFill="1" applyBorder="1"/>
    <xf numFmtId="0" fontId="12" fillId="0" borderId="0" xfId="4" applyFont="1">
      <alignment vertical="top"/>
    </xf>
    <xf numFmtId="182" fontId="0" fillId="0" borderId="0" xfId="10" applyNumberFormat="1" applyFont="1"/>
    <xf numFmtId="182" fontId="0" fillId="0" borderId="0" xfId="0" applyNumberFormat="1" applyAlignment="1">
      <alignment horizontal="center"/>
    </xf>
    <xf numFmtId="182" fontId="0" fillId="0" borderId="0" xfId="0" applyNumberFormat="1"/>
    <xf numFmtId="182" fontId="0" fillId="7" borderId="0" xfId="10" applyNumberFormat="1" applyFont="1" applyFill="1"/>
    <xf numFmtId="183" fontId="0" fillId="6" borderId="14" xfId="1" applyNumberFormat="1" applyFont="1" applyFill="1" applyBorder="1"/>
    <xf numFmtId="183" fontId="0" fillId="5" borderId="14" xfId="1" applyNumberFormat="1" applyFont="1" applyFill="1" applyBorder="1"/>
    <xf numFmtId="179" fontId="0" fillId="0" borderId="0" xfId="1" applyNumberFormat="1" applyFont="1"/>
    <xf numFmtId="164" fontId="0" fillId="0" borderId="0" xfId="0" applyNumberFormat="1"/>
    <xf numFmtId="0" fontId="0" fillId="8" borderId="0" xfId="0" applyFill="1"/>
    <xf numFmtId="43" fontId="0" fillId="0" borderId="0" xfId="1" applyFont="1"/>
    <xf numFmtId="43" fontId="0" fillId="5" borderId="14" xfId="1" applyFont="1" applyFill="1" applyBorder="1"/>
    <xf numFmtId="179" fontId="0" fillId="5" borderId="0" xfId="1" applyNumberFormat="1" applyFont="1" applyFill="1" applyAlignment="1">
      <alignment horizontal="center"/>
    </xf>
    <xf numFmtId="181" fontId="0" fillId="5" borderId="0" xfId="0" applyNumberFormat="1" applyFill="1"/>
    <xf numFmtId="0" fontId="0" fillId="6" borderId="22" xfId="0" applyFill="1" applyBorder="1" applyAlignment="1">
      <alignment horizontal="center"/>
    </xf>
    <xf numFmtId="179" fontId="0" fillId="5" borderId="14" xfId="0" applyNumberFormat="1" applyFill="1" applyBorder="1"/>
    <xf numFmtId="179" fontId="0" fillId="5" borderId="14" xfId="1" applyNumberFormat="1" applyFont="1" applyFill="1" applyBorder="1"/>
    <xf numFmtId="0" fontId="0" fillId="0" borderId="1" xfId="0" applyBorder="1"/>
    <xf numFmtId="0" fontId="0" fillId="0" borderId="5" xfId="0" applyBorder="1"/>
    <xf numFmtId="0" fontId="0" fillId="0" borderId="11" xfId="0" applyBorder="1"/>
    <xf numFmtId="0" fontId="0" fillId="5" borderId="14" xfId="0" applyFill="1" applyBorder="1" applyAlignment="1">
      <alignment horizontal="center"/>
    </xf>
    <xf numFmtId="9" fontId="0" fillId="5" borderId="14" xfId="10" applyFont="1" applyFill="1" applyBorder="1" applyAlignment="1">
      <alignment horizontal="center"/>
    </xf>
    <xf numFmtId="174" fontId="0" fillId="5" borderId="14" xfId="0" applyNumberFormat="1" applyFill="1" applyBorder="1" applyAlignment="1">
      <alignment horizontal="center"/>
    </xf>
    <xf numFmtId="44" fontId="0" fillId="5" borderId="14" xfId="2" applyFont="1" applyFill="1" applyBorder="1"/>
    <xf numFmtId="177" fontId="0" fillId="6" borderId="14" xfId="1" applyNumberFormat="1" applyFont="1" applyFill="1" applyBorder="1"/>
    <xf numFmtId="177" fontId="0" fillId="5" borderId="14" xfId="1" applyNumberFormat="1" applyFont="1" applyFill="1" applyBorder="1"/>
    <xf numFmtId="43" fontId="0" fillId="0" borderId="0" xfId="0" applyNumberFormat="1"/>
    <xf numFmtId="0" fontId="0" fillId="6" borderId="14" xfId="0" applyFill="1" applyBorder="1" applyAlignment="1">
      <alignment horizontal="left"/>
    </xf>
    <xf numFmtId="0" fontId="6" fillId="4" borderId="5" xfId="4" applyFont="1" applyFill="1" applyBorder="1" applyAlignment="1">
      <alignment horizontal="right"/>
    </xf>
    <xf numFmtId="0" fontId="6" fillId="4" borderId="0" xfId="4" applyFont="1" applyFill="1" applyAlignment="1">
      <alignment horizontal="right"/>
    </xf>
    <xf numFmtId="0" fontId="6" fillId="4" borderId="11" xfId="4" applyFont="1" applyFill="1" applyBorder="1" applyAlignment="1">
      <alignment horizontal="right"/>
    </xf>
    <xf numFmtId="0" fontId="6" fillId="4" borderId="12" xfId="4" applyFont="1" applyFill="1" applyBorder="1" applyAlignment="1">
      <alignment horizontal="right"/>
    </xf>
    <xf numFmtId="0" fontId="6" fillId="4" borderId="1" xfId="4" applyFont="1" applyFill="1" applyBorder="1" applyAlignment="1">
      <alignment horizontal="right"/>
    </xf>
    <xf numFmtId="0" fontId="6" fillId="4" borderId="2" xfId="4" applyFont="1" applyFill="1" applyBorder="1" applyAlignment="1">
      <alignment horizontal="right"/>
    </xf>
    <xf numFmtId="181" fontId="0" fillId="6" borderId="0" xfId="0" applyNumberFormat="1" applyFill="1"/>
  </cellXfs>
  <cellStyles count="11">
    <cellStyle name="Comma" xfId="1" builtinId="3"/>
    <cellStyle name="Comma 2" xfId="7" xr:uid="{00000000-0005-0000-0000-000001000000}"/>
    <cellStyle name="Currency" xfId="2" builtinId="4"/>
    <cellStyle name="Currency 2" xfId="6" xr:uid="{00000000-0005-0000-0000-000002000000}"/>
    <cellStyle name="Good" xfId="3" builtinId="26"/>
    <cellStyle name="Normal" xfId="0" builtinId="0"/>
    <cellStyle name="Normal 2" xfId="4" xr:uid="{00000000-0005-0000-0000-000006000000}"/>
    <cellStyle name="Normal_DeOCsa May-Jul 09" xfId="5" xr:uid="{00000000-0005-0000-0000-000007000000}"/>
    <cellStyle name="Normal_DeORsa May-Jul 09" xfId="8" xr:uid="{00000000-0005-0000-0000-000008000000}"/>
    <cellStyle name="Percent" xfId="10" builtinId="5"/>
    <cellStyle name="Percent 2" xfId="9" xr:uid="{00000000-0005-0000-0000-000009000000}"/>
  </cellStyles>
  <dxfs count="7">
    <dxf>
      <fill>
        <gradientFill>
          <stop position="0">
            <color theme="0"/>
          </stop>
          <stop position="1">
            <color theme="1"/>
          </stop>
        </gradientFill>
      </fill>
    </dxf>
    <dxf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theme="1"/>
        </patternFill>
      </fill>
    </dxf>
    <dxf>
      <fill>
        <patternFill patternType="solid">
          <fgColor auto="1"/>
          <bgColor theme="1"/>
        </patternFill>
      </fill>
    </dxf>
    <dxf>
      <fill>
        <gradientFill>
          <stop position="0">
            <color theme="0"/>
          </stop>
          <stop position="1">
            <color theme="1"/>
          </stop>
        </gradientFill>
      </fill>
    </dxf>
    <dxf>
      <fill>
        <patternFill>
          <bgColor theme="1"/>
        </patternFill>
      </fill>
    </dxf>
    <dxf>
      <fill>
        <patternFill>
          <bgColor theme="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4"/>
  <sheetViews>
    <sheetView workbookViewId="0">
      <selection activeCell="B8" sqref="B8"/>
    </sheetView>
  </sheetViews>
  <sheetFormatPr defaultColWidth="9.109375" defaultRowHeight="14.4" x14ac:dyDescent="0.3"/>
  <cols>
    <col min="1" max="1" width="23.6640625" customWidth="1"/>
    <col min="2" max="2" width="15.6640625" customWidth="1"/>
    <col min="3" max="5" width="15.5546875" customWidth="1"/>
    <col min="8" max="8" width="12.33203125" bestFit="1" customWidth="1"/>
    <col min="9" max="10" width="14.6640625" bestFit="1" customWidth="1"/>
  </cols>
  <sheetData>
    <row r="1" spans="1:10" x14ac:dyDescent="0.3">
      <c r="A1" t="s">
        <v>341</v>
      </c>
      <c r="B1" s="101"/>
    </row>
    <row r="2" spans="1:10" x14ac:dyDescent="0.3">
      <c r="A2" t="s">
        <v>316</v>
      </c>
      <c r="B2" s="136"/>
      <c r="C2" s="136"/>
    </row>
    <row r="3" spans="1:10" x14ac:dyDescent="0.3">
      <c r="A3" t="s">
        <v>703</v>
      </c>
      <c r="B3" s="102"/>
    </row>
    <row r="4" spans="1:10" x14ac:dyDescent="0.3">
      <c r="A4" t="s">
        <v>637</v>
      </c>
      <c r="B4" s="98"/>
      <c r="H4" s="132">
        <f>H28</f>
        <v>0</v>
      </c>
      <c r="I4" s="132">
        <f>I28</f>
        <v>0</v>
      </c>
      <c r="J4" s="132">
        <f>J28</f>
        <v>0</v>
      </c>
    </row>
    <row r="5" spans="1:10" x14ac:dyDescent="0.3">
      <c r="A5" t="s">
        <v>638</v>
      </c>
      <c r="B5" s="129" t="str">
        <f>IF(ISBLANK(B28),"BTS",HLOOKUP(B28,$H$4:$J$5,2,TRUE))</f>
        <v>BTS</v>
      </c>
      <c r="H5" s="129" t="s">
        <v>558</v>
      </c>
      <c r="I5" s="129" t="s">
        <v>560</v>
      </c>
      <c r="J5" s="129" t="s">
        <v>562</v>
      </c>
    </row>
    <row r="7" spans="1:10" x14ac:dyDescent="0.3">
      <c r="A7" s="85" t="s">
        <v>670</v>
      </c>
    </row>
    <row r="8" spans="1:10" x14ac:dyDescent="0.3">
      <c r="A8" s="90" t="s">
        <v>683</v>
      </c>
      <c r="B8" s="99"/>
      <c r="C8" s="131" t="str">
        <f>IFERROR(DATE(YEAR(B8),MONTH(B8)-1,5),"")</f>
        <v/>
      </c>
      <c r="D8" s="131" t="str">
        <f>IFERROR(DATE(YEAR(B8),MONTH(B8)-2,5),"")</f>
        <v/>
      </c>
      <c r="E8" s="100" t="s">
        <v>669</v>
      </c>
      <c r="H8" s="131">
        <f>B8</f>
        <v>0</v>
      </c>
      <c r="I8" s="131">
        <f>B8</f>
        <v>0</v>
      </c>
      <c r="J8" s="131">
        <f>B8</f>
        <v>0</v>
      </c>
    </row>
    <row r="9" spans="1:10" x14ac:dyDescent="0.3">
      <c r="A9" s="88" t="s">
        <v>642</v>
      </c>
      <c r="B9" s="129">
        <v>1</v>
      </c>
      <c r="C9" s="129">
        <v>1</v>
      </c>
      <c r="D9" s="129">
        <v>1</v>
      </c>
      <c r="E9" s="91">
        <f>IFERROR(AVERAGE(B9:D9),"")</f>
        <v>1</v>
      </c>
      <c r="H9" s="129">
        <v>1</v>
      </c>
      <c r="I9" s="129">
        <v>1</v>
      </c>
      <c r="J9" s="129">
        <v>1</v>
      </c>
    </row>
    <row r="10" spans="1:10" x14ac:dyDescent="0.3">
      <c r="A10" s="88" t="s">
        <v>744</v>
      </c>
      <c r="B10" s="91" t="str">
        <f>IFERROR(IF(B25=0,0,ROUND((B25-B15)/(B16+B17/219+B18/219),0)),"")</f>
        <v/>
      </c>
      <c r="C10" s="91" t="str">
        <f t="shared" ref="C10:D10" si="0">IFERROR(IF(C25=0,0,ROUND((C25-C15)/(C16+C17/219+C18/219),0)),"")</f>
        <v/>
      </c>
      <c r="D10" s="91" t="str">
        <f t="shared" si="0"/>
        <v/>
      </c>
      <c r="E10" s="91" t="str">
        <f>IFERROR(AVERAGE(B10:D10),"")</f>
        <v/>
      </c>
      <c r="H10" s="91">
        <v>0</v>
      </c>
      <c r="I10" s="91">
        <v>2501</v>
      </c>
      <c r="J10" s="91">
        <v>50001</v>
      </c>
    </row>
    <row r="11" spans="1:10" x14ac:dyDescent="0.3">
      <c r="A11" s="88" t="s">
        <v>650</v>
      </c>
      <c r="B11" s="92" t="str">
        <f>IFERROR(IF(OR($B5="BTS",$B5="BTSA",$B5="BTSH"),"",ROUND(B$10/730/0.3,1)),"")</f>
        <v/>
      </c>
      <c r="C11" s="92" t="str">
        <f t="shared" ref="C11:D11" si="1">IFERROR(IF(OR($B5="BTS",$B5="BTSA",$B5="BTSH"),"",ROUND(C$10/730/0.3,1)),"")</f>
        <v/>
      </c>
      <c r="D11" s="92" t="str">
        <f t="shared" si="1"/>
        <v/>
      </c>
      <c r="E11" s="92" t="str">
        <f>IFERROR(AVERAGE(B11:D11),"")</f>
        <v/>
      </c>
      <c r="H11" s="92">
        <v>0</v>
      </c>
      <c r="I11" s="92">
        <f>I10/730/0.3</f>
        <v>11.420091324200914</v>
      </c>
      <c r="J11" s="92">
        <f>J10/730/0.3</f>
        <v>228.31506849315068</v>
      </c>
    </row>
    <row r="12" spans="1:10" x14ac:dyDescent="0.3">
      <c r="A12" s="88" t="s">
        <v>541</v>
      </c>
      <c r="B12" s="92" t="str">
        <f>B11</f>
        <v/>
      </c>
      <c r="C12" s="92" t="str">
        <f>C11</f>
        <v/>
      </c>
      <c r="D12" s="92" t="str">
        <f>D11</f>
        <v/>
      </c>
      <c r="E12" s="92" t="str">
        <f>IFERROR(AVERAGE(B12:D12),"")</f>
        <v/>
      </c>
      <c r="H12" s="92">
        <v>0</v>
      </c>
      <c r="I12" s="92">
        <f>I11</f>
        <v>11.420091324200914</v>
      </c>
      <c r="J12" s="92">
        <f>J11</f>
        <v>228.31506849315068</v>
      </c>
    </row>
    <row r="13" spans="1:10" x14ac:dyDescent="0.3">
      <c r="A13" s="88" t="s">
        <v>732</v>
      </c>
      <c r="B13" s="92" t="str">
        <f>IF(ISBLANK(B28),"",0.9)</f>
        <v/>
      </c>
      <c r="C13" s="92" t="str">
        <f>IF(C28=0,"",0.9)</f>
        <v/>
      </c>
      <c r="D13" s="92" t="str">
        <f>IF(D28=0,"",0.9)</f>
        <v/>
      </c>
      <c r="E13" s="92" t="str">
        <f>IFERROR(AVERAGE(B13:D13),"")</f>
        <v/>
      </c>
      <c r="H13" s="92"/>
      <c r="I13" s="92"/>
      <c r="J13" s="92"/>
    </row>
    <row r="15" spans="1:10" x14ac:dyDescent="0.3">
      <c r="A15" s="88" t="s">
        <v>648</v>
      </c>
      <c r="B15" s="89" t="str">
        <f>IFERROR(CHOOSE(VLOOKUP($B$4,Ubicacion!$B$343:$C$347,2,FALSE),HLOOKUP(B$8,'Peaje EEGSA'!$B$115:$K$126,MATCH($B$5,'Peaje EEGSA'!$B$115:$B$126,0),TRUE),HLOOKUP(B$8,'Peaje DeOCsa'!$B$126:$K$139,MATCH($B$5,'Peaje DeOCsa'!$B$126:$B$139,0),TRUE),HLOOKUP(B$8,'Peaje DeORsa'!$B$126:$K$139,MATCH($B$5,'Peaje DeORsa'!$B$126:$B$139,0),TRUE)),"")</f>
        <v/>
      </c>
      <c r="C15" s="89" t="str">
        <f>IFERROR(CHOOSE(VLOOKUP($B$4,Ubicacion!$B$343:$C$347,2,FALSE),HLOOKUP(C$8,'Peaje EEGSA'!$B$115:$K$126,MATCH($B$5,'Peaje EEGSA'!$B$115:$B$126,0),TRUE),HLOOKUP(C$8,'Peaje DeOCsa'!$B$126:$K$139,MATCH($B$5,'Peaje DeOCsa'!$B$126:$B$139,0),TRUE),HLOOKUP(C$8,'Peaje DeORsa'!$B$126:$K$139,MATCH($B$5,'Peaje DeORsa'!$B$126:$B$139,0),TRUE)),"")</f>
        <v/>
      </c>
      <c r="D15" s="89" t="str">
        <f>IFERROR(CHOOSE(VLOOKUP($B$4,Ubicacion!$B$343:$C$347,2,FALSE),HLOOKUP(D$8,'Peaje EEGSA'!$B$115:$K$126,MATCH($B$5,'Peaje EEGSA'!$B$115:$B$126,0),TRUE),HLOOKUP(D$8,'Peaje DeOCsa'!$B$126:$K$139,MATCH($B$5,'Peaje DeOCsa'!$B$126:$B$139,0),TRUE),HLOOKUP(D$8,'Peaje DeORsa'!$B$126:$K$139,MATCH($B$5,'Peaje DeORsa'!$B$126:$B$139,0),TRUE)),"")</f>
        <v/>
      </c>
      <c r="H15" s="89" t="str">
        <f>IFERROR(CHOOSE(VLOOKUP($B$4,Ubicacion!$B$343:$C$347,2,FALSE),HLOOKUP(H$8,'Peaje EEGSA'!$B$115:$K$126,MATCH(H$5,'Peaje EEGSA'!$B$115:$B$126,0),TRUE),HLOOKUP(H$8,'Peaje DeOCsa'!$B$126:$K$139,MATCH(H$5,'Peaje DeOCsa'!$B$126:$B$139,0),TRUE),HLOOKUP(H$8,'Peaje DeORsa'!$B$126:$K$139,MATCH(H$5,'Peaje DeORsa'!$B$126:$B$139,0),TRUE)),"")</f>
        <v/>
      </c>
      <c r="I15" s="89" t="str">
        <f>IFERROR(CHOOSE(VLOOKUP($B$4,Ubicacion!$B$343:$C$347,2,FALSE),HLOOKUP(I$8,'Peaje EEGSA'!$B$115:$K$126,MATCH(I$5,'Peaje EEGSA'!$B$115:$B$126,0),TRUE),HLOOKUP(I$8,'Peaje DeOCsa'!$B$126:$K$139,MATCH(I$5,'Peaje DeOCsa'!$B$126:$B$139,0),TRUE),HLOOKUP(I$8,'Peaje DeORsa'!$B$126:$K$139,MATCH(I$5,'Peaje DeORsa'!$B$126:$B$139,0),TRUE)),"")</f>
        <v/>
      </c>
      <c r="J15" s="89" t="str">
        <f>IFERROR(CHOOSE(VLOOKUP($B$4,Ubicacion!$B$343:$C$347,2,FALSE),HLOOKUP(J$8,'Peaje EEGSA'!$B$115:$K$126,MATCH(J$5,'Peaje EEGSA'!$B$115:$B$126,0),TRUE),HLOOKUP(J$8,'Peaje DeOCsa'!$B$126:$K$139,MATCH(J$5,'Peaje DeOCsa'!$B$126:$B$139,0),TRUE),HLOOKUP(J$8,'Peaje DeORsa'!$B$126:$K$139,MATCH(J$5,'Peaje DeORsa'!$B$126:$B$139,0),TRUE)),"")</f>
        <v/>
      </c>
    </row>
    <row r="16" spans="1:10" x14ac:dyDescent="0.3">
      <c r="A16" s="88" t="s">
        <v>649</v>
      </c>
      <c r="B16" s="89" t="str">
        <f>IFERROR(CHOOSE(VLOOKUP($B$4,Ubicacion!$B$343:$C$347,2,FALSE),HLOOKUP(B$8,'Peaje EEGSA'!$B$128:$K$139,MATCH($B$5,'Peaje EEGSA'!$B$115:$B$126,0),TRUE),HLOOKUP(B$8,'Peaje DeOCsa'!$B$141:$K$154,MATCH($B$5,'Peaje DeOCsa'!$B$126:$B$139,0),TRUE),HLOOKUP(B$8,'Peaje DeORsa'!$B$141:$K$154,MATCH($B$5,'Peaje DeORsa'!$B$126:$B$139,0),TRUE)),"")</f>
        <v/>
      </c>
      <c r="C16" s="89" t="str">
        <f>IFERROR(CHOOSE(VLOOKUP($B$4,Ubicacion!$B$343:$C$347,2,FALSE),HLOOKUP(C$8,'Peaje EEGSA'!$B$128:$K$139,MATCH($B$5,'Peaje EEGSA'!$B$115:$B$126,0),TRUE),HLOOKUP(C$8,'Peaje DeOCsa'!$B$141:$K$154,MATCH($B$5,'Peaje DeOCsa'!$B$126:$B$139,0),TRUE),HLOOKUP(C$8,'Peaje DeORsa'!$B$141:$K$154,MATCH($B$5,'Peaje DeORsa'!$B$126:$B$139,0),TRUE)),"")</f>
        <v/>
      </c>
      <c r="D16" s="89" t="str">
        <f>IFERROR(CHOOSE(VLOOKUP($B$4,Ubicacion!$B$343:$C$347,2,FALSE),HLOOKUP(D$8,'Peaje EEGSA'!$B$128:$K$139,MATCH($B$5,'Peaje EEGSA'!$B$115:$B$126,0),TRUE),HLOOKUP(D$8,'Peaje DeOCsa'!$B$141:$K$154,MATCH($B$5,'Peaje DeOCsa'!$B$126:$B$139,0),TRUE),HLOOKUP(D$8,'Peaje DeORsa'!$B$141:$K$154,MATCH($B$5,'Peaje DeORsa'!$B$126:$B$139,0),TRUE)),"")</f>
        <v/>
      </c>
      <c r="H16" s="89" t="str">
        <f>IFERROR(CHOOSE(VLOOKUP($B$4,Ubicacion!$B$343:$C$347,2,FALSE),HLOOKUP(H$8,'Peaje EEGSA'!$B$128:$K$139,MATCH(H$5,'Peaje EEGSA'!$B$115:$B$126,0),TRUE),HLOOKUP(H$8,'Peaje DeOCsa'!$B$141:$K$154,MATCH(H$5,'Peaje DeOCsa'!$B$126:$B$139,0),TRUE),HLOOKUP(H$8,'Peaje DeORsa'!$B$141:$K$154,MATCH(H$5,'Peaje DeORsa'!$B$126:$B$139,0),TRUE)),"")</f>
        <v/>
      </c>
      <c r="I16" s="89" t="str">
        <f>IFERROR(CHOOSE(VLOOKUP($B$4,Ubicacion!$B$343:$C$347,2,FALSE),HLOOKUP(I$8,'Peaje EEGSA'!$B$128:$K$139,MATCH(I$5,'Peaje EEGSA'!$B$115:$B$126,0),TRUE),HLOOKUP(I$8,'Peaje DeOCsa'!$B$141:$K$154,MATCH(I$5,'Peaje DeOCsa'!$B$126:$B$139,0),TRUE),HLOOKUP(I$8,'Peaje DeORsa'!$B$141:$K$154,MATCH(I$5,'Peaje DeORsa'!$B$126:$B$139,0),TRUE)),"")</f>
        <v/>
      </c>
      <c r="J16" s="89" t="str">
        <f>IFERROR(CHOOSE(VLOOKUP($B$4,Ubicacion!$B$343:$C$347,2,FALSE),HLOOKUP(J$8,'Peaje EEGSA'!$B$128:$K$139,MATCH(J$5,'Peaje EEGSA'!$B$115:$B$126,0),TRUE),HLOOKUP(J$8,'Peaje DeOCsa'!$B$141:$K$154,MATCH(J$5,'Peaje DeOCsa'!$B$126:$B$139,0),TRUE),HLOOKUP(J$8,'Peaje DeORsa'!$B$141:$K$154,MATCH(J$5,'Peaje DeORsa'!$B$126:$B$139,0),TRUE)),"")</f>
        <v/>
      </c>
    </row>
    <row r="17" spans="1:11" x14ac:dyDescent="0.3">
      <c r="A17" s="88" t="s">
        <v>657</v>
      </c>
      <c r="B17" s="89" t="str">
        <f>IFERROR(CHOOSE(VLOOKUP($B$4,Ubicacion!$B$343:$C$347,2,FALSE),HLOOKUP(B$8,'Peaje EEGSA'!$B$172:$K$183,MATCH($B$5,'Peaje EEGSA'!$B$115:$B$126,0),TRUE),HLOOKUP(B$8,'Peaje DeOCsa'!$B$191:$K$204,MATCH($B$5,'Peaje DeOCsa'!$B$126:$B$139,0),TRUE),HLOOKUP(B$8,'Peaje DeORsa'!$B$191:$K$204,MATCH($B$5,'Peaje DeORsa'!$B$126:$B$139,0),TRUE)),"")</f>
        <v/>
      </c>
      <c r="C17" s="89" t="str">
        <f>IFERROR(CHOOSE(VLOOKUP($B$4,Ubicacion!$B$343:$C$347,2,FALSE),HLOOKUP(C$8,'Peaje EEGSA'!$B$172:$K$183,MATCH($B$5,'Peaje EEGSA'!$B$115:$B$126,0),TRUE),HLOOKUP(C$8,'Peaje DeOCsa'!$B$191:$K$204,MATCH($B$5,'Peaje DeOCsa'!$B$126:$B$139,0),TRUE),HLOOKUP(C$8,'Peaje DeORsa'!$B$191:$K$204,MATCH($B$5,'Peaje DeORsa'!$B$126:$B$139,0),TRUE)),"")</f>
        <v/>
      </c>
      <c r="D17" s="89" t="str">
        <f>IFERROR(CHOOSE(VLOOKUP($B$4,Ubicacion!$B$343:$C$347,2,FALSE),HLOOKUP(D$8,'Peaje EEGSA'!$B$172:$K$183,MATCH($B$5,'Peaje EEGSA'!$B$115:$B$126,0),TRUE),HLOOKUP(D$8,'Peaje DeOCsa'!$B$191:$K$204,MATCH($B$5,'Peaje DeOCsa'!$B$126:$B$139,0),TRUE),HLOOKUP(D$8,'Peaje DeORsa'!$B$191:$K$204,MATCH($B$5,'Peaje DeORsa'!$B$126:$B$139,0),TRUE)),"")</f>
        <v/>
      </c>
      <c r="H17" s="89" t="str">
        <f>IFERROR(CHOOSE(VLOOKUP($B$4,Ubicacion!$B$343:$C$347,2,FALSE),HLOOKUP(H$8,'Peaje EEGSA'!$B$172:$K$183,MATCH(H$5,'Peaje EEGSA'!$B$115:$B$126,0),TRUE),HLOOKUP(H$8,'Peaje DeOCsa'!$B$191:$K$204,MATCH(H$5,'Peaje DeOCsa'!$B$126:$B$139,0),TRUE),HLOOKUP(H$8,'Peaje DeORsa'!$B$191:$K$204,MATCH(H$5,'Peaje DeORsa'!$B$126:$B$139,0),TRUE)),"")</f>
        <v/>
      </c>
      <c r="I17" s="89" t="str">
        <f>IFERROR(CHOOSE(VLOOKUP($B$4,Ubicacion!$B$343:$C$347,2,FALSE),HLOOKUP(I$8,'Peaje EEGSA'!$B$172:$K$183,MATCH(I$5,'Peaje EEGSA'!$B$115:$B$126,0),TRUE),HLOOKUP(I$8,'Peaje DeOCsa'!$B$191:$K$204,MATCH(I$5,'Peaje DeOCsa'!$B$126:$B$139,0),TRUE),HLOOKUP(I$8,'Peaje DeORsa'!$B$191:$K$204,MATCH(I$5,'Peaje DeORsa'!$B$126:$B$139,0),TRUE)),"")</f>
        <v/>
      </c>
      <c r="J17" s="89" t="str">
        <f>IFERROR(CHOOSE(VLOOKUP($B$4,Ubicacion!$B$343:$C$347,2,FALSE),HLOOKUP(J$8,'Peaje EEGSA'!$B$172:$K$183,MATCH(J$5,'Peaje EEGSA'!$B$115:$B$126,0),TRUE),HLOOKUP(J$8,'Peaje DeOCsa'!$B$191:$K$204,MATCH(J$5,'Peaje DeOCsa'!$B$126:$B$139,0),TRUE),HLOOKUP(J$8,'Peaje DeORsa'!$B$191:$K$204,MATCH(J$5,'Peaje DeORsa'!$B$126:$B$139,0),TRUE)),"")</f>
        <v/>
      </c>
    </row>
    <row r="18" spans="1:11" x14ac:dyDescent="0.3">
      <c r="A18" s="88" t="s">
        <v>658</v>
      </c>
      <c r="B18" s="89" t="str">
        <f>IFERROR(CHOOSE(VLOOKUP($B$4,Ubicacion!$B$343:$C$347,2,FALSE),HLOOKUP(B$8,'Peaje EEGSA'!$B$185:$K$196,MATCH($B$5,'Peaje EEGSA'!$B$115:$B$126,0),TRUE),HLOOKUP(B$8,'Peaje DeOCsa'!$B$206:$K$219,MATCH($B$5,'Peaje DeOCsa'!$B$126:$B$139,0),TRUE),HLOOKUP(B$8,'Peaje DeORsa'!$B$206:$K$219,MATCH($B$5,'Peaje DeORsa'!$B$126:$B$139,0),TRUE)),"")</f>
        <v/>
      </c>
      <c r="C18" s="89" t="str">
        <f>IFERROR(CHOOSE(VLOOKUP($B$4,Ubicacion!$B$343:$C$347,2,FALSE),HLOOKUP(C$8,'Peaje EEGSA'!$B$185:$K$196,MATCH($B$5,'Peaje EEGSA'!$B$115:$B$126,0),TRUE),HLOOKUP(C$8,'Peaje DeOCsa'!$B$206:$K$219,MATCH($B$5,'Peaje DeOCsa'!$B$126:$B$139,0),TRUE),HLOOKUP(C$8,'Peaje DeORsa'!$B$206:$K$219,MATCH($B$5,'Peaje DeORsa'!$B$126:$B$139,0),TRUE)),"")</f>
        <v/>
      </c>
      <c r="D18" s="89" t="str">
        <f>IFERROR(CHOOSE(VLOOKUP($B$4,Ubicacion!$B$343:$C$347,2,FALSE),HLOOKUP(D$8,'Peaje EEGSA'!$B$185:$K$196,MATCH($B$5,'Peaje EEGSA'!$B$115:$B$126,0),TRUE),HLOOKUP(D$8,'Peaje DeOCsa'!$B$206:$K$219,MATCH($B$5,'Peaje DeOCsa'!$B$126:$B$139,0),TRUE),HLOOKUP(D$8,'Peaje DeORsa'!$B$206:$K$219,MATCH($B$5,'Peaje DeORsa'!$B$126:$B$139,0),TRUE)),"")</f>
        <v/>
      </c>
      <c r="E18" s="84"/>
      <c r="H18" s="89" t="str">
        <f>IFERROR(CHOOSE(VLOOKUP($B$4,Ubicacion!$B$343:$C$347,2,FALSE),HLOOKUP(H$8,'Peaje EEGSA'!$B$185:$K$196,MATCH(H$5,'Peaje EEGSA'!$B$115:$B$126,0),TRUE),HLOOKUP(H$8,'Peaje DeOCsa'!$B$206:$K$219,MATCH(H$5,'Peaje DeOCsa'!$B$126:$B$139,0),TRUE),HLOOKUP(H$8,'Peaje DeORsa'!$B$206:$K$219,MATCH(H$5,'Peaje DeORsa'!$B$126:$B$139,0),TRUE)),"")</f>
        <v/>
      </c>
      <c r="I18" s="89" t="str">
        <f>IFERROR(CHOOSE(VLOOKUP($B$4,Ubicacion!$B$343:$C$347,2,FALSE),HLOOKUP(I$8,'Peaje EEGSA'!$B$185:$K$196,MATCH(I$5,'Peaje EEGSA'!$B$115:$B$126,0),TRUE),HLOOKUP(I$8,'Peaje DeOCsa'!$B$206:$K$219,MATCH(I$5,'Peaje DeOCsa'!$B$126:$B$139,0),TRUE),HLOOKUP(I$8,'Peaje DeORsa'!$B$206:$K$219,MATCH(I$5,'Peaje DeORsa'!$B$126:$B$139,0),TRUE)),"")</f>
        <v/>
      </c>
      <c r="J18" s="89" t="str">
        <f>IFERROR(CHOOSE(VLOOKUP($B$4,Ubicacion!$B$343:$C$347,2,FALSE),HLOOKUP(J$8,'Peaje EEGSA'!$B$185:$K$196,MATCH(J$5,'Peaje EEGSA'!$B$115:$B$126,0),TRUE),HLOOKUP(J$8,'Peaje DeOCsa'!$B$206:$K$219,MATCH(J$5,'Peaje DeOCsa'!$B$126:$B$139,0),TRUE),HLOOKUP(J$8,'Peaje DeORsa'!$B$206:$K$219,MATCH(J$5,'Peaje DeORsa'!$B$126:$B$139,0),TRUE)),"")</f>
        <v/>
      </c>
    </row>
    <row r="19" spans="1:11" x14ac:dyDescent="0.3">
      <c r="E19" s="100" t="s">
        <v>669</v>
      </c>
    </row>
    <row r="20" spans="1:11" x14ac:dyDescent="0.3">
      <c r="A20" t="s">
        <v>654</v>
      </c>
      <c r="B20" s="86" t="str">
        <f>IF(B$28&lt;&gt;0,IFERROR(ROUND(B9*B15,2),0),"")</f>
        <v/>
      </c>
      <c r="C20" s="86" t="str">
        <f t="shared" ref="C20:D20" si="2">IF(C$28&lt;&gt;0,IFERROR(ROUND(C9*C15,2),0),"")</f>
        <v/>
      </c>
      <c r="D20" s="86" t="str">
        <f t="shared" si="2"/>
        <v/>
      </c>
      <c r="E20" s="105" t="str">
        <f>IFERROR(AVERAGE(B20:D20),"")</f>
        <v/>
      </c>
      <c r="H20" s="132">
        <f t="shared" ref="H20:J21" si="3">IFERROR(ROUND(H9*H15,2),0)</f>
        <v>0</v>
      </c>
      <c r="I20" s="132">
        <f t="shared" si="3"/>
        <v>0</v>
      </c>
      <c r="J20" s="132">
        <f t="shared" si="3"/>
        <v>0</v>
      </c>
    </row>
    <row r="21" spans="1:11" x14ac:dyDescent="0.3">
      <c r="A21" t="s">
        <v>656</v>
      </c>
      <c r="B21" s="86" t="str">
        <f>IF(B$28&lt;&gt;0,IFERROR(ROUND(B10*B16,2),0),"")</f>
        <v/>
      </c>
      <c r="C21" s="86" t="str">
        <f t="shared" ref="C21:D21" si="4">IF(C$28&lt;&gt;0,IFERROR(ROUND(C10*C16,2),0),"")</f>
        <v/>
      </c>
      <c r="D21" s="86" t="str">
        <f t="shared" si="4"/>
        <v/>
      </c>
      <c r="E21" s="106" t="str">
        <f>IFERROR(AVERAGE(B21:D21),"")</f>
        <v/>
      </c>
      <c r="H21" s="132">
        <f t="shared" si="3"/>
        <v>0</v>
      </c>
      <c r="I21" s="132">
        <f t="shared" si="3"/>
        <v>0</v>
      </c>
      <c r="J21" s="132">
        <f t="shared" si="3"/>
        <v>0</v>
      </c>
    </row>
    <row r="22" spans="1:11" x14ac:dyDescent="0.3">
      <c r="A22" t="s">
        <v>663</v>
      </c>
      <c r="B22" s="86" t="str">
        <f>IF(B$28&lt;&gt;0,IFERROR(ROUND(B11*B17,2),0),"")</f>
        <v/>
      </c>
      <c r="C22" s="86" t="str">
        <f>IF(C$28&lt;&gt;0,IFERROR(ROUND(C11*C17,2),0),"")</f>
        <v/>
      </c>
      <c r="D22" s="86" t="str">
        <f>IF(D$28&lt;&gt;0,IFERROR(ROUND(D11*D17,2),0),"")</f>
        <v/>
      </c>
      <c r="E22" s="106" t="str">
        <f>IFERROR(AVERAGE(B22:D22),"")</f>
        <v/>
      </c>
      <c r="H22" s="132">
        <f>IFERROR(ROUND(H11*H17,2),0)</f>
        <v>0</v>
      </c>
      <c r="I22" s="132">
        <f t="shared" ref="I22:J22" si="5">IFERROR(ROUND(I11*I17,2),0)</f>
        <v>0</v>
      </c>
      <c r="J22" s="132">
        <f t="shared" si="5"/>
        <v>0</v>
      </c>
    </row>
    <row r="23" spans="1:11" x14ac:dyDescent="0.3">
      <c r="A23" t="s">
        <v>664</v>
      </c>
      <c r="B23" s="86" t="str">
        <f>IF(B$28&lt;&gt;0,IFERROR(ROUND(B12*B18,2),0),"")</f>
        <v/>
      </c>
      <c r="C23" s="86" t="str">
        <f>IF(C$28&lt;&gt;0,IFERROR(ROUND(C12*C18,2),0),"")</f>
        <v/>
      </c>
      <c r="D23" s="86" t="str">
        <f>IF(D$28&lt;&gt;0,IFERROR(ROUND(D12*D18,2),0),"")</f>
        <v/>
      </c>
      <c r="E23" s="106" t="str">
        <f>IFERROR(AVERAGE(B23:D23),"")</f>
        <v/>
      </c>
      <c r="H23" s="132">
        <f>IFERROR(ROUND(H12*H18,2),0)</f>
        <v>0</v>
      </c>
      <c r="I23" s="132">
        <f>IFERROR(ROUND(I12*I18,2),0)</f>
        <v>0</v>
      </c>
      <c r="J23" s="132">
        <f>IFERROR(ROUND(J12*J18,2),0)</f>
        <v>0</v>
      </c>
    </row>
    <row r="24" spans="1:11" x14ac:dyDescent="0.3">
      <c r="A24" t="s">
        <v>750</v>
      </c>
      <c r="B24" s="86" t="str">
        <f>IF(B$28&lt;&gt;0,B25-SUM(B20:B23),"")</f>
        <v/>
      </c>
      <c r="C24" s="86" t="str">
        <f>IF(C$28&lt;&gt;0,IF(C25="",0,C25)-SUM(C20:C23),"")</f>
        <v/>
      </c>
      <c r="D24" s="86" t="str">
        <f>IF(D$28&lt;&gt;0,IF(D25="",0,D25)-SUM(D20:D23),"")</f>
        <v/>
      </c>
      <c r="E24" s="106"/>
      <c r="H24" s="132">
        <v>0</v>
      </c>
      <c r="I24" s="132">
        <v>0</v>
      </c>
      <c r="J24" s="132">
        <v>0</v>
      </c>
    </row>
    <row r="25" spans="1:11" x14ac:dyDescent="0.3">
      <c r="A25" t="s">
        <v>665</v>
      </c>
      <c r="B25" s="87" t="str">
        <f>IF(ISNUMBER(B28),B26/1.12,"")</f>
        <v/>
      </c>
      <c r="C25" s="87" t="str">
        <f>IF(C28=0,"",C26/1.12)</f>
        <v/>
      </c>
      <c r="D25" s="87" t="str">
        <f>IF(D28=0,"",D26/1.12)</f>
        <v/>
      </c>
      <c r="E25" s="107" t="str">
        <f>IFERROR(AVERAGE(B25:D25),"")</f>
        <v/>
      </c>
      <c r="H25" s="132">
        <f>SUM(H20:H24)</f>
        <v>0</v>
      </c>
      <c r="I25" s="132">
        <f>SUM(I20:I24)</f>
        <v>0</v>
      </c>
      <c r="J25" s="132">
        <f>SUM(J20:J24)</f>
        <v>0</v>
      </c>
    </row>
    <row r="26" spans="1:11" x14ac:dyDescent="0.3">
      <c r="A26" t="s">
        <v>668</v>
      </c>
      <c r="B26" s="86" t="str">
        <f>IF(ISNUMBER(B28),B28-B27,"")</f>
        <v/>
      </c>
      <c r="C26" s="86" t="str">
        <f>IF(C28=0,"",C28-C27)</f>
        <v/>
      </c>
      <c r="D26" s="86" t="str">
        <f>IF(D28=0,"",D28-D27)</f>
        <v/>
      </c>
      <c r="E26" s="106" t="str">
        <f>IFERROR(AVERAGE(B26:D26),"")</f>
        <v/>
      </c>
      <c r="H26" s="132">
        <f>SUM(H20:H25)*1.12</f>
        <v>0</v>
      </c>
      <c r="I26" s="132">
        <f t="shared" ref="I26:J26" si="6">SUM(I20:I25)*1.12</f>
        <v>0</v>
      </c>
      <c r="J26" s="132">
        <f t="shared" si="6"/>
        <v>0</v>
      </c>
    </row>
    <row r="27" spans="1:11" x14ac:dyDescent="0.3">
      <c r="A27" t="s">
        <v>666</v>
      </c>
      <c r="B27" s="93" t="str">
        <f>IF(B$28="","",(B28/(1.12+SUMIFS(Ubicacion!$M1:$M341,Ubicacion!$A1:$A341,$B1,Ubicacion!$B1:$B341,$B2)))*SUMIFS(Ubicacion!$M1:$M341,Ubicacion!$A1:$A341,$B1,Ubicacion!$B1:$B341,$B2))</f>
        <v/>
      </c>
      <c r="C27" s="93" t="str">
        <f>IF(C$28=0,"",(C28/(1.12+SUMIFS(Ubicacion!$M1:$M341,Ubicacion!$A1:$A341,$B1,Ubicacion!$B1:$B341,$B2)))*SUMIFS(Ubicacion!$M1:$M341,Ubicacion!$A1:$A341,$B1,Ubicacion!$B1:$B341,$B2))</f>
        <v/>
      </c>
      <c r="D27" s="93" t="str">
        <f>IF(D$28=0,"",(D28/(1.12+SUMIFS(Ubicacion!$M1:$M341,Ubicacion!$A1:$A341,$B1,Ubicacion!$B1:$B341,$B2)))*SUMIFS(Ubicacion!$M1:$M341,Ubicacion!$A1:$A341,$B1,Ubicacion!$B1:$B341,$B2))</f>
        <v/>
      </c>
      <c r="E27" s="106" t="str">
        <f>IFERROR(AVERAGE(B27:D27),"")</f>
        <v/>
      </c>
      <c r="H27" s="132" t="str">
        <f>IF($B$28="","",ROUND((SUMIFS(Ubicacion!$M1:$M341,Ubicacion!$A1:$A341,$B1,Ubicacion!$B1:$B341,$B2)*H25),2))</f>
        <v/>
      </c>
      <c r="I27" s="132" t="str">
        <f>IF($B$28="","",ROUND((SUMIFS(Ubicacion!$M1:$M341,Ubicacion!$A1:$A341,$B1,Ubicacion!$B1:$B341,$B2)*I25),2))</f>
        <v/>
      </c>
      <c r="J27" s="132" t="str">
        <f>IF($B$28="","",ROUND((SUMIFS(Ubicacion!$M1:$M341,Ubicacion!$A1:$A341,$B1,Ubicacion!$B1:$B341,$B2)*J25),2))</f>
        <v/>
      </c>
      <c r="K27" s="117"/>
    </row>
    <row r="28" spans="1:11" x14ac:dyDescent="0.3">
      <c r="A28" t="s">
        <v>463</v>
      </c>
      <c r="B28" s="95"/>
      <c r="C28" s="95">
        <f>B28</f>
        <v>0</v>
      </c>
      <c r="D28" s="95">
        <f>B28</f>
        <v>0</v>
      </c>
      <c r="E28" s="107">
        <f>IFERROR(AVERAGE(B28:D28),"")</f>
        <v>0</v>
      </c>
      <c r="H28" s="132">
        <f>SUM(H26:H27)</f>
        <v>0</v>
      </c>
      <c r="I28" s="132">
        <f>SUM(I26:I27)</f>
        <v>0</v>
      </c>
      <c r="J28" s="132">
        <f>SUM(J26:J27)</f>
        <v>0</v>
      </c>
    </row>
    <row r="30" spans="1:11" ht="15" thickBot="1" x14ac:dyDescent="0.35">
      <c r="A30" s="85" t="s">
        <v>671</v>
      </c>
    </row>
    <row r="31" spans="1:11" ht="15" thickBot="1" x14ac:dyDescent="0.35">
      <c r="A31" t="s">
        <v>638</v>
      </c>
      <c r="B31" s="123" t="s">
        <v>672</v>
      </c>
    </row>
    <row r="32" spans="1:11" x14ac:dyDescent="0.3">
      <c r="A32" t="s">
        <v>746</v>
      </c>
      <c r="B32" s="120">
        <f>SUMIFS(Ubicacion!$U$2:$U$363,Ubicacion!$Q$2:$Q$363,$B$1,Ubicacion!$R$2:$R$363,$B$2,Ubicacion!$S$2:$S$363,$B$3)</f>
        <v>0</v>
      </c>
      <c r="C32" s="120">
        <f>SUMIFS(Ubicacion!$U$2:$U$363,Ubicacion!$Q$2:$Q$363,$B$1,Ubicacion!$R$2:$R$363,$B$2,Ubicacion!$S$2:$S$363,$B$3)</f>
        <v>0</v>
      </c>
      <c r="D32" s="120">
        <f>SUMIFS(Ubicacion!$U$2:$U$363,Ubicacion!$Q$2:$Q$363,$B$1,Ubicacion!$R$2:$R$363,$B$2,Ubicacion!$S$2:$S$363,$B$3)</f>
        <v>0</v>
      </c>
    </row>
    <row r="33" spans="1:5" x14ac:dyDescent="0.3">
      <c r="A33" t="s">
        <v>743</v>
      </c>
      <c r="B33" s="120" t="str">
        <f>IF(B10="","",B32*$B56)</f>
        <v/>
      </c>
      <c r="C33" s="120" t="str">
        <f>IF(C10="","",C32*$B56)</f>
        <v/>
      </c>
      <c r="D33" s="120" t="str">
        <f>IF(D10="","",D32*$B56)</f>
        <v/>
      </c>
    </row>
    <row r="34" spans="1:5" x14ac:dyDescent="0.3">
      <c r="A34" t="s">
        <v>744</v>
      </c>
      <c r="B34" s="124" t="str">
        <f>IF(B33="","",IF(B10-B33&lt;0,0,ROUND(B10-B33,0)))</f>
        <v/>
      </c>
      <c r="C34" s="124" t="str">
        <f>IF(C33="","",IF(C10-C33&lt;0,0,ROUND(C10-C33,0)))</f>
        <v/>
      </c>
      <c r="D34" s="124" t="str">
        <f>IF(D33="","",IF(D10-D33&lt;0,0,ROUND(D10-D33,0)))</f>
        <v/>
      </c>
    </row>
    <row r="35" spans="1:5" x14ac:dyDescent="0.3">
      <c r="A35" t="s">
        <v>740</v>
      </c>
      <c r="B35" s="125" t="str">
        <f>IF(B10="","",ROUND(B10*0.55,0))</f>
        <v/>
      </c>
      <c r="C35" s="125" t="str">
        <f>IF(C10="","",ROUND(C10*0.55,0))</f>
        <v/>
      </c>
      <c r="D35" s="125" t="str">
        <f>IF(D10="","",ROUND(D10*0.55,0))</f>
        <v/>
      </c>
    </row>
    <row r="37" spans="1:5" x14ac:dyDescent="0.3">
      <c r="A37" s="88" t="s">
        <v>648</v>
      </c>
      <c r="B37" s="89" t="str">
        <f>IFERROR(CHOOSE(VLOOKUP($B4,Ubicacion!$B$343:$C$347,2,FALSE),HLOOKUP(B$8,'Peaje EEGSA'!$B$115:$K$126,MATCH($B$31,'Peaje EEGSA'!$B$115:$B$126,0),TRUE),HLOOKUP(B$8,'Peaje DeOCsa'!$B$126:$K$139,MATCH($B$31,'Peaje DeOCsa'!$B$126:$B$139,0),TRUE),HLOOKUP(B$8,'Peaje DeORsa'!$B$126:$K$139,MATCH($B$31,'Peaje DeORsa'!$B$126:$B$139,0),TRUE)),"")</f>
        <v/>
      </c>
      <c r="C37" s="89" t="str">
        <f>IFERROR(CHOOSE(VLOOKUP($B4,Ubicacion!$B$343:$C$347,2,FALSE),HLOOKUP(C$8,'Peaje EEGSA'!$B$115:$K$126,MATCH($B$31,'Peaje EEGSA'!$B$115:$B$126,0),TRUE),HLOOKUP(C$8,'Peaje DeOCsa'!$B$126:$K$139,MATCH($B$31,'Peaje DeOCsa'!$B$126:$B$139,0),TRUE),HLOOKUP(C$8,'Peaje DeORsa'!$B$126:$K$139,MATCH($B$31,'Peaje DeORsa'!$B$126:$B$139,0),TRUE)),"")</f>
        <v/>
      </c>
      <c r="D37" s="89" t="str">
        <f>IFERROR(CHOOSE(VLOOKUP($B4,Ubicacion!$B$343:$C$347,2,FALSE),HLOOKUP(D$8,'Peaje EEGSA'!$B$115:$K$126,MATCH($B$31,'Peaje EEGSA'!$B$115:$B$126,0),TRUE),HLOOKUP(D$8,'Peaje DeOCsa'!$B$126:$K$139,MATCH($B$31,'Peaje DeOCsa'!$B$126:$B$139,0),TRUE),HLOOKUP(D$8,'Peaje DeORsa'!$B$126:$K$139,MATCH($B$31,'Peaje DeORsa'!$B$126:$B$139,0),TRUE)),"")</f>
        <v/>
      </c>
    </row>
    <row r="38" spans="1:5" x14ac:dyDescent="0.3">
      <c r="A38" s="88" t="s">
        <v>739</v>
      </c>
      <c r="B38" s="89" t="str">
        <f>IF($B31="BTSA",IFERROR(CHOOSE(VLOOKUP($B4,Ubicacion!$B$343:$C$347,2,FALSE),HLOOKUP(B$8,'Peaje EEGSA'!$B$109:$K$113,5,TRUE),HLOOKUP(B$8,'Peaje DeOCsa'!$B$120:$K$124,5,TRUE),HLOOKUP(B$8,'Peaje DeORsa'!$B$120:$K$124,5,TRUE)),""),"")</f>
        <v/>
      </c>
      <c r="C38" s="89" t="str">
        <f>IF($B31="BTSA",IFERROR(CHOOSE(VLOOKUP($B4,Ubicacion!$B$343:$C$347,2,FALSE),HLOOKUP(C$8,'Peaje EEGSA'!$B$109:$K$113,5,TRUE),HLOOKUP(C$8,'Peaje DeOCsa'!$B$120:$K$124,5,TRUE),HLOOKUP(C$8,'Peaje DeORsa'!$B$120:$K$124,5,TRUE)),""),"")</f>
        <v/>
      </c>
      <c r="D38" s="89" t="str">
        <f>IF($B31="BTSA",IFERROR(CHOOSE(VLOOKUP($B4,Ubicacion!$B$343:$C$347,2,FALSE),HLOOKUP(D$8,'Peaje EEGSA'!$B$109:$K$113,5,TRUE),HLOOKUP(D$8,'Peaje DeOCsa'!$B$120:$K$124,5,TRUE),HLOOKUP(D$8,'Peaje DeORsa'!$B$120:$K$124,5,TRUE)),""),"")</f>
        <v/>
      </c>
    </row>
    <row r="39" spans="1:5" x14ac:dyDescent="0.3">
      <c r="A39" s="88" t="s">
        <v>649</v>
      </c>
      <c r="B39" s="89" t="str">
        <f>IFERROR(CHOOSE(VLOOKUP($B4,Ubicacion!$B$343:$C$347,2,FALSE),HLOOKUP(B$8,'Peaje EEGSA'!$B$128:$K$139,MATCH($B$31,'Peaje EEGSA'!$B$115:$B$126,0),TRUE),HLOOKUP(B$8,'Peaje DeOCsa'!$B$141:$K$154,MATCH($B$31,'Peaje DeOCsa'!$B$126:$B$139,0),TRUE),HLOOKUP(B$8,'Peaje DeORsa'!$B$141:$K$154,MATCH($B$31,'Peaje DeORsa'!$B$126:$B$139,0),TRUE)),"")</f>
        <v/>
      </c>
      <c r="C39" s="89" t="str">
        <f>IFERROR(CHOOSE(VLOOKUP($B4,Ubicacion!$B$343:$C$347,2,FALSE),HLOOKUP(C$8,'Peaje EEGSA'!$B$128:$K$139,MATCH($B$31,'Peaje EEGSA'!$B$115:$B$126,0),TRUE),HLOOKUP(C$8,'Peaje DeOCsa'!$B$141:$K$154,MATCH($B$31,'Peaje DeOCsa'!$B$126:$B$139,0),TRUE),HLOOKUP(C$8,'Peaje DeORsa'!$B$141:$K$154,MATCH($B$31,'Peaje DeORsa'!$B$126:$B$139,0),TRUE)),"")</f>
        <v/>
      </c>
      <c r="D39" s="89" t="str">
        <f>IFERROR(CHOOSE(VLOOKUP($B4,Ubicacion!$B$343:$C$347,2,FALSE),HLOOKUP(D$8,'Peaje EEGSA'!$B$128:$K$139,MATCH($B$31,'Peaje EEGSA'!$B$115:$B$126,0),TRUE),HLOOKUP(D$8,'Peaje DeOCsa'!$B$141:$K$154,MATCH($B$31,'Peaje DeOCsa'!$B$126:$B$139,0),TRUE),HLOOKUP(D$8,'Peaje DeORsa'!$B$141:$K$154,MATCH($B$31,'Peaje DeORsa'!$B$126:$B$139,0),TRUE)),"")</f>
        <v/>
      </c>
    </row>
    <row r="40" spans="1:5" x14ac:dyDescent="0.3">
      <c r="A40" s="88" t="s">
        <v>657</v>
      </c>
      <c r="B40" s="89" t="str">
        <f>IFERROR(CHOOSE(VLOOKUP($B4,Ubicacion!$B$343:$C$347,2,FALSE),HLOOKUP(B$8,'Peaje EEGSA'!$B$172:$K$183,MATCH($B$31,'Peaje EEGSA'!$B$115:$B$126,0),TRUE),HLOOKUP(B$8,'Peaje DeOCsa'!$B$191:$K$204,MATCH($B$31,'Peaje DeOCsa'!$B$126:$B$139,0),TRUE),HLOOKUP(B$8,'Peaje DeORsa'!$B$191:$K$204,MATCH($B$31,'Peaje DeORsa'!$B$126:$B$139,0),TRUE)),"")</f>
        <v/>
      </c>
      <c r="C40" s="89" t="str">
        <f>IFERROR(CHOOSE(VLOOKUP($B4,Ubicacion!$B$343:$C$347,2,FALSE),HLOOKUP(C$8,'Peaje EEGSA'!$B$172:$K$183,MATCH($B$31,'Peaje EEGSA'!$B$115:$B$126,0),TRUE),HLOOKUP(C$8,'Peaje DeOCsa'!$B$191:$K$204,MATCH($B$31,'Peaje DeOCsa'!$B$126:$B$139,0),TRUE),HLOOKUP(C$8,'Peaje DeORsa'!$B$191:$K$204,MATCH($B$31,'Peaje DeORsa'!$B$126:$B$139,0),TRUE)),"")</f>
        <v/>
      </c>
      <c r="D40" s="89" t="str">
        <f>IFERROR(CHOOSE(VLOOKUP($B4,Ubicacion!$B$343:$C$347,2,FALSE),HLOOKUP(D$8,'Peaje EEGSA'!$B$172:$K$183,MATCH($B$31,'Peaje EEGSA'!$B$115:$B$126,0),TRUE),HLOOKUP(D$8,'Peaje DeOCsa'!$B$191:$K$204,MATCH($B$31,'Peaje DeOCsa'!$B$126:$B$139,0),TRUE),HLOOKUP(D$8,'Peaje DeORsa'!$B$191:$K$204,MATCH($B$31,'Peaje DeORsa'!$B$126:$B$139,0),TRUE)),"")</f>
        <v/>
      </c>
    </row>
    <row r="41" spans="1:5" x14ac:dyDescent="0.3">
      <c r="A41" s="88" t="s">
        <v>658</v>
      </c>
      <c r="B41" s="89" t="str">
        <f>IFERROR(CHOOSE(VLOOKUP($B4,Ubicacion!$B$343:$C$347,2,FALSE),HLOOKUP(B$8,'Peaje EEGSA'!$B$185:$K$196,MATCH($B$31,'Peaje EEGSA'!$B$115:$B$126,0),TRUE),HLOOKUP(B$8,'Peaje DeOCsa'!$B$206:$K$219,MATCH($B$31,'Peaje DeOCsa'!$B$126:$B$139,0),TRUE),HLOOKUP(B$8,'Peaje DeORsa'!$B$206:$K$219,MATCH($B$31,'Peaje DeORsa'!$B$126:$B$139,0),TRUE)),"")</f>
        <v/>
      </c>
      <c r="C41" s="89" t="str">
        <f>IFERROR(CHOOSE(VLOOKUP($B4,Ubicacion!$B$343:$C$347,2,FALSE),HLOOKUP(C$8,'Peaje EEGSA'!$B$185:$K$196,MATCH($B$31,'Peaje EEGSA'!$B$115:$B$126,0),TRUE),HLOOKUP(C$8,'Peaje DeOCsa'!$B$206:$K$219,MATCH($B$31,'Peaje DeOCsa'!$B$126:$B$139,0),TRUE),HLOOKUP(C$8,'Peaje DeORsa'!$B$206:$K$219,MATCH($B$31,'Peaje DeORsa'!$B$126:$B$139,0),TRUE)),"")</f>
        <v/>
      </c>
      <c r="D41" s="89" t="str">
        <f>IFERROR(CHOOSE(VLOOKUP($B4,Ubicacion!$B$343:$C$347,2,FALSE),HLOOKUP(D$8,'Peaje EEGSA'!$B$185:$K$196,MATCH($B$31,'Peaje EEGSA'!$B$115:$B$126,0),TRUE),HLOOKUP(D$8,'Peaje DeOCsa'!$B$206:$K$219,MATCH($B$31,'Peaje DeOCsa'!$B$126:$B$139,0),TRUE),HLOOKUP(D$8,'Peaje DeORsa'!$B$206:$K$219,MATCH($B$31,'Peaje DeORsa'!$B$126:$B$139,0),TRUE)),"")</f>
        <v/>
      </c>
    </row>
    <row r="43" spans="1:5" x14ac:dyDescent="0.3">
      <c r="E43" s="100" t="s">
        <v>669</v>
      </c>
    </row>
    <row r="44" spans="1:5" x14ac:dyDescent="0.3">
      <c r="A44" t="s">
        <v>654</v>
      </c>
      <c r="B44" s="86" t="str">
        <f>IFERROR(B37*B9,"")</f>
        <v/>
      </c>
      <c r="C44" s="86" t="str">
        <f>IFERROR(C37*C9,"")</f>
        <v/>
      </c>
      <c r="D44" s="86" t="str">
        <f>IFERROR(D37*D9,"")</f>
        <v/>
      </c>
      <c r="E44" s="105" t="str">
        <f>IFERROR(AVERAGE(B44:D44),"")</f>
        <v/>
      </c>
    </row>
    <row r="45" spans="1:5" x14ac:dyDescent="0.3">
      <c r="A45" t="s">
        <v>747</v>
      </c>
      <c r="B45" s="86" t="str">
        <f>IFERROR(IF($B31="BTSA",B38*B35,""),"")</f>
        <v/>
      </c>
      <c r="C45" s="86" t="str">
        <f t="shared" ref="C45:D45" si="7">IFERROR(IF($B31="BTSA",C38*C35,""),"")</f>
        <v/>
      </c>
      <c r="D45" s="86" t="str">
        <f t="shared" si="7"/>
        <v/>
      </c>
      <c r="E45" s="106"/>
    </row>
    <row r="46" spans="1:5" x14ac:dyDescent="0.3">
      <c r="A46" t="s">
        <v>656</v>
      </c>
      <c r="B46" s="86" t="str">
        <f>IFERROR(B34*B39,"")</f>
        <v/>
      </c>
      <c r="C46" s="86" t="str">
        <f t="shared" ref="C46:D46" si="8">IFERROR(C34*C39,"")</f>
        <v/>
      </c>
      <c r="D46" s="86" t="str">
        <f t="shared" si="8"/>
        <v/>
      </c>
      <c r="E46" s="106" t="str">
        <f t="shared" ref="E46:E53" si="9">IFERROR(AVERAGE(B46:D46),"")</f>
        <v/>
      </c>
    </row>
    <row r="47" spans="1:5" x14ac:dyDescent="0.3">
      <c r="A47" t="s">
        <v>663</v>
      </c>
      <c r="B47" s="86" t="str">
        <f>IFERROR(B40*B11,"")</f>
        <v/>
      </c>
      <c r="C47" s="86" t="str">
        <f>IFERROR(C40*C11,"")</f>
        <v/>
      </c>
      <c r="D47" s="86" t="str">
        <f>IFERROR(D40*D11,"")</f>
        <v/>
      </c>
      <c r="E47" s="106" t="str">
        <f t="shared" si="9"/>
        <v/>
      </c>
    </row>
    <row r="48" spans="1:5" x14ac:dyDescent="0.3">
      <c r="A48" t="s">
        <v>664</v>
      </c>
      <c r="B48" s="86" t="str">
        <f>IFERROR(B12*B41,"")</f>
        <v/>
      </c>
      <c r="C48" s="86" t="str">
        <f>IFERROR(C12*C41,"")</f>
        <v/>
      </c>
      <c r="D48" s="86" t="str">
        <f>IFERROR(D12*D41,"")</f>
        <v/>
      </c>
      <c r="E48" s="106" t="str">
        <f t="shared" si="9"/>
        <v/>
      </c>
    </row>
    <row r="49" spans="1:5" x14ac:dyDescent="0.3">
      <c r="A49" t="s">
        <v>665</v>
      </c>
      <c r="B49" s="87" t="str">
        <f t="shared" ref="B49:C49" si="10">IF(SUM(B44:B48)=0,"",SUM(B44:B48))</f>
        <v/>
      </c>
      <c r="C49" s="87" t="str">
        <f t="shared" si="10"/>
        <v/>
      </c>
      <c r="D49" s="87" t="str">
        <f>IF(SUM(D44:D48)=0,"",SUM(D44:D48))</f>
        <v/>
      </c>
      <c r="E49" s="107" t="str">
        <f t="shared" si="9"/>
        <v/>
      </c>
    </row>
    <row r="50" spans="1:5" x14ac:dyDescent="0.3">
      <c r="A50" t="s">
        <v>668</v>
      </c>
      <c r="B50" s="86" t="str">
        <f t="shared" ref="B50:C50" si="11">IFERROR(B49*1.12,"")</f>
        <v/>
      </c>
      <c r="C50" s="86" t="str">
        <f t="shared" si="11"/>
        <v/>
      </c>
      <c r="D50" s="86" t="str">
        <f>IFERROR(D49*1.12,"")</f>
        <v/>
      </c>
      <c r="E50" s="106" t="str">
        <f t="shared" si="9"/>
        <v/>
      </c>
    </row>
    <row r="51" spans="1:5" x14ac:dyDescent="0.3">
      <c r="A51" t="s">
        <v>667</v>
      </c>
      <c r="B51" s="94" t="str">
        <f>IF(B49="","",IF(B13&lt;0.9,(0.9-B13)*100*0.03*B48,0))</f>
        <v/>
      </c>
      <c r="C51" s="94" t="str">
        <f t="shared" ref="C51:D51" si="12">IF(C49="","",IF(C13&lt;0.9,(0.9-C13)*100*0.03*C48,0))</f>
        <v/>
      </c>
      <c r="D51" s="94" t="str">
        <f t="shared" si="12"/>
        <v/>
      </c>
      <c r="E51" s="106" t="str">
        <f t="shared" si="9"/>
        <v/>
      </c>
    </row>
    <row r="52" spans="1:5" x14ac:dyDescent="0.3">
      <c r="A52" t="s">
        <v>666</v>
      </c>
      <c r="B52" s="95" t="str">
        <f>IF(B$50="","",IF(ISNUMBER(B$49),SUMIFS(Ubicacion!$M1:$M341,Ubicacion!$A1:$A341,$B1,Ubicacion!$B1:$B341,$B2),0)*(IFERROR((B51/1.12),0)+IF(ISNUMBER(B$49),B$49,0)))</f>
        <v/>
      </c>
      <c r="C52" s="95" t="str">
        <f>IF(C$50="","",IF(ISNUMBER(C$49),SUMIFS(Ubicacion!$M1:$M341,Ubicacion!$A1:$A341,$B1,Ubicacion!$B1:$B341,$B2),0)*(IFERROR((C51/1.12),0)+IF(ISNUMBER(C$49),C$49,0)))</f>
        <v/>
      </c>
      <c r="D52" s="95" t="str">
        <f>IF(D$50="","",IF(ISNUMBER(D$49),SUMIFS(Ubicacion!$M1:$M341,Ubicacion!$A1:$A341,$B1,Ubicacion!$B1:$B341,$B2),0)*(IFERROR((D51/1.12),0)+IF(ISNUMBER(D$49),D$49,0)))</f>
        <v/>
      </c>
      <c r="E52" s="106" t="str">
        <f t="shared" si="9"/>
        <v/>
      </c>
    </row>
    <row r="53" spans="1:5" x14ac:dyDescent="0.3">
      <c r="A53" t="s">
        <v>463</v>
      </c>
      <c r="B53" s="93" t="str">
        <f t="shared" ref="B53:C53" si="13">IF(SUM(B50:B52)=0,"",SUM(B50:B52))</f>
        <v/>
      </c>
      <c r="C53" s="93" t="str">
        <f t="shared" si="13"/>
        <v/>
      </c>
      <c r="D53" s="93" t="str">
        <f>IF(SUM(D50:D52)=0,"",SUM(D50:D52))</f>
        <v/>
      </c>
      <c r="E53" s="108" t="str">
        <f t="shared" si="9"/>
        <v/>
      </c>
    </row>
    <row r="55" spans="1:5" x14ac:dyDescent="0.3">
      <c r="A55" s="85" t="s">
        <v>685</v>
      </c>
    </row>
    <row r="56" spans="1:5" x14ac:dyDescent="0.3">
      <c r="A56" t="s">
        <v>684</v>
      </c>
      <c r="B56" s="121">
        <f>IFERROR(ROUNDUP(E10/B32,0),0)</f>
        <v>0</v>
      </c>
    </row>
    <row r="57" spans="1:5" x14ac:dyDescent="0.3">
      <c r="A57" t="s">
        <v>745</v>
      </c>
      <c r="B57" s="121">
        <v>550</v>
      </c>
      <c r="C57" t="s">
        <v>686</v>
      </c>
    </row>
    <row r="58" spans="1:5" x14ac:dyDescent="0.3">
      <c r="A58" t="s">
        <v>687</v>
      </c>
      <c r="B58" s="122">
        <f>IFERROR(SUMIFS(Ubicacion!$P$2:$P$341,Ubicacion!A2:A341,B1,Ubicacion!B2:B341,B2),"")</f>
        <v>0</v>
      </c>
    </row>
    <row r="59" spans="1:5" x14ac:dyDescent="0.3">
      <c r="A59" t="s">
        <v>688</v>
      </c>
      <c r="B59" s="104">
        <v>7.8</v>
      </c>
    </row>
    <row r="60" spans="1:5" x14ac:dyDescent="0.3">
      <c r="A60" t="s">
        <v>690</v>
      </c>
      <c r="B60" s="103">
        <f>B58*B57*B56*B59</f>
        <v>0</v>
      </c>
    </row>
    <row r="61" spans="1:5" x14ac:dyDescent="0.3">
      <c r="A61" t="s">
        <v>689</v>
      </c>
      <c r="B61" s="103">
        <f>E28</f>
        <v>0</v>
      </c>
    </row>
    <row r="62" spans="1:5" x14ac:dyDescent="0.3">
      <c r="A62" t="s">
        <v>691</v>
      </c>
      <c r="B62" s="103" t="str">
        <f>E53</f>
        <v/>
      </c>
    </row>
    <row r="63" spans="1:5" x14ac:dyDescent="0.3">
      <c r="A63" t="s">
        <v>692</v>
      </c>
      <c r="B63" s="103" t="str">
        <f>IFERROR(B61-B62,"")</f>
        <v/>
      </c>
    </row>
    <row r="64" spans="1:5" x14ac:dyDescent="0.3">
      <c r="A64" t="s">
        <v>693</v>
      </c>
      <c r="B64" s="103" t="str">
        <f>IFERROR(B63*12,"")</f>
        <v/>
      </c>
    </row>
  </sheetData>
  <mergeCells count="1">
    <mergeCell ref="B2:C2"/>
  </mergeCells>
  <conditionalFormatting sqref="B10:E10">
    <cfRule type="expression" dxfId="6" priority="3">
      <formula>IF(OR($B$5="BTSH",$B$5="BTHD",$B$5="MTHD"),1,0)</formula>
    </cfRule>
  </conditionalFormatting>
  <conditionalFormatting sqref="H10:J10">
    <cfRule type="expression" dxfId="5" priority="2">
      <formula>IF(OR($B$5="BTSH",$B$5="BTHD",$B$5="MTHD"),1,0)</formula>
    </cfRule>
  </conditionalFormatting>
  <conditionalFormatting sqref="B3">
    <cfRule type="expression" dxfId="4" priority="1">
      <formula>IF($B$2&lt;&gt;"Ciudad de Guatemala",1,0)</formula>
    </cfRule>
  </conditionalFormatting>
  <dataValidations count="6">
    <dataValidation type="list" allowBlank="1" showInputMessage="1" showErrorMessage="1" sqref="B3" xr:uid="{00000000-0002-0000-0000-000000000000}">
      <formula1>INDIRECT(SUBSTITUTE(B1&amp;" "&amp;B2," ","_"))</formula1>
    </dataValidation>
    <dataValidation type="list" allowBlank="1" showInputMessage="1" showErrorMessage="1" sqref="B2" xr:uid="{00000000-0002-0000-0000-000001000000}">
      <formula1>INDIRECT(SUBSTITUTE(B1," ","_"))</formula1>
    </dataValidation>
    <dataValidation type="list" allowBlank="1" showInputMessage="1" showErrorMessage="1" sqref="B1" xr:uid="{00000000-0002-0000-0000-000002000000}">
      <formula1>Departamento</formula1>
    </dataValidation>
    <dataValidation type="list" allowBlank="1" showInputMessage="1" showErrorMessage="1" sqref="B5" xr:uid="{00000000-0002-0000-0000-000003000000}">
      <formula1>INDIRECT(B4)</formula1>
    </dataValidation>
    <dataValidation type="list" allowBlank="1" showInputMessage="1" showErrorMessage="1" sqref="B4" xr:uid="{00000000-0002-0000-0000-000004000000}">
      <formula1>Distribuidora</formula1>
    </dataValidation>
    <dataValidation type="list" allowBlank="1" showInputMessage="1" showErrorMessage="1" sqref="B31" xr:uid="{00000000-0002-0000-0000-000005000000}">
      <formula1>INDIRECT(SUBSTITUTE(B4,B4,B4&amp;"_Autoproductores"))</formula1>
    </dataValidation>
  </dataValidation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7"/>
  <sheetViews>
    <sheetView tabSelected="1" workbookViewId="0">
      <selection activeCell="B1" sqref="B1"/>
    </sheetView>
  </sheetViews>
  <sheetFormatPr defaultColWidth="9.109375" defaultRowHeight="14.4" x14ac:dyDescent="0.3"/>
  <cols>
    <col min="1" max="1" width="23.6640625" customWidth="1"/>
    <col min="2" max="2" width="15.6640625" customWidth="1"/>
    <col min="3" max="8" width="15.5546875" customWidth="1"/>
  </cols>
  <sheetData>
    <row r="1" spans="1:9" x14ac:dyDescent="0.3">
      <c r="A1" t="s">
        <v>341</v>
      </c>
      <c r="B1" s="101"/>
    </row>
    <row r="2" spans="1:9" x14ac:dyDescent="0.3">
      <c r="A2" t="s">
        <v>316</v>
      </c>
      <c r="B2" s="136"/>
      <c r="C2" s="136"/>
    </row>
    <row r="3" spans="1:9" x14ac:dyDescent="0.3">
      <c r="A3" t="s">
        <v>703</v>
      </c>
      <c r="B3" s="102"/>
    </row>
    <row r="4" spans="1:9" x14ac:dyDescent="0.3">
      <c r="A4" t="s">
        <v>637</v>
      </c>
      <c r="B4" s="98"/>
    </row>
    <row r="5" spans="1:9" x14ac:dyDescent="0.3">
      <c r="A5" t="s">
        <v>638</v>
      </c>
      <c r="B5" s="98" t="s">
        <v>558</v>
      </c>
    </row>
    <row r="7" spans="1:9" x14ac:dyDescent="0.3">
      <c r="A7" s="85" t="s">
        <v>670</v>
      </c>
    </row>
    <row r="8" spans="1:9" x14ac:dyDescent="0.3">
      <c r="A8" s="90" t="s">
        <v>683</v>
      </c>
      <c r="B8" s="99"/>
      <c r="C8" s="99"/>
      <c r="D8" s="99"/>
      <c r="E8" s="99"/>
      <c r="F8" s="99"/>
      <c r="G8" s="99"/>
      <c r="H8" s="100" t="s">
        <v>669</v>
      </c>
    </row>
    <row r="9" spans="1:9" x14ac:dyDescent="0.3">
      <c r="A9" s="88" t="s">
        <v>642</v>
      </c>
      <c r="B9" s="98">
        <v>1</v>
      </c>
      <c r="C9" s="98">
        <v>1</v>
      </c>
      <c r="D9" s="98">
        <v>1</v>
      </c>
      <c r="E9" s="98">
        <v>1</v>
      </c>
      <c r="F9" s="98">
        <v>1</v>
      </c>
      <c r="G9" s="98">
        <v>1</v>
      </c>
      <c r="H9" s="91">
        <f t="shared" ref="H9:H18" si="0">IFERROR(AVERAGE(B9:G9),"")</f>
        <v>1</v>
      </c>
      <c r="I9" s="129" t="s">
        <v>749</v>
      </c>
    </row>
    <row r="10" spans="1:9" x14ac:dyDescent="0.3">
      <c r="A10" s="88" t="s">
        <v>744</v>
      </c>
      <c r="B10" s="96"/>
      <c r="C10" s="96"/>
      <c r="D10" s="96"/>
      <c r="E10" s="96"/>
      <c r="F10" s="96"/>
      <c r="G10" s="96"/>
      <c r="H10" s="91" t="str">
        <f t="shared" si="0"/>
        <v/>
      </c>
      <c r="I10" s="130" t="str">
        <f>IFERROR(H10/B$18,"")</f>
        <v/>
      </c>
    </row>
    <row r="11" spans="1:9" x14ac:dyDescent="0.3">
      <c r="A11" s="88" t="s">
        <v>643</v>
      </c>
      <c r="B11" s="133"/>
      <c r="C11" s="133"/>
      <c r="D11" s="133"/>
      <c r="E11" s="133"/>
      <c r="F11" s="133"/>
      <c r="G11" s="133"/>
      <c r="H11" s="134" t="str">
        <f t="shared" si="0"/>
        <v/>
      </c>
      <c r="I11" s="130" t="str">
        <f t="shared" ref="I11:I14" si="1">IFERROR(H11/B$18,"")</f>
        <v/>
      </c>
    </row>
    <row r="12" spans="1:9" x14ac:dyDescent="0.3">
      <c r="A12" s="88" t="s">
        <v>645</v>
      </c>
      <c r="B12" s="133"/>
      <c r="C12" s="133"/>
      <c r="D12" s="133"/>
      <c r="E12" s="133"/>
      <c r="F12" s="133"/>
      <c r="G12" s="133"/>
      <c r="H12" s="134" t="str">
        <f t="shared" si="0"/>
        <v/>
      </c>
      <c r="I12" s="130" t="str">
        <f t="shared" si="1"/>
        <v/>
      </c>
    </row>
    <row r="13" spans="1:9" x14ac:dyDescent="0.3">
      <c r="A13" s="88" t="s">
        <v>644</v>
      </c>
      <c r="B13" s="133"/>
      <c r="C13" s="133"/>
      <c r="D13" s="133"/>
      <c r="E13" s="133"/>
      <c r="F13" s="133"/>
      <c r="G13" s="133"/>
      <c r="H13" s="134" t="str">
        <f t="shared" si="0"/>
        <v/>
      </c>
      <c r="I13" s="130" t="str">
        <f t="shared" si="1"/>
        <v/>
      </c>
    </row>
    <row r="14" spans="1:9" x14ac:dyDescent="0.3">
      <c r="A14" s="88" t="s">
        <v>646</v>
      </c>
      <c r="B14" s="133"/>
      <c r="C14" s="133"/>
      <c r="D14" s="133"/>
      <c r="E14" s="133"/>
      <c r="F14" s="133"/>
      <c r="G14" s="133"/>
      <c r="H14" s="134" t="str">
        <f t="shared" si="0"/>
        <v/>
      </c>
      <c r="I14" s="130" t="str">
        <f t="shared" si="1"/>
        <v/>
      </c>
    </row>
    <row r="15" spans="1:9" x14ac:dyDescent="0.3">
      <c r="A15" s="88" t="s">
        <v>650</v>
      </c>
      <c r="B15" s="97"/>
      <c r="C15" s="97"/>
      <c r="D15" s="97"/>
      <c r="E15" s="97"/>
      <c r="F15" s="97"/>
      <c r="G15" s="97"/>
      <c r="H15" s="92" t="str">
        <f t="shared" si="0"/>
        <v/>
      </c>
    </row>
    <row r="16" spans="1:9" x14ac:dyDescent="0.3">
      <c r="A16" s="88" t="s">
        <v>541</v>
      </c>
      <c r="B16" s="97"/>
      <c r="C16" s="97"/>
      <c r="D16" s="97"/>
      <c r="E16" s="97"/>
      <c r="F16" s="97"/>
      <c r="G16" s="97"/>
      <c r="H16" s="92" t="str">
        <f t="shared" si="0"/>
        <v/>
      </c>
    </row>
    <row r="17" spans="1:8" x14ac:dyDescent="0.3">
      <c r="A17" s="88" t="s">
        <v>732</v>
      </c>
      <c r="B17" s="114"/>
      <c r="C17" s="114"/>
      <c r="D17" s="114"/>
      <c r="E17" s="114"/>
      <c r="F17" s="114"/>
      <c r="G17" s="114"/>
      <c r="H17" s="115" t="str">
        <f t="shared" si="0"/>
        <v/>
      </c>
    </row>
    <row r="18" spans="1:8" x14ac:dyDescent="0.3">
      <c r="A18" s="88" t="s">
        <v>647</v>
      </c>
      <c r="B18" s="115" t="str">
        <f>IF(SUM(B10:B14)&lt;=0,"",SUM(B10:B14))</f>
        <v/>
      </c>
      <c r="C18" s="115" t="str">
        <f t="shared" ref="C18:G18" si="2">IF(SUM(C10:C14)&lt;=0,"",SUM(C10:C14))</f>
        <v/>
      </c>
      <c r="D18" s="115" t="str">
        <f t="shared" si="2"/>
        <v/>
      </c>
      <c r="E18" s="115" t="str">
        <f t="shared" si="2"/>
        <v/>
      </c>
      <c r="F18" s="115" t="str">
        <f t="shared" si="2"/>
        <v/>
      </c>
      <c r="G18" s="115" t="str">
        <f t="shared" si="2"/>
        <v/>
      </c>
      <c r="H18" s="115" t="str">
        <f t="shared" si="0"/>
        <v/>
      </c>
    </row>
    <row r="20" spans="1:8" x14ac:dyDescent="0.3">
      <c r="A20" s="88" t="s">
        <v>648</v>
      </c>
      <c r="B20" s="89" t="str">
        <f>IFERROR(CHOOSE(VLOOKUP($B$4,Ubicacion!$B$343:$C$347,2,FALSE),HLOOKUP(B$8,'Peaje EEGSA'!$B$115:$K$126,MATCH($B$5,'Peaje EEGSA'!$B$115:$B$126,0),TRUE),HLOOKUP(B$8,'Peaje DeOCsa'!$B$126:$K$139,MATCH($B$5,'Peaje DeOCsa'!$B$126:$B$139,0),TRUE),HLOOKUP(B$8,'Peaje DeORsa'!$B$126:$K$139,MATCH($B$5,'Peaje DeORsa'!$B$126:$B$139,0),TRUE)),"")</f>
        <v/>
      </c>
      <c r="C20" s="89" t="str">
        <f>IFERROR(CHOOSE(VLOOKUP($B$4,Ubicacion!$B$343:$C$347,2,FALSE),HLOOKUP(C$8,'Peaje EEGSA'!$B$115:$K$126,MATCH($B$5,'Peaje EEGSA'!$B$115:$B$126,0),TRUE),HLOOKUP(C$8,'Peaje DeOCsa'!$B$126:$K$139,MATCH($B$5,'Peaje DeOCsa'!$B$126:$B$139,0),TRUE),HLOOKUP(C$8,'Peaje DeORsa'!$B$126:$K$139,MATCH($B$5,'Peaje DeORsa'!$B$126:$B$139,0),TRUE)),"")</f>
        <v/>
      </c>
      <c r="D20" s="89" t="str">
        <f>IFERROR(CHOOSE(VLOOKUP($B$4,Ubicacion!$B$343:$C$347,2,FALSE),HLOOKUP(D$8,'Peaje EEGSA'!$B$115:$K$126,MATCH($B$5,'Peaje EEGSA'!$B$115:$B$126,0),TRUE),HLOOKUP(D$8,'Peaje DeOCsa'!$B$126:$K$139,MATCH($B$5,'Peaje DeOCsa'!$B$126:$B$139,0),TRUE),HLOOKUP(D$8,'Peaje DeORsa'!$B$126:$K$139,MATCH($B$5,'Peaje DeORsa'!$B$126:$B$139,0),TRUE)),"")</f>
        <v/>
      </c>
      <c r="E20" s="89" t="str">
        <f>IFERROR(CHOOSE(VLOOKUP($B$4,Ubicacion!$B$343:$C$347,2,FALSE),HLOOKUP(E$8,'Peaje EEGSA'!$B$115:$K$126,MATCH($B$5,'Peaje EEGSA'!$B$115:$B$126,0),TRUE),HLOOKUP(E$8,'Peaje DeOCsa'!$B$126:$K$139,MATCH($B$5,'Peaje DeOCsa'!$B$126:$B$139,0),TRUE),HLOOKUP(E$8,'Peaje DeORsa'!$B$126:$K$139,MATCH($B$5,'Peaje DeORsa'!$B$126:$B$139,0),TRUE)),"")</f>
        <v/>
      </c>
      <c r="F20" s="89" t="str">
        <f>IFERROR(CHOOSE(VLOOKUP($B$4,Ubicacion!$B$343:$C$347,2,FALSE),HLOOKUP(F$8,'Peaje EEGSA'!$B$115:$K$126,MATCH($B$5,'Peaje EEGSA'!$B$115:$B$126,0),TRUE),HLOOKUP(F$8,'Peaje DeOCsa'!$B$126:$K$139,MATCH($B$5,'Peaje DeOCsa'!$B$126:$B$139,0),TRUE),HLOOKUP(F$8,'Peaje DeORsa'!$B$126:$K$139,MATCH($B$5,'Peaje DeORsa'!$B$126:$B$139,0),TRUE)),"")</f>
        <v/>
      </c>
      <c r="G20" s="89" t="str">
        <f>IFERROR(CHOOSE(VLOOKUP($B$4,Ubicacion!$B$343:$C$347,2,FALSE),HLOOKUP(G$8,'Peaje EEGSA'!$B$115:$K$126,MATCH($B$5,'Peaje EEGSA'!$B$115:$B$126,0),TRUE),HLOOKUP(G$8,'Peaje DeOCsa'!$B$126:$K$139,MATCH($B$5,'Peaje DeOCsa'!$B$126:$B$139,0),TRUE),HLOOKUP(G$8,'Peaje DeORsa'!$B$126:$K$139,MATCH($B$5,'Peaje DeORsa'!$B$126:$B$139,0),TRUE)),"")</f>
        <v/>
      </c>
    </row>
    <row r="21" spans="1:8" x14ac:dyDescent="0.3">
      <c r="A21" s="88" t="s">
        <v>649</v>
      </c>
      <c r="B21" s="89" t="str">
        <f>IFERROR(IF(OR($B$5="BTSH",$B$5="BTHD",$B$5="MTHD"),"",CHOOSE(VLOOKUP($B$4,Ubicacion!$B$343:$C$347,2,FALSE),HLOOKUP(B$8,'Peaje EEGSA'!$B$128:$K$139,MATCH($B$5,'Peaje EEGSA'!$B$115:$B$126,0),TRUE),HLOOKUP(B$8,'Peaje DeOCsa'!$B$141:$K$154,MATCH($B$5,'Peaje DeOCsa'!$B$126:$B$139,0),TRUE),HLOOKUP(B$8,'Peaje DeORsa'!$B$141:$K$154,MATCH($B$5,'Peaje DeORsa'!$B$126:$B$139,0),TRUE))),"")</f>
        <v/>
      </c>
      <c r="C21" s="89" t="str">
        <f>IFERROR(IF(OR($B$5="BTSH",$B$5="BTHD",$B$5="MTHD"),"",CHOOSE(VLOOKUP($B$4,Ubicacion!$B$343:$C$347,2,FALSE),HLOOKUP(C$8,'Peaje EEGSA'!$B$128:$K$139,MATCH($B$5,'Peaje EEGSA'!$B$115:$B$126,0),TRUE),HLOOKUP(C$8,'Peaje DeOCsa'!$B$141:$K$154,MATCH($B$5,'Peaje DeOCsa'!$B$126:$B$139,0),TRUE),HLOOKUP(C$8,'Peaje DeORsa'!$B$141:$K$154,MATCH($B$5,'Peaje DeORsa'!$B$126:$B$139,0),TRUE))),"")</f>
        <v/>
      </c>
      <c r="D21" s="89" t="str">
        <f>IFERROR(IF(OR($B$5="BTSH",$B$5="BTHD",$B$5="MTHD"),"",CHOOSE(VLOOKUP($B$4,Ubicacion!$B$343:$C$347,2,FALSE),HLOOKUP(D$8,'Peaje EEGSA'!$B$128:$K$139,MATCH($B$5,'Peaje EEGSA'!$B$115:$B$126,0),TRUE),HLOOKUP(D$8,'Peaje DeOCsa'!$B$141:$K$154,MATCH($B$5,'Peaje DeOCsa'!$B$126:$B$139,0),TRUE),HLOOKUP(D$8,'Peaje DeORsa'!$B$141:$K$154,MATCH($B$5,'Peaje DeORsa'!$B$126:$B$139,0),TRUE))),"")</f>
        <v/>
      </c>
      <c r="E21" s="89" t="str">
        <f>IFERROR(IF(OR($B$5="BTSH",$B$5="BTHD",$B$5="MTHD"),"",CHOOSE(VLOOKUP($B$4,Ubicacion!$B$343:$C$347,2,FALSE),HLOOKUP(E$8,'Peaje EEGSA'!$B$128:$K$139,MATCH($B$5,'Peaje EEGSA'!$B$115:$B$126,0),TRUE),HLOOKUP(E$8,'Peaje DeOCsa'!$B$141:$K$154,MATCH($B$5,'Peaje DeOCsa'!$B$126:$B$139,0),TRUE),HLOOKUP(E$8,'Peaje DeORsa'!$B$141:$K$154,MATCH($B$5,'Peaje DeORsa'!$B$126:$B$139,0),TRUE))),"")</f>
        <v/>
      </c>
      <c r="F21" s="89" t="str">
        <f>IFERROR(IF(OR($B$5="BTSH",$B$5="BTHD",$B$5="MTHD"),"",CHOOSE(VLOOKUP($B$4,Ubicacion!$B$343:$C$347,2,FALSE),HLOOKUP(F$8,'Peaje EEGSA'!$B$128:$K$139,MATCH($B$5,'Peaje EEGSA'!$B$115:$B$126,0),TRUE),HLOOKUP(F$8,'Peaje DeOCsa'!$B$141:$K$154,MATCH($B$5,'Peaje DeOCsa'!$B$126:$B$139,0),TRUE),HLOOKUP(F$8,'Peaje DeORsa'!$B$141:$K$154,MATCH($B$5,'Peaje DeORsa'!$B$126:$B$139,0),TRUE))),"")</f>
        <v/>
      </c>
      <c r="G21" s="89" t="str">
        <f>IFERROR(IF(OR($B$5="BTSH",$B$5="BTHD",$B$5="MTHD"),"",CHOOSE(VLOOKUP($B$4,Ubicacion!$B$343:$C$347,2,FALSE),HLOOKUP(G$8,'Peaje EEGSA'!$B$128:$K$139,MATCH($B$5,'Peaje EEGSA'!$B$115:$B$126,0),TRUE),HLOOKUP(G$8,'Peaje DeOCsa'!$B$141:$K$154,MATCH($B$5,'Peaje DeOCsa'!$B$126:$B$139,0),TRUE),HLOOKUP(G$8,'Peaje DeORsa'!$B$141:$K$154,MATCH($B$5,'Peaje DeORsa'!$B$126:$B$139,0),TRUE))),"")</f>
        <v/>
      </c>
    </row>
    <row r="22" spans="1:8" x14ac:dyDescent="0.3">
      <c r="A22" s="88" t="s">
        <v>651</v>
      </c>
      <c r="B22" s="89" t="str">
        <f>IFERROR(IF(OR($B$5="BTSH",$B$5="BTHD",$B$5="MTHD"),CHOOSE(VLOOKUP($B$4,Ubicacion!$B$343:$C$347,2,FALSE),HLOOKUP(B$8,'Peaje EEGSA'!$B$128:$K$139,MATCH($B$5,'Peaje EEGSA'!$B$115:$B$126,0),TRUE),HLOOKUP(B$8,'Peaje DeOCsa'!$B$141:$K$154,MATCH($B$5,'Peaje DeOCsa'!$B$126:$B$139,0),TRUE),HLOOKUP(B$8,'Peaje DeORsa'!$B$141:$K$154,MATCH($B$5,'Peaje DeORsa'!$B$126:$B$139,0),TRUE)),""),"")</f>
        <v/>
      </c>
      <c r="C22" s="89" t="str">
        <f>IFERROR(IF(OR($B$5="BTSH",$B$5="BTHD",$B$5="MTHD"),CHOOSE(VLOOKUP($B$4,Ubicacion!$B$343:$C$347,2,FALSE),HLOOKUP(C$8,'Peaje EEGSA'!$B$128:$K$139,MATCH($B$5,'Peaje EEGSA'!$B$115:$B$126,0),TRUE),HLOOKUP(C$8,'Peaje DeOCsa'!$B$141:$K$154,MATCH($B$5,'Peaje DeOCsa'!$B$126:$B$139,0),TRUE),HLOOKUP(C$8,'Peaje DeORsa'!$B$141:$K$154,MATCH($B$5,'Peaje DeORsa'!$B$126:$B$139,0),TRUE)),""),"")</f>
        <v/>
      </c>
      <c r="D22" s="89" t="str">
        <f>IFERROR(IF(OR($B$5="BTSH",$B$5="BTHD",$B$5="MTHD"),CHOOSE(VLOOKUP($B$4,Ubicacion!$B$343:$C$347,2,FALSE),HLOOKUP(D$8,'Peaje EEGSA'!$B$128:$K$139,MATCH($B$5,'Peaje EEGSA'!$B$115:$B$126,0),TRUE),HLOOKUP(D$8,'Peaje DeOCsa'!$B$141:$K$154,MATCH($B$5,'Peaje DeOCsa'!$B$126:$B$139,0),TRUE),HLOOKUP(D$8,'Peaje DeORsa'!$B$141:$K$154,MATCH($B$5,'Peaje DeORsa'!$B$126:$B$139,0),TRUE)),""),"")</f>
        <v/>
      </c>
      <c r="E22" s="89" t="str">
        <f>IFERROR(IF(OR($B$5="BTSH",$B$5="BTHD",$B$5="MTHD"),CHOOSE(VLOOKUP($B$4,Ubicacion!$B$343:$C$347,2,FALSE),HLOOKUP(E$8,'Peaje EEGSA'!$B$128:$K$139,MATCH($B$5,'Peaje EEGSA'!$B$115:$B$126,0),TRUE),HLOOKUP(E$8,'Peaje DeOCsa'!$B$141:$K$154,MATCH($B$5,'Peaje DeOCsa'!$B$126:$B$139,0),TRUE),HLOOKUP(E$8,'Peaje DeORsa'!$B$141:$K$154,MATCH($B$5,'Peaje DeORsa'!$B$126:$B$139,0),TRUE)),""),"")</f>
        <v/>
      </c>
      <c r="F22" s="89" t="str">
        <f>IFERROR(IF(OR($B$5="BTSH",$B$5="BTHD",$B$5="MTHD"),CHOOSE(VLOOKUP($B$4,Ubicacion!$B$343:$C$347,2,FALSE),HLOOKUP(F$8,'Peaje EEGSA'!$B$128:$K$139,MATCH($B$5,'Peaje EEGSA'!$B$115:$B$126,0),TRUE),HLOOKUP(F$8,'Peaje DeOCsa'!$B$141:$K$154,MATCH($B$5,'Peaje DeOCsa'!$B$126:$B$139,0),TRUE),HLOOKUP(F$8,'Peaje DeORsa'!$B$141:$K$154,MATCH($B$5,'Peaje DeORsa'!$B$126:$B$139,0),TRUE)),""),"")</f>
        <v/>
      </c>
      <c r="G22" s="89" t="str">
        <f>IFERROR(IF(OR($B$5="BTSH",$B$5="BTHD",$B$5="MTHD"),CHOOSE(VLOOKUP($B$4,Ubicacion!$B$343:$C$347,2,FALSE),HLOOKUP(G$8,'Peaje EEGSA'!$B$128:$K$139,MATCH($B$5,'Peaje EEGSA'!$B$115:$B$126,0),TRUE),HLOOKUP(G$8,'Peaje DeOCsa'!$B$141:$K$154,MATCH($B$5,'Peaje DeOCsa'!$B$126:$B$139,0),TRUE),HLOOKUP(G$8,'Peaje DeORsa'!$B$141:$K$154,MATCH($B$5,'Peaje DeORsa'!$B$126:$B$139,0),TRUE)),""),"")</f>
        <v/>
      </c>
    </row>
    <row r="23" spans="1:8" x14ac:dyDescent="0.3">
      <c r="A23" s="88" t="s">
        <v>652</v>
      </c>
      <c r="B23" s="89" t="str">
        <f>IFERROR(IF(OR($B$5="BTSH",$B$5="BTHD",$B$5="MTHD"),CHOOSE(VLOOKUP($B$4,Ubicacion!$B$343:$C$347,2,FALSE),HLOOKUP(B$8,'Peaje EEGSA'!$B$141:$K$152,MATCH($B$5,'Peaje EEGSA'!$B$115:$B$126,0),TRUE),HLOOKUP(B$8,'Peaje DeOCsa'!$B$156:$K$169,MATCH($B$5,'Peaje DeOCsa'!$B$126:$B$139,0),TRUE),HLOOKUP(B$8,'Peaje DeORsa'!$B$156:$K$169,MATCH($B$5,'Peaje DeORsa'!$B$126:$B$139,0),TRUE)),""),"")</f>
        <v/>
      </c>
      <c r="C23" s="89" t="str">
        <f>IFERROR(IF(OR($B$5="BTSH",$B$5="BTHD",$B$5="MTHD"),CHOOSE(VLOOKUP($B$4,Ubicacion!$B$343:$C$347,2,FALSE),HLOOKUP(C$8,'Peaje EEGSA'!$B$141:$K$152,MATCH($B$5,'Peaje EEGSA'!$B$115:$B$126,0),TRUE),HLOOKUP(C$8,'Peaje DeOCsa'!$B$156:$K$169,MATCH($B$5,'Peaje DeOCsa'!$B$126:$B$139,0),TRUE),HLOOKUP(C$8,'Peaje DeORsa'!$B$156:$K$169,MATCH($B$5,'Peaje DeORsa'!$B$126:$B$139,0),TRUE)),""),"")</f>
        <v/>
      </c>
      <c r="D23" s="89" t="str">
        <f>IFERROR(IF(OR($B$5="BTSH",$B$5="BTHD",$B$5="MTHD"),CHOOSE(VLOOKUP($B$4,Ubicacion!$B$343:$C$347,2,FALSE),HLOOKUP(D$8,'Peaje EEGSA'!$B$141:$K$152,MATCH($B$5,'Peaje EEGSA'!$B$115:$B$126,0),TRUE),HLOOKUP(D$8,'Peaje DeOCsa'!$B$156:$K$169,MATCH($B$5,'Peaje DeOCsa'!$B$126:$B$139,0),TRUE),HLOOKUP(D$8,'Peaje DeORsa'!$B$156:$K$169,MATCH($B$5,'Peaje DeORsa'!$B$126:$B$139,0),TRUE)),""),"")</f>
        <v/>
      </c>
      <c r="E23" s="89" t="str">
        <f>IFERROR(IF(OR($B$5="BTSH",$B$5="BTHD",$B$5="MTHD"),CHOOSE(VLOOKUP($B$4,Ubicacion!$B$343:$C$347,2,FALSE),HLOOKUP(E$8,'Peaje EEGSA'!$B$141:$K$152,MATCH($B$5,'Peaje EEGSA'!$B$115:$B$126,0),TRUE),HLOOKUP(E$8,'Peaje DeOCsa'!$B$156:$K$169,MATCH($B$5,'Peaje DeOCsa'!$B$126:$B$139,0),TRUE),HLOOKUP(E$8,'Peaje DeORsa'!$B$156:$K$169,MATCH($B$5,'Peaje DeORsa'!$B$126:$B$139,0),TRUE)),""),"")</f>
        <v/>
      </c>
      <c r="F23" s="89" t="str">
        <f>IFERROR(IF(OR($B$5="BTSH",$B$5="BTHD",$B$5="MTHD"),CHOOSE(VLOOKUP($B$4,Ubicacion!$B$343:$C$347,2,FALSE),HLOOKUP(F$8,'Peaje EEGSA'!$B$141:$K$152,MATCH($B$5,'Peaje EEGSA'!$B$115:$B$126,0),TRUE),HLOOKUP(F$8,'Peaje DeOCsa'!$B$156:$K$169,MATCH($B$5,'Peaje DeOCsa'!$B$126:$B$139,0),TRUE),HLOOKUP(F$8,'Peaje DeORsa'!$B$156:$K$169,MATCH($B$5,'Peaje DeORsa'!$B$126:$B$139,0),TRUE)),""),"")</f>
        <v/>
      </c>
      <c r="G23" s="89" t="str">
        <f>IFERROR(IF(OR($B$5="BTSH",$B$5="BTHD",$B$5="MTHD"),CHOOSE(VLOOKUP($B$4,Ubicacion!$B$343:$C$347,2,FALSE),HLOOKUP(G$8,'Peaje EEGSA'!$B$141:$K$152,MATCH($B$5,'Peaje EEGSA'!$B$115:$B$126,0),TRUE),HLOOKUP(G$8,'Peaje DeOCsa'!$B$156:$K$169,MATCH($B$5,'Peaje DeOCsa'!$B$126:$B$139,0),TRUE),HLOOKUP(G$8,'Peaje DeORsa'!$B$156:$K$169,MATCH($B$5,'Peaje DeORsa'!$B$126:$B$139,0),TRUE)),""),"")</f>
        <v/>
      </c>
    </row>
    <row r="24" spans="1:8" x14ac:dyDescent="0.3">
      <c r="A24" s="88" t="s">
        <v>653</v>
      </c>
      <c r="B24" s="89" t="str">
        <f>IFERROR(IF(OR($B$5="BTSH",$B$5="BTHD",$B$5="MTHD"),CHOOSE(VLOOKUP($B$4,Ubicacion!$B$343:$C$347,2,FALSE),HLOOKUP(B$8,'Peaje EEGSA'!$B$154:$K$165,MATCH($B$5,'Peaje EEGSA'!$B$115:$B$126,0),TRUE),HLOOKUP(B$8,'Peaje DeOCsa'!$B$171:$K$184,MATCH($B$5,'Peaje DeOCsa'!$B$126:$B$139,0),TRUE),HLOOKUP(B$8,'Peaje DeORsa'!$B$171:$K$184,MATCH($B$5,'Peaje DeORsa'!$B$126:$B$139,0),TRUE)),""),"")</f>
        <v/>
      </c>
      <c r="C24" s="89" t="str">
        <f>IFERROR(IF(OR($B$5="BTSH",$B$5="BTHD",$B$5="MTHD"),CHOOSE(VLOOKUP($B$4,Ubicacion!$B$343:$C$347,2,FALSE),HLOOKUP(C$8,'Peaje EEGSA'!$B$154:$K$165,MATCH($B$5,'Peaje EEGSA'!$B$115:$B$126,0),TRUE),HLOOKUP(C$8,'Peaje DeOCsa'!$B$171:$K$184,MATCH($B$5,'Peaje DeOCsa'!$B$126:$B$139,0),TRUE),HLOOKUP(C$8,'Peaje DeORsa'!$B$171:$K$184,MATCH($B$5,'Peaje DeORsa'!$B$126:$B$139,0),TRUE)),""),"")</f>
        <v/>
      </c>
      <c r="D24" s="89" t="str">
        <f>IFERROR(IF(OR($B$5="BTSH",$B$5="BTHD",$B$5="MTHD"),CHOOSE(VLOOKUP($B$4,Ubicacion!$B$343:$C$347,2,FALSE),HLOOKUP(D$8,'Peaje EEGSA'!$B$154:$K$165,MATCH($B$5,'Peaje EEGSA'!$B$115:$B$126,0),TRUE),HLOOKUP(D$8,'Peaje DeOCsa'!$B$171:$K$184,MATCH($B$5,'Peaje DeOCsa'!$B$126:$B$139,0),TRUE),HLOOKUP(D$8,'Peaje DeORsa'!$B$171:$K$184,MATCH($B$5,'Peaje DeORsa'!$B$126:$B$139,0),TRUE)),""),"")</f>
        <v/>
      </c>
      <c r="E24" s="89" t="str">
        <f>IFERROR(IF(OR($B$5="BTSH",$B$5="BTHD",$B$5="MTHD"),CHOOSE(VLOOKUP($B$4,Ubicacion!$B$343:$C$347,2,FALSE),HLOOKUP(E$8,'Peaje EEGSA'!$B$154:$K$165,MATCH($B$5,'Peaje EEGSA'!$B$115:$B$126,0),TRUE),HLOOKUP(E$8,'Peaje DeOCsa'!$B$171:$K$184,MATCH($B$5,'Peaje DeOCsa'!$B$126:$B$139,0),TRUE),HLOOKUP(E$8,'Peaje DeORsa'!$B$171:$K$184,MATCH($B$5,'Peaje DeORsa'!$B$126:$B$139,0),TRUE)),""),"")</f>
        <v/>
      </c>
      <c r="F24" s="89" t="str">
        <f>IFERROR(IF(OR($B$5="BTSH",$B$5="BTHD",$B$5="MTHD"),CHOOSE(VLOOKUP($B$4,Ubicacion!$B$343:$C$347,2,FALSE),HLOOKUP(F$8,'Peaje EEGSA'!$B$154:$K$165,MATCH($B$5,'Peaje EEGSA'!$B$115:$B$126,0),TRUE),HLOOKUP(F$8,'Peaje DeOCsa'!$B$171:$K$184,MATCH($B$5,'Peaje DeOCsa'!$B$126:$B$139,0),TRUE),HLOOKUP(F$8,'Peaje DeORsa'!$B$171:$K$184,MATCH($B$5,'Peaje DeORsa'!$B$126:$B$139,0),TRUE)),""),"")</f>
        <v/>
      </c>
      <c r="G24" s="89" t="str">
        <f>IFERROR(IF(OR($B$5="BTSH",$B$5="BTHD",$B$5="MTHD"),CHOOSE(VLOOKUP($B$4,Ubicacion!$B$343:$C$347,2,FALSE),HLOOKUP(G$8,'Peaje EEGSA'!$B$154:$K$165,MATCH($B$5,'Peaje EEGSA'!$B$115:$B$126,0),TRUE),HLOOKUP(G$8,'Peaje DeOCsa'!$B$171:$K$184,MATCH($B$5,'Peaje DeOCsa'!$B$126:$B$139,0),TRUE),HLOOKUP(G$8,'Peaje DeORsa'!$B$171:$K$184,MATCH($B$5,'Peaje DeORsa'!$B$126:$B$139,0),TRUE)),""),"")</f>
        <v/>
      </c>
    </row>
    <row r="25" spans="1:8" x14ac:dyDescent="0.3">
      <c r="A25" s="88" t="s">
        <v>655</v>
      </c>
      <c r="B25" s="89" t="str">
        <f>IFERROR(IF(OR($B$5="BTSH",$B$5="BTHD",$B$5="MTHD"),CHOOSE(VLOOKUP($B$4,Ubicacion!$B$343:$C$347,2,FALSE),,HLOOKUP(B$8,'Peaje EEGSA'!$B$167:$K$170,MATCH($B$5,'Peaje EEGSA'!$B$167:$B$170,0),TRUE),HLOOKUP(B$8,'Peaje DeOCsa'!$B$186:$K$189,MATCH($B$5,'Peaje DeOCsa'!$B$186:$B$189,0),TRUE),HLOOKUP(B$8,'Peaje DeORsa'!$B$186:$K$189,MATCH($B$5,'Peaje DeORsa'!$B$186:$B$189,0),TRUE)),""),"")</f>
        <v/>
      </c>
      <c r="C25" s="89" t="str">
        <f>IFERROR(IF(OR($B$5="BTSH",$B$5="BTHD",$B$5="MTHD"),CHOOSE(VLOOKUP($B$4,Ubicacion!$B$343:$C$347,2,FALSE),,HLOOKUP(C$8,'Peaje EEGSA'!$B$167:$K$170,MATCH($B$5,'Peaje EEGSA'!$B$167:$B$170,0),TRUE),HLOOKUP(C$8,'Peaje DeOCsa'!$B$186:$K$189,MATCH($B$5,'Peaje DeOCsa'!$B$186:$B$189,0),TRUE),HLOOKUP(C$8,'Peaje DeORsa'!$B$186:$K$189,MATCH($B$5,'Peaje DeORsa'!$B$186:$B$189,0),TRUE)),""),"")</f>
        <v/>
      </c>
      <c r="D25" s="89" t="str">
        <f>IFERROR(IF(OR($B$5="BTSH",$B$5="BTHD",$B$5="MTHD"),CHOOSE(VLOOKUP($B$4,Ubicacion!$B$343:$C$347,2,FALSE),,HLOOKUP(D$8,'Peaje EEGSA'!$B$167:$K$170,MATCH($B$5,'Peaje EEGSA'!$B$167:$B$170,0),TRUE),HLOOKUP(D$8,'Peaje DeOCsa'!$B$186:$K$189,MATCH($B$5,'Peaje DeOCsa'!$B$186:$B$189,0),TRUE),HLOOKUP(D$8,'Peaje DeORsa'!$B$186:$K$189,MATCH($B$5,'Peaje DeORsa'!$B$186:$B$189,0),TRUE)),""),"")</f>
        <v/>
      </c>
      <c r="E25" s="89" t="str">
        <f>IFERROR(IF(OR($B$5="BTSH",$B$5="BTHD",$B$5="MTHD"),CHOOSE(VLOOKUP($B$4,Ubicacion!$B$343:$C$347,2,FALSE),,HLOOKUP(E$8,'Peaje EEGSA'!$B$167:$K$170,MATCH($B$5,'Peaje EEGSA'!$B$167:$B$170,0),TRUE),HLOOKUP(E$8,'Peaje DeOCsa'!$B$186:$K$189,MATCH($B$5,'Peaje DeOCsa'!$B$186:$B$189,0),TRUE),HLOOKUP(E$8,'Peaje DeORsa'!$B$186:$K$189,MATCH($B$5,'Peaje DeORsa'!$B$186:$B$189,0),TRUE)),""),"")</f>
        <v/>
      </c>
      <c r="F25" s="89" t="str">
        <f>IFERROR(IF(OR($B$5="BTSH",$B$5="BTHD",$B$5="MTHD"),CHOOSE(VLOOKUP($B$4,Ubicacion!$B$343:$C$347,2,FALSE),,HLOOKUP(F$8,'Peaje EEGSA'!$B$167:$K$170,MATCH($B$5,'Peaje EEGSA'!$B$167:$B$170,0),TRUE),HLOOKUP(F$8,'Peaje DeOCsa'!$B$186:$K$189,MATCH($B$5,'Peaje DeOCsa'!$B$186:$B$189,0),TRUE),HLOOKUP(F$8,'Peaje DeORsa'!$B$186:$K$189,MATCH($B$5,'Peaje DeORsa'!$B$186:$B$189,0),TRUE)),""),"")</f>
        <v/>
      </c>
      <c r="G25" s="89" t="str">
        <f>IFERROR(IF(OR($B$5="BTSH",$B$5="BTHD",$B$5="MTHD"),CHOOSE(VLOOKUP($B$4,Ubicacion!$B$343:$C$347,2,FALSE),,HLOOKUP(G$8,'Peaje EEGSA'!$B$167:$K$170,MATCH($B$5,'Peaje EEGSA'!$B$167:$B$170,0),TRUE),HLOOKUP(G$8,'Peaje DeOCsa'!$B$186:$K$189,MATCH($B$5,'Peaje DeOCsa'!$B$186:$B$189,0),TRUE),HLOOKUP(G$8,'Peaje DeORsa'!$B$186:$K$189,MATCH($B$5,'Peaje DeORsa'!$B$186:$B$189,0),TRUE)),""),"")</f>
        <v/>
      </c>
    </row>
    <row r="26" spans="1:8" x14ac:dyDescent="0.3">
      <c r="A26" s="88" t="s">
        <v>657</v>
      </c>
      <c r="B26" s="89" t="str">
        <f>IFERROR(IF(OR($B$5="BTS",$B$5="BTSA",$B$5="BTSH"),"",CHOOSE(VLOOKUP($B$4,Ubicacion!$B$343:$C$347,2,FALSE),HLOOKUP(B$8,'Peaje EEGSA'!$B$172:$K$183,MATCH($B$5,'Peaje EEGSA'!$B$115:$B$126,0),TRUE),HLOOKUP(B$8,'Peaje DeOCsa'!$B$191:$K$204,MATCH($B$5,'Peaje DeOCsa'!$B$126:$B$139,0),TRUE),HLOOKUP(B$8,'Peaje DeORsa'!$B$191:$K$204,MATCH($B$5,'Peaje DeORsa'!$B$126:$B$139,0),TRUE))),"")</f>
        <v/>
      </c>
      <c r="C26" s="89" t="str">
        <f>IFERROR(IF(OR($B$5="BTS",$B$5="BTSA",$B$5="BTSH"),"",CHOOSE(VLOOKUP($B$4,Ubicacion!$B$343:$C$347,2,FALSE),HLOOKUP(C$8,'Peaje EEGSA'!$B$172:$K$183,MATCH($B$5,'Peaje EEGSA'!$B$115:$B$126,0),TRUE),HLOOKUP(C$8,'Peaje DeOCsa'!$B$191:$K$204,MATCH($B$5,'Peaje DeOCsa'!$B$126:$B$139,0),TRUE),HLOOKUP(C$8,'Peaje DeORsa'!$B$191:$K$204,MATCH($B$5,'Peaje DeORsa'!$B$126:$B$139,0),TRUE))),"")</f>
        <v/>
      </c>
      <c r="D26" s="89" t="str">
        <f>IFERROR(IF(OR($B$5="BTS",$B$5="BTSA",$B$5="BTSH"),"",CHOOSE(VLOOKUP($B$4,Ubicacion!$B$343:$C$347,2,FALSE),HLOOKUP(D$8,'Peaje EEGSA'!$B$172:$K$183,MATCH($B$5,'Peaje EEGSA'!$B$115:$B$126,0),TRUE),HLOOKUP(D$8,'Peaje DeOCsa'!$B$191:$K$204,MATCH($B$5,'Peaje DeOCsa'!$B$126:$B$139,0),TRUE),HLOOKUP(D$8,'Peaje DeORsa'!$B$191:$K$204,MATCH($B$5,'Peaje DeORsa'!$B$126:$B$139,0),TRUE))),"")</f>
        <v/>
      </c>
      <c r="E26" s="89" t="str">
        <f>IFERROR(IF(OR($B$5="BTS",$B$5="BTSA",$B$5="BTSH"),"",CHOOSE(VLOOKUP($B$4,Ubicacion!$B$343:$C$347,2,FALSE),HLOOKUP(E$8,'Peaje EEGSA'!$B$172:$K$183,MATCH($B$5,'Peaje EEGSA'!$B$115:$B$126,0),TRUE),HLOOKUP(E$8,'Peaje DeOCsa'!$B$191:$K$204,MATCH($B$5,'Peaje DeOCsa'!$B$126:$B$139,0),TRUE),HLOOKUP(E$8,'Peaje DeORsa'!$B$191:$K$204,MATCH($B$5,'Peaje DeORsa'!$B$126:$B$139,0),TRUE))),"")</f>
        <v/>
      </c>
      <c r="F26" s="89" t="str">
        <f>IFERROR(IF(OR($B$5="BTS",$B$5="BTSA",$B$5="BTSH"),"",CHOOSE(VLOOKUP($B$4,Ubicacion!$B$343:$C$347,2,FALSE),HLOOKUP(F$8,'Peaje EEGSA'!$B$172:$K$183,MATCH($B$5,'Peaje EEGSA'!$B$115:$B$126,0),TRUE),HLOOKUP(F$8,'Peaje DeOCsa'!$B$191:$K$204,MATCH($B$5,'Peaje DeOCsa'!$B$126:$B$139,0),TRUE),HLOOKUP(F$8,'Peaje DeORsa'!$B$191:$K$204,MATCH($B$5,'Peaje DeORsa'!$B$126:$B$139,0),TRUE))),"")</f>
        <v/>
      </c>
      <c r="G26" s="89" t="str">
        <f>IFERROR(IF(OR($B$5="BTS",$B$5="BTSA",$B$5="BTSH"),"",CHOOSE(VLOOKUP($B$4,Ubicacion!$B$343:$C$347,2,FALSE),HLOOKUP(G$8,'Peaje EEGSA'!$B$172:$K$183,MATCH($B$5,'Peaje EEGSA'!$B$115:$B$126,0),TRUE),HLOOKUP(G$8,'Peaje DeOCsa'!$B$191:$K$204,MATCH($B$5,'Peaje DeOCsa'!$B$126:$B$139,0),TRUE),HLOOKUP(G$8,'Peaje DeORsa'!$B$191:$K$204,MATCH($B$5,'Peaje DeORsa'!$B$126:$B$139,0),TRUE))),"")</f>
        <v/>
      </c>
    </row>
    <row r="27" spans="1:8" x14ac:dyDescent="0.3">
      <c r="A27" s="88" t="s">
        <v>658</v>
      </c>
      <c r="B27" s="89" t="str">
        <f>IFERROR(IF(OR($B$5="BTS",$B$5="BTSA",$B$5="BTSH"),"",CHOOSE(VLOOKUP($B$4,Ubicacion!$B$343:$C$347,2,FALSE),HLOOKUP(B$8,'Peaje EEGSA'!$B$185:$K$196,MATCH($B$5,'Peaje EEGSA'!$B$115:$B$126,0),TRUE),HLOOKUP(B$8,'Peaje DeOCsa'!$B$206:$K$219,MATCH($B$5,'Peaje DeOCsa'!$B$126:$B$139,0),TRUE),HLOOKUP(B$8,'Peaje DeORsa'!$B$206:$K$219,MATCH($B$5,'Peaje DeORsa'!$B$126:$B$139,0),TRUE))),"")</f>
        <v/>
      </c>
      <c r="C27" s="89" t="str">
        <f>IFERROR(IF(OR($B$5="BTS",$B$5="BTSA",$B$5="BTSH"),"",CHOOSE(VLOOKUP($B$4,Ubicacion!$B$343:$C$347,2,FALSE),HLOOKUP(C$8,'Peaje EEGSA'!$B$185:$K$196,MATCH($B$5,'Peaje EEGSA'!$B$115:$B$126,0),TRUE),HLOOKUP(C$8,'Peaje DeOCsa'!$B$206:$K$219,MATCH($B$5,'Peaje DeOCsa'!$B$126:$B$139,0),TRUE),HLOOKUP(C$8,'Peaje DeORsa'!$B$206:$K$219,MATCH($B$5,'Peaje DeORsa'!$B$126:$B$139,0),TRUE))),"")</f>
        <v/>
      </c>
      <c r="D27" s="89" t="str">
        <f>IFERROR(IF(OR($B$5="BTS",$B$5="BTSA",$B$5="BTSH"),"",CHOOSE(VLOOKUP($B$4,Ubicacion!$B$343:$C$347,2,FALSE),HLOOKUP(D$8,'Peaje EEGSA'!$B$185:$K$196,MATCH($B$5,'Peaje EEGSA'!$B$115:$B$126,0),TRUE),HLOOKUP(D$8,'Peaje DeOCsa'!$B$206:$K$219,MATCH($B$5,'Peaje DeOCsa'!$B$126:$B$139,0),TRUE),HLOOKUP(D$8,'Peaje DeORsa'!$B$206:$K$219,MATCH($B$5,'Peaje DeORsa'!$B$126:$B$139,0),TRUE))),"")</f>
        <v/>
      </c>
      <c r="E27" s="89" t="str">
        <f>IFERROR(IF(OR($B$5="BTS",$B$5="BTSA",$B$5="BTSH"),"",CHOOSE(VLOOKUP($B$4,Ubicacion!$B$343:$C$347,2,FALSE),HLOOKUP(E$8,'Peaje EEGSA'!$B$185:$K$196,MATCH($B$5,'Peaje EEGSA'!$B$115:$B$126,0),TRUE),HLOOKUP(E$8,'Peaje DeOCsa'!$B$206:$K$219,MATCH($B$5,'Peaje DeOCsa'!$B$126:$B$139,0),TRUE),HLOOKUP(E$8,'Peaje DeORsa'!$B$206:$K$219,MATCH($B$5,'Peaje DeORsa'!$B$126:$B$139,0),TRUE))),"")</f>
        <v/>
      </c>
      <c r="F27" s="89" t="str">
        <f>IFERROR(IF(OR($B$5="BTS",$B$5="BTSA",$B$5="BTSH"),"",CHOOSE(VLOOKUP($B$4,Ubicacion!$B$343:$C$347,2,FALSE),HLOOKUP(F$8,'Peaje EEGSA'!$B$185:$K$196,MATCH($B$5,'Peaje EEGSA'!$B$115:$B$126,0),TRUE),HLOOKUP(F$8,'Peaje DeOCsa'!$B$206:$K$219,MATCH($B$5,'Peaje DeOCsa'!$B$126:$B$139,0),TRUE),HLOOKUP(F$8,'Peaje DeORsa'!$B$206:$K$219,MATCH($B$5,'Peaje DeORsa'!$B$126:$B$139,0),TRUE))),"")</f>
        <v/>
      </c>
      <c r="G27" s="89" t="str">
        <f>IFERROR(IF(OR($B$5="BTS",$B$5="BTSA",$B$5="BTSH"),"",CHOOSE(VLOOKUP($B$4,Ubicacion!$B$343:$C$347,2,FALSE),HLOOKUP(G$8,'Peaje EEGSA'!$B$185:$K$196,MATCH($B$5,'Peaje EEGSA'!$B$115:$B$126,0),TRUE),HLOOKUP(G$8,'Peaje DeOCsa'!$B$206:$K$219,MATCH($B$5,'Peaje DeOCsa'!$B$126:$B$139,0),TRUE),HLOOKUP(G$8,'Peaje DeORsa'!$B$206:$K$219,MATCH($B$5,'Peaje DeORsa'!$B$126:$B$139,0),TRUE))),"")</f>
        <v/>
      </c>
      <c r="H27" s="84"/>
    </row>
    <row r="28" spans="1:8" x14ac:dyDescent="0.3">
      <c r="H28" s="100" t="s">
        <v>669</v>
      </c>
    </row>
    <row r="29" spans="1:8" x14ac:dyDescent="0.3">
      <c r="A29" t="s">
        <v>654</v>
      </c>
      <c r="B29" s="86" t="str">
        <f t="shared" ref="B29:B36" si="3">IF(B$18="","",IFERROR(ROUND(B9*B20,2),0))</f>
        <v/>
      </c>
      <c r="C29" s="86" t="str">
        <f t="shared" ref="C29:G29" si="4">IF(C$18="","",IFERROR(ROUND(C9*C20,2),0))</f>
        <v/>
      </c>
      <c r="D29" s="86" t="str">
        <f t="shared" si="4"/>
        <v/>
      </c>
      <c r="E29" s="86" t="str">
        <f t="shared" si="4"/>
        <v/>
      </c>
      <c r="F29" s="86" t="str">
        <f t="shared" si="4"/>
        <v/>
      </c>
      <c r="G29" s="86" t="str">
        <f t="shared" si="4"/>
        <v/>
      </c>
      <c r="H29" s="105" t="str">
        <f>IFERROR(AVERAGE(B29:G29),"")</f>
        <v/>
      </c>
    </row>
    <row r="30" spans="1:8" x14ac:dyDescent="0.3">
      <c r="A30" t="s">
        <v>656</v>
      </c>
      <c r="B30" s="86" t="str">
        <f t="shared" si="3"/>
        <v/>
      </c>
      <c r="C30" s="86" t="str">
        <f t="shared" ref="C30:G30" si="5">IF(C$18="","",IFERROR(ROUND(C10*C21,2),0))</f>
        <v/>
      </c>
      <c r="D30" s="86" t="str">
        <f t="shared" si="5"/>
        <v/>
      </c>
      <c r="E30" s="86" t="str">
        <f t="shared" si="5"/>
        <v/>
      </c>
      <c r="F30" s="86" t="str">
        <f t="shared" si="5"/>
        <v/>
      </c>
      <c r="G30" s="86" t="str">
        <f t="shared" si="5"/>
        <v/>
      </c>
      <c r="H30" s="106" t="str">
        <f t="shared" ref="H30:H41" si="6">IFERROR(AVERAGE(B30:G30),"")</f>
        <v/>
      </c>
    </row>
    <row r="31" spans="1:8" x14ac:dyDescent="0.3">
      <c r="A31" t="s">
        <v>659</v>
      </c>
      <c r="B31" s="86" t="str">
        <f t="shared" si="3"/>
        <v/>
      </c>
      <c r="C31" s="86" t="str">
        <f t="shared" ref="C31:G31" si="7">IF(C$18="","",IFERROR(ROUND(C11*C22,2),0))</f>
        <v/>
      </c>
      <c r="D31" s="86" t="str">
        <f t="shared" si="7"/>
        <v/>
      </c>
      <c r="E31" s="86" t="str">
        <f t="shared" si="7"/>
        <v/>
      </c>
      <c r="F31" s="86" t="str">
        <f t="shared" si="7"/>
        <v/>
      </c>
      <c r="G31" s="86" t="str">
        <f t="shared" si="7"/>
        <v/>
      </c>
      <c r="H31" s="106" t="str">
        <f t="shared" si="6"/>
        <v/>
      </c>
    </row>
    <row r="32" spans="1:8" x14ac:dyDescent="0.3">
      <c r="A32" t="s">
        <v>660</v>
      </c>
      <c r="B32" s="86" t="str">
        <f t="shared" si="3"/>
        <v/>
      </c>
      <c r="C32" s="86" t="str">
        <f t="shared" ref="C32:G32" si="8">IF(C$18="","",IFERROR(ROUND(C12*C23,2),0))</f>
        <v/>
      </c>
      <c r="D32" s="86" t="str">
        <f t="shared" si="8"/>
        <v/>
      </c>
      <c r="E32" s="86" t="str">
        <f t="shared" si="8"/>
        <v/>
      </c>
      <c r="F32" s="86" t="str">
        <f t="shared" si="8"/>
        <v/>
      </c>
      <c r="G32" s="86" t="str">
        <f t="shared" si="8"/>
        <v/>
      </c>
      <c r="H32" s="106" t="str">
        <f t="shared" si="6"/>
        <v/>
      </c>
    </row>
    <row r="33" spans="1:8" x14ac:dyDescent="0.3">
      <c r="A33" t="s">
        <v>661</v>
      </c>
      <c r="B33" s="86" t="str">
        <f t="shared" si="3"/>
        <v/>
      </c>
      <c r="C33" s="86" t="str">
        <f t="shared" ref="C33:G33" si="9">IF(C$18="","",IFERROR(ROUND(C13*C24,2),0))</f>
        <v/>
      </c>
      <c r="D33" s="86" t="str">
        <f t="shared" si="9"/>
        <v/>
      </c>
      <c r="E33" s="86" t="str">
        <f t="shared" si="9"/>
        <v/>
      </c>
      <c r="F33" s="86" t="str">
        <f t="shared" si="9"/>
        <v/>
      </c>
      <c r="G33" s="86" t="str">
        <f t="shared" si="9"/>
        <v/>
      </c>
      <c r="H33" s="106" t="str">
        <f t="shared" si="6"/>
        <v/>
      </c>
    </row>
    <row r="34" spans="1:8" x14ac:dyDescent="0.3">
      <c r="A34" t="s">
        <v>662</v>
      </c>
      <c r="B34" s="86" t="str">
        <f t="shared" si="3"/>
        <v/>
      </c>
      <c r="C34" s="86" t="str">
        <f t="shared" ref="C34:G34" si="10">IF(C$18="","",IFERROR(ROUND(C14*C25,2),0))</f>
        <v/>
      </c>
      <c r="D34" s="86" t="str">
        <f t="shared" si="10"/>
        <v/>
      </c>
      <c r="E34" s="86" t="str">
        <f t="shared" si="10"/>
        <v/>
      </c>
      <c r="F34" s="86" t="str">
        <f t="shared" si="10"/>
        <v/>
      </c>
      <c r="G34" s="86" t="str">
        <f t="shared" si="10"/>
        <v/>
      </c>
      <c r="H34" s="106" t="str">
        <f t="shared" si="6"/>
        <v/>
      </c>
    </row>
    <row r="35" spans="1:8" x14ac:dyDescent="0.3">
      <c r="A35" t="s">
        <v>663</v>
      </c>
      <c r="B35" s="86" t="str">
        <f t="shared" si="3"/>
        <v/>
      </c>
      <c r="C35" s="86" t="str">
        <f t="shared" ref="C35:G35" si="11">IF(C$18="","",IFERROR(ROUND(C15*C26,2),0))</f>
        <v/>
      </c>
      <c r="D35" s="86" t="str">
        <f t="shared" si="11"/>
        <v/>
      </c>
      <c r="E35" s="86" t="str">
        <f t="shared" si="11"/>
        <v/>
      </c>
      <c r="F35" s="86" t="str">
        <f t="shared" si="11"/>
        <v/>
      </c>
      <c r="G35" s="86" t="str">
        <f t="shared" si="11"/>
        <v/>
      </c>
      <c r="H35" s="106" t="str">
        <f t="shared" si="6"/>
        <v/>
      </c>
    </row>
    <row r="36" spans="1:8" x14ac:dyDescent="0.3">
      <c r="A36" t="s">
        <v>664</v>
      </c>
      <c r="B36" s="86" t="str">
        <f t="shared" si="3"/>
        <v/>
      </c>
      <c r="C36" s="86" t="str">
        <f t="shared" ref="C36:G36" si="12">IF(C$18="","",IFERROR(ROUND(C16*C27,2),0))</f>
        <v/>
      </c>
      <c r="D36" s="86" t="str">
        <f t="shared" si="12"/>
        <v/>
      </c>
      <c r="E36" s="86" t="str">
        <f t="shared" si="12"/>
        <v/>
      </c>
      <c r="F36" s="86" t="str">
        <f t="shared" si="12"/>
        <v/>
      </c>
      <c r="G36" s="86" t="str">
        <f t="shared" si="12"/>
        <v/>
      </c>
      <c r="H36" s="106" t="str">
        <f t="shared" si="6"/>
        <v/>
      </c>
    </row>
    <row r="37" spans="1:8" x14ac:dyDescent="0.3">
      <c r="A37" t="s">
        <v>665</v>
      </c>
      <c r="B37" s="87" t="str">
        <f>IF(AND(B$10="",SUM(B11:B13)=0),"",SUM(B29:B36))</f>
        <v/>
      </c>
      <c r="C37" s="87" t="str">
        <f t="shared" ref="C37:G37" si="13">IF(AND(C$10="",SUM(C11:C13)=0),"",SUM(C29:C36))</f>
        <v/>
      </c>
      <c r="D37" s="87" t="str">
        <f t="shared" si="13"/>
        <v/>
      </c>
      <c r="E37" s="87" t="str">
        <f t="shared" si="13"/>
        <v/>
      </c>
      <c r="F37" s="87" t="str">
        <f t="shared" si="13"/>
        <v/>
      </c>
      <c r="G37" s="87" t="str">
        <f t="shared" si="13"/>
        <v/>
      </c>
      <c r="H37" s="107" t="str">
        <f t="shared" si="6"/>
        <v/>
      </c>
    </row>
    <row r="38" spans="1:8" x14ac:dyDescent="0.3">
      <c r="A38" t="s">
        <v>668</v>
      </c>
      <c r="B38" s="86" t="str">
        <f>IF(AND(B10&lt;=0,SUM(B11:B13)=0),"",B37*1.12)</f>
        <v/>
      </c>
      <c r="C38" s="86" t="str">
        <f t="shared" ref="C38:G38" si="14">IF(AND(C10&lt;=0,SUM(C11:C13)=0),"",C37*1.12)</f>
        <v/>
      </c>
      <c r="D38" s="86" t="str">
        <f t="shared" si="14"/>
        <v/>
      </c>
      <c r="E38" s="86" t="str">
        <f t="shared" si="14"/>
        <v/>
      </c>
      <c r="F38" s="86" t="str">
        <f t="shared" si="14"/>
        <v/>
      </c>
      <c r="G38" s="86" t="str">
        <f t="shared" si="14"/>
        <v/>
      </c>
      <c r="H38" s="106" t="str">
        <f t="shared" si="6"/>
        <v/>
      </c>
    </row>
    <row r="39" spans="1:8" x14ac:dyDescent="0.3">
      <c r="A39" t="s">
        <v>667</v>
      </c>
      <c r="B39" s="94" t="str">
        <f>IF(ISNUMBER(B17),IF(B17&lt;0.9,(0.9-B17)*100*0.03*B36,0),"")</f>
        <v/>
      </c>
      <c r="C39" s="94" t="str">
        <f t="shared" ref="C39:G39" si="15">IF(ISNUMBER(C17),IF(C17&lt;0.9,(0.9-C17)*100*0.03*C36,0),"")</f>
        <v/>
      </c>
      <c r="D39" s="94" t="str">
        <f t="shared" si="15"/>
        <v/>
      </c>
      <c r="E39" s="94" t="str">
        <f t="shared" si="15"/>
        <v/>
      </c>
      <c r="F39" s="94" t="str">
        <f t="shared" si="15"/>
        <v/>
      </c>
      <c r="G39" s="94" t="str">
        <f t="shared" si="15"/>
        <v/>
      </c>
      <c r="H39" s="106" t="str">
        <f>IFERROR(AVERAGE(B39:G39),"")</f>
        <v/>
      </c>
    </row>
    <row r="40" spans="1:8" x14ac:dyDescent="0.3">
      <c r="A40" t="s">
        <v>666</v>
      </c>
      <c r="B40" s="95" t="str">
        <f>IF(B$38="","",IF(ISNUMBER(B$37),SUMIFS(Ubicacion!$M1:$M341,Ubicacion!$A1:$A341,$B1,Ubicacion!$B1:$B341,$B2),0)*(IFERROR((B39/1.12),0)+IF(ISNUMBER(B$37),B$37,0)))</f>
        <v/>
      </c>
      <c r="C40" s="95" t="str">
        <f>IF(C$38="","",IF(ISNUMBER(C$37),SUMIFS(Ubicacion!$M1:$M341,Ubicacion!$A1:$A341,$B1,Ubicacion!$B1:$B341,$B2),0)*(IFERROR((C39/1.12),0)+IF(ISNUMBER(C$37),C$37,0)))</f>
        <v/>
      </c>
      <c r="D40" s="95" t="str">
        <f>IF(D$38="","",IF(ISNUMBER(D$37),SUMIFS(Ubicacion!$M1:$M341,Ubicacion!$A1:$A341,$B1,Ubicacion!$B1:$B341,$B2),0)*(IFERROR((D39/1.12),0)+IF(ISNUMBER(D$37),D$37,0)))</f>
        <v/>
      </c>
      <c r="E40" s="95" t="str">
        <f>IF(E$38="","",IF(ISNUMBER(E$37),SUMIFS(Ubicacion!$M1:$M341,Ubicacion!$A1:$A341,$B1,Ubicacion!$B1:$B341,$B2),0)*(IFERROR((E39/1.12),0)+IF(ISNUMBER(E$37),E$37,0)))</f>
        <v/>
      </c>
      <c r="F40" s="95" t="str">
        <f>IF(F$38="","",IF(ISNUMBER(F$37),SUMIFS(Ubicacion!$M1:$M341,Ubicacion!$A1:$A341,$B1,Ubicacion!$B1:$B341,$B2),0)*(IFERROR((F39/1.12),0)+IF(ISNUMBER(F$37),F$37,0)))</f>
        <v/>
      </c>
      <c r="G40" s="95" t="str">
        <f>IF(G$38="","",IF(ISNUMBER(G$37),SUMIFS(Ubicacion!$M1:$M341,Ubicacion!$A1:$A341,$B1,Ubicacion!$B1:$B341,$B2),0)*(IFERROR((G39/1.12),0)+IF(ISNUMBER(G$37),G$37,0)))</f>
        <v/>
      </c>
      <c r="H40" s="106" t="str">
        <f t="shared" si="6"/>
        <v/>
      </c>
    </row>
    <row r="41" spans="1:8" x14ac:dyDescent="0.3">
      <c r="A41" t="s">
        <v>463</v>
      </c>
      <c r="B41" s="93" t="str">
        <f>IF(SUM(B38:B40)&lt;=0,"",SUM(B38:B40))</f>
        <v/>
      </c>
      <c r="C41" s="93" t="str">
        <f t="shared" ref="C41:G41" si="16">IF(SUM(C38:C40)&lt;=0,"",SUM(C38:C40))</f>
        <v/>
      </c>
      <c r="D41" s="93" t="str">
        <f t="shared" si="16"/>
        <v/>
      </c>
      <c r="E41" s="93" t="str">
        <f t="shared" si="16"/>
        <v/>
      </c>
      <c r="F41" s="93" t="str">
        <f t="shared" si="16"/>
        <v/>
      </c>
      <c r="G41" s="93" t="str">
        <f t="shared" si="16"/>
        <v/>
      </c>
      <c r="H41" s="107" t="str">
        <f t="shared" si="6"/>
        <v/>
      </c>
    </row>
    <row r="43" spans="1:8" ht="15" thickBot="1" x14ac:dyDescent="0.35">
      <c r="A43" s="85" t="s">
        <v>671</v>
      </c>
    </row>
    <row r="44" spans="1:8" ht="15" thickBot="1" x14ac:dyDescent="0.35">
      <c r="A44" t="s">
        <v>638</v>
      </c>
      <c r="B44" s="123" t="s">
        <v>672</v>
      </c>
    </row>
    <row r="45" spans="1:8" x14ac:dyDescent="0.3">
      <c r="A45" t="s">
        <v>746</v>
      </c>
      <c r="B45" s="120">
        <f>SUMIFS(Ubicacion!$U$2:$U$363,Ubicacion!$Q$2:$Q$363,$B$1,Ubicacion!$R$2:$R$363,$B$2,Ubicacion!$S$2:$S$363,$B$3)</f>
        <v>0</v>
      </c>
      <c r="C45" s="120">
        <f>SUMIFS(Ubicacion!$U$2:$U$363,Ubicacion!$Q$2:$Q$363,$B$1,Ubicacion!$R$2:$R$363,$B$2,Ubicacion!$S$2:$S$363,$B$3)</f>
        <v>0</v>
      </c>
      <c r="D45" s="120">
        <f>SUMIFS(Ubicacion!$U$2:$U$363,Ubicacion!$Q$2:$Q$363,$B$1,Ubicacion!$R$2:$R$363,$B$2,Ubicacion!$S$2:$S$363,$B$3)</f>
        <v>0</v>
      </c>
      <c r="E45" s="120">
        <f>SUMIFS(Ubicacion!$U$2:$U$363,Ubicacion!$Q$2:$Q$363,$B$1,Ubicacion!$R$2:$R$363,$B$2,Ubicacion!$S$2:$S$363,$B$3)</f>
        <v>0</v>
      </c>
      <c r="F45" s="120">
        <f>SUMIFS(Ubicacion!$U$2:$U$363,Ubicacion!$Q$2:$Q$363,$B$1,Ubicacion!$R$2:$R$363,$B$2,Ubicacion!$S$2:$S$363,$B$3)</f>
        <v>0</v>
      </c>
      <c r="G45" s="120">
        <f>SUMIFS(Ubicacion!$U$2:$U$363,Ubicacion!$Q$2:$Q$363,$B$1,Ubicacion!$R$2:$R$363,$B$2,Ubicacion!$S$2:$S$363,$B$3)</f>
        <v>0</v>
      </c>
    </row>
    <row r="46" spans="1:8" x14ac:dyDescent="0.3">
      <c r="A46" t="s">
        <v>743</v>
      </c>
      <c r="B46" s="120" t="str">
        <f>IF(AND(B$10="",SUM(B11:B13)=0),"",B45*$B69)</f>
        <v/>
      </c>
      <c r="C46" s="120" t="str">
        <f>IF(AND(C$10="",SUM(C11:C13)=0),"",C45*$B69)</f>
        <v/>
      </c>
      <c r="D46" s="120" t="str">
        <f>IF(AND(D$10="",SUM(D11:D13)=0),"",D45*$B69)</f>
        <v/>
      </c>
      <c r="E46" s="120" t="str">
        <f t="shared" ref="E46:G46" si="17">IF(AND(E$10="",SUM(E11:E13)=0),"",E45*$B69)</f>
        <v/>
      </c>
      <c r="F46" s="120" t="str">
        <f t="shared" si="17"/>
        <v/>
      </c>
      <c r="G46" s="120" t="str">
        <f t="shared" si="17"/>
        <v/>
      </c>
      <c r="H46" s="135"/>
    </row>
    <row r="47" spans="1:8" x14ac:dyDescent="0.3">
      <c r="A47" t="s">
        <v>744</v>
      </c>
      <c r="B47" s="124" t="str">
        <f>IF(B46="","",IF(SUM(B10:B13)-B46&lt;0,0,ROUND(SUM(B10:B13)-B46,0)))</f>
        <v/>
      </c>
      <c r="C47" s="124" t="str">
        <f t="shared" ref="C47:G47" si="18">IF(C46="","",IF(SUM(C10:C13)-C46&lt;0,0,ROUND(SUM(C10:C13)-C46,0)))</f>
        <v/>
      </c>
      <c r="D47" s="124" t="str">
        <f t="shared" si="18"/>
        <v/>
      </c>
      <c r="E47" s="124" t="str">
        <f t="shared" si="18"/>
        <v/>
      </c>
      <c r="F47" s="124" t="str">
        <f t="shared" si="18"/>
        <v/>
      </c>
      <c r="G47" s="124" t="str">
        <f t="shared" si="18"/>
        <v/>
      </c>
    </row>
    <row r="48" spans="1:8" x14ac:dyDescent="0.3">
      <c r="A48" t="s">
        <v>740</v>
      </c>
      <c r="B48" s="125" t="str">
        <f>IF(AND(B$10="",SUM(B11:B13)=0),"",ROUND(SUM(B10:B13)*0.55,0))</f>
        <v/>
      </c>
      <c r="C48" s="125" t="str">
        <f t="shared" ref="C48:G48" si="19">IF(AND(C$10="",SUM(C11:C13)=0),"",ROUND(SUM(C10:C13)*0.55,0))</f>
        <v/>
      </c>
      <c r="D48" s="125" t="str">
        <f t="shared" si="19"/>
        <v/>
      </c>
      <c r="E48" s="125" t="str">
        <f t="shared" si="19"/>
        <v/>
      </c>
      <c r="F48" s="125" t="str">
        <f t="shared" si="19"/>
        <v/>
      </c>
      <c r="G48" s="125" t="str">
        <f t="shared" si="19"/>
        <v/>
      </c>
    </row>
    <row r="50" spans="1:8" x14ac:dyDescent="0.3">
      <c r="A50" s="88" t="s">
        <v>648</v>
      </c>
      <c r="B50" s="89" t="str">
        <f>IFERROR(CHOOSE(VLOOKUP($B$4,Ubicacion!$B$343:$C$347,2,FALSE),HLOOKUP(B$8,'Peaje EEGSA'!$B$115:$K$126,MATCH($B$44,'Peaje EEGSA'!$B$115:$B$126,0),TRUE),HLOOKUP(B$8,'Peaje DeOCsa'!$B$126:$K$139,MATCH($B$44,'Peaje DeOCsa'!$B$126:$B$139,0),TRUE),HLOOKUP(B$8,'Peaje DeORsa'!$B$126:$K$139,MATCH($B$44,'Peaje DeORsa'!$B$126:$B$139,0),TRUE)),"")</f>
        <v/>
      </c>
      <c r="C50" s="89" t="str">
        <f>IFERROR(CHOOSE(VLOOKUP($B$4,Ubicacion!$B$343:$C$347,2,FALSE),HLOOKUP(C$8,'Peaje EEGSA'!$B$115:$K$126,MATCH($B$44,'Peaje EEGSA'!$B$115:$B$126,0),TRUE),HLOOKUP(C$8,'Peaje DeOCsa'!$B$126:$K$139,MATCH($B$44,'Peaje DeOCsa'!$B$126:$B$139,0),TRUE),HLOOKUP(C$8,'Peaje DeORsa'!$B$126:$K$139,MATCH($B$44,'Peaje DeORsa'!$B$126:$B$139,0),TRUE)),"")</f>
        <v/>
      </c>
      <c r="D50" s="89" t="str">
        <f>IFERROR(CHOOSE(VLOOKUP($B$4,Ubicacion!$B$343:$C$347,2,FALSE),HLOOKUP(D$8,'Peaje EEGSA'!$B$115:$K$126,MATCH($B$44,'Peaje EEGSA'!$B$115:$B$126,0),TRUE),HLOOKUP(D$8,'Peaje DeOCsa'!$B$126:$K$139,MATCH($B$44,'Peaje DeOCsa'!$B$126:$B$139,0),TRUE),HLOOKUP(D$8,'Peaje DeORsa'!$B$126:$K$139,MATCH($B$44,'Peaje DeORsa'!$B$126:$B$139,0),TRUE)),"")</f>
        <v/>
      </c>
      <c r="E50" s="89" t="str">
        <f>IFERROR(CHOOSE(VLOOKUP($B$4,Ubicacion!$B$343:$C$347,2,FALSE),HLOOKUP(E$8,'Peaje EEGSA'!$B$115:$K$126,MATCH($B$44,'Peaje EEGSA'!$B$115:$B$126,0),TRUE),HLOOKUP(E$8,'Peaje DeOCsa'!$B$126:$K$139,MATCH($B$44,'Peaje DeOCsa'!$B$126:$B$139,0),TRUE),HLOOKUP(E$8,'Peaje DeORsa'!$B$126:$K$139,MATCH($B$44,'Peaje DeORsa'!$B$126:$B$139,0),TRUE)),"")</f>
        <v/>
      </c>
      <c r="F50" s="89" t="str">
        <f>IFERROR(CHOOSE(VLOOKUP($B$4,Ubicacion!$B$343:$C$347,2,FALSE),HLOOKUP(F$8,'Peaje EEGSA'!$B$115:$K$126,MATCH($B$44,'Peaje EEGSA'!$B$115:$B$126,0),TRUE),HLOOKUP(F$8,'Peaje DeOCsa'!$B$126:$K$139,MATCH($B$44,'Peaje DeOCsa'!$B$126:$B$139,0),TRUE),HLOOKUP(F$8,'Peaje DeORsa'!$B$126:$K$139,MATCH($B$44,'Peaje DeORsa'!$B$126:$B$139,0),TRUE)),"")</f>
        <v/>
      </c>
      <c r="G50" s="89" t="str">
        <f>IFERROR(CHOOSE(VLOOKUP($B$4,Ubicacion!$B$343:$C$347,2,FALSE),HLOOKUP(G$8,'Peaje EEGSA'!$B$115:$K$126,MATCH($B$44,'Peaje EEGSA'!$B$115:$B$126,0),TRUE),HLOOKUP(G$8,'Peaje DeOCsa'!$B$126:$K$139,MATCH($B$44,'Peaje DeOCsa'!$B$126:$B$139,0),TRUE),HLOOKUP(G$8,'Peaje DeORsa'!$B$126:$K$139,MATCH($B$44,'Peaje DeORsa'!$B$126:$B$139,0),TRUE)),"")</f>
        <v/>
      </c>
    </row>
    <row r="51" spans="1:8" x14ac:dyDescent="0.3">
      <c r="A51" s="88" t="s">
        <v>739</v>
      </c>
      <c r="B51" s="89" t="str">
        <f>IFERROR(CHOOSE(VLOOKUP($B$4,Ubicacion!$B$343:$C$347,2,FALSE),HLOOKUP(B$8,'Peaje EEGSA'!$B$109:$K$113,5,TRUE),HLOOKUP(B$8,'Peaje DeOCsa'!$B$120:$K$124,5,TRUE),HLOOKUP(B$8,'Peaje DeORsa'!$B$120:$K$124,5,TRUE)),"")</f>
        <v/>
      </c>
      <c r="C51" s="89" t="str">
        <f>IFERROR(CHOOSE(VLOOKUP($B$4,Ubicacion!$B$343:$C$347,2,FALSE),HLOOKUP(C$8,'Peaje EEGSA'!$B$109:$K$113,5,TRUE),HLOOKUP(C$8,'Peaje DeOCsa'!$B$120:$K$124,5,TRUE),HLOOKUP(C$8,'Peaje DeORsa'!$B$120:$K$124,5,TRUE)),"")</f>
        <v/>
      </c>
      <c r="D51" s="89" t="str">
        <f>IFERROR(CHOOSE(VLOOKUP($B$4,Ubicacion!$B$343:$C$347,2,FALSE),HLOOKUP(D$8,'Peaje EEGSA'!$B$109:$K$113,5,TRUE),HLOOKUP(D$8,'Peaje DeOCsa'!$B$120:$K$124,5,TRUE),HLOOKUP(D$8,'Peaje DeORsa'!$B$120:$K$124,5,TRUE)),"")</f>
        <v/>
      </c>
      <c r="E51" s="89" t="str">
        <f>IFERROR(CHOOSE(VLOOKUP($B$4,Ubicacion!$B$343:$C$347,2,FALSE),HLOOKUP(E$8,'Peaje EEGSA'!$B$109:$K$113,5,TRUE),HLOOKUP(E$8,'Peaje DeOCsa'!$B$120:$K$124,5,TRUE),HLOOKUP(E$8,'Peaje DeORsa'!$B$120:$K$124,5,TRUE)),"")</f>
        <v/>
      </c>
      <c r="F51" s="89" t="str">
        <f>IFERROR(CHOOSE(VLOOKUP($B$4,Ubicacion!$B$343:$C$347,2,FALSE),HLOOKUP(F$8,'Peaje EEGSA'!$B$109:$K$113,5,TRUE),HLOOKUP(F$8,'Peaje DeOCsa'!$B$120:$K$124,5,TRUE),HLOOKUP(F$8,'Peaje DeORsa'!$B$120:$K$124,5,TRUE)),"")</f>
        <v/>
      </c>
      <c r="G51" s="89" t="str">
        <f>IFERROR(CHOOSE(VLOOKUP($B$4,Ubicacion!$B$343:$C$347,2,FALSE),HLOOKUP(G$8,'Peaje EEGSA'!$B$109:$K$113,5,TRUE),HLOOKUP(G$8,'Peaje DeOCsa'!$B$120:$K$124,5,TRUE),HLOOKUP(G$8,'Peaje DeORsa'!$B$120:$K$124,5,TRUE)),"")</f>
        <v/>
      </c>
    </row>
    <row r="52" spans="1:8" x14ac:dyDescent="0.3">
      <c r="A52" s="88" t="s">
        <v>649</v>
      </c>
      <c r="B52" s="89" t="str">
        <f>IFERROR(CHOOSE(VLOOKUP($B$4,Ubicacion!$B$343:$C$347,2,FALSE),HLOOKUP(B$8,'Peaje EEGSA'!$B$128:$K$139,MATCH($B$44,'Peaje EEGSA'!$B$115:$B$126,0),TRUE),HLOOKUP(B$8,'Peaje DeOCsa'!$B$141:$K$154,MATCH($B$44,'Peaje DeOCsa'!$B$126:$B$139,0),TRUE),HLOOKUP(B$8,'Peaje DeORsa'!$B$141:$K$154,MATCH($B$44,'Peaje DeORsa'!$B$126:$B$139,0),TRUE)),"")</f>
        <v/>
      </c>
      <c r="C52" s="89" t="str">
        <f>IFERROR(CHOOSE(VLOOKUP($B$4,Ubicacion!$B$343:$C$347,2,FALSE),HLOOKUP(C$8,'Peaje EEGSA'!$B$128:$K$139,MATCH($B$44,'Peaje EEGSA'!$B$115:$B$126,0),TRUE),HLOOKUP(C$8,'Peaje DeOCsa'!$B$141:$K$154,MATCH($B$44,'Peaje DeOCsa'!$B$126:$B$139,0),TRUE),HLOOKUP(C$8,'Peaje DeORsa'!$B$141:$K$154,MATCH($B$44,'Peaje DeORsa'!$B$126:$B$139,0),TRUE)),"")</f>
        <v/>
      </c>
      <c r="D52" s="89" t="str">
        <f>IFERROR(CHOOSE(VLOOKUP($B$4,Ubicacion!$B$343:$C$347,2,FALSE),HLOOKUP(D$8,'Peaje EEGSA'!$B$128:$K$139,MATCH($B$44,'Peaje EEGSA'!$B$115:$B$126,0),TRUE),HLOOKUP(D$8,'Peaje DeOCsa'!$B$141:$K$154,MATCH($B$44,'Peaje DeOCsa'!$B$126:$B$139,0),TRUE),HLOOKUP(D$8,'Peaje DeORsa'!$B$141:$K$154,MATCH($B$44,'Peaje DeORsa'!$B$126:$B$139,0),TRUE)),"")</f>
        <v/>
      </c>
      <c r="E52" s="89" t="str">
        <f>IFERROR(CHOOSE(VLOOKUP($B$4,Ubicacion!$B$343:$C$347,2,FALSE),HLOOKUP(E$8,'Peaje EEGSA'!$B$128:$K$139,MATCH($B$44,'Peaje EEGSA'!$B$115:$B$126,0),TRUE),HLOOKUP(E$8,'Peaje DeOCsa'!$B$141:$K$154,MATCH($B$44,'Peaje DeOCsa'!$B$126:$B$139,0),TRUE),HLOOKUP(E$8,'Peaje DeORsa'!$B$141:$K$154,MATCH($B$44,'Peaje DeORsa'!$B$126:$B$139,0),TRUE)),"")</f>
        <v/>
      </c>
      <c r="F52" s="89" t="str">
        <f>IFERROR(CHOOSE(VLOOKUP($B$4,Ubicacion!$B$343:$C$347,2,FALSE),HLOOKUP(F$8,'Peaje EEGSA'!$B$128:$K$139,MATCH($B$44,'Peaje EEGSA'!$B$115:$B$126,0),TRUE),HLOOKUP(F$8,'Peaje DeOCsa'!$B$141:$K$154,MATCH($B$44,'Peaje DeOCsa'!$B$126:$B$139,0),TRUE),HLOOKUP(F$8,'Peaje DeORsa'!$B$141:$K$154,MATCH($B$44,'Peaje DeORsa'!$B$126:$B$139,0),TRUE)),"")</f>
        <v/>
      </c>
      <c r="G52" s="89" t="str">
        <f>IFERROR(CHOOSE(VLOOKUP($B$4,Ubicacion!$B$343:$C$347,2,FALSE),HLOOKUP(G$8,'Peaje EEGSA'!$B$128:$K$139,MATCH($B$44,'Peaje EEGSA'!$B$115:$B$126,0),TRUE),HLOOKUP(G$8,'Peaje DeOCsa'!$B$141:$K$154,MATCH($B$44,'Peaje DeOCsa'!$B$126:$B$139,0),TRUE),HLOOKUP(G$8,'Peaje DeORsa'!$B$141:$K$154,MATCH($B$44,'Peaje DeORsa'!$B$126:$B$139,0),TRUE)),"")</f>
        <v/>
      </c>
    </row>
    <row r="53" spans="1:8" x14ac:dyDescent="0.3">
      <c r="A53" s="88" t="s">
        <v>657</v>
      </c>
      <c r="B53" s="89" t="str">
        <f>IFERROR(CHOOSE(VLOOKUP($B$4,Ubicacion!$B$343:$C$347,2,FALSE),HLOOKUP(B$8,'Peaje EEGSA'!$B$172:$K$183,MATCH($B$44,'Peaje EEGSA'!$B$115:$B$126,0),TRUE),HLOOKUP(B$8,'Peaje DeOCsa'!$B$191:$K$204,MATCH($B$44,'Peaje DeOCsa'!$B$126:$B$139,0),TRUE),HLOOKUP(B$8,'Peaje DeORsa'!$B$191:$K$204,MATCH($B$44,'Peaje DeORsa'!$B$126:$B$139,0),TRUE)),"")</f>
        <v/>
      </c>
      <c r="C53" s="89" t="str">
        <f>IFERROR(CHOOSE(VLOOKUP($B$4,Ubicacion!$B$343:$C$347,2,FALSE),HLOOKUP(C$8,'Peaje EEGSA'!$B$172:$K$183,MATCH($B$44,'Peaje EEGSA'!$B$115:$B$126,0),TRUE),HLOOKUP(C$8,'Peaje DeOCsa'!$B$191:$K$204,MATCH($B$44,'Peaje DeOCsa'!$B$126:$B$139,0),TRUE),HLOOKUP(C$8,'Peaje DeORsa'!$B$191:$K$204,MATCH($B$44,'Peaje DeORsa'!$B$126:$B$139,0),TRUE)),"")</f>
        <v/>
      </c>
      <c r="D53" s="89" t="str">
        <f>IFERROR(CHOOSE(VLOOKUP($B$4,Ubicacion!$B$343:$C$347,2,FALSE),HLOOKUP(D$8,'Peaje EEGSA'!$B$172:$K$183,MATCH($B$44,'Peaje EEGSA'!$B$115:$B$126,0),TRUE),HLOOKUP(D$8,'Peaje DeOCsa'!$B$191:$K$204,MATCH($B$44,'Peaje DeOCsa'!$B$126:$B$139,0),TRUE),HLOOKUP(D$8,'Peaje DeORsa'!$B$191:$K$204,MATCH($B$44,'Peaje DeORsa'!$B$126:$B$139,0),TRUE)),"")</f>
        <v/>
      </c>
      <c r="E53" s="89" t="str">
        <f>IFERROR(CHOOSE(VLOOKUP($B$4,Ubicacion!$B$343:$C$347,2,FALSE),HLOOKUP(E$8,'Peaje EEGSA'!$B$172:$K$183,MATCH($B$44,'Peaje EEGSA'!$B$115:$B$126,0),TRUE),HLOOKUP(E$8,'Peaje DeOCsa'!$B$191:$K$204,MATCH($B$44,'Peaje DeOCsa'!$B$126:$B$139,0),TRUE),HLOOKUP(E$8,'Peaje DeORsa'!$B$191:$K$204,MATCH($B$44,'Peaje DeORsa'!$B$126:$B$139,0),TRUE)),"")</f>
        <v/>
      </c>
      <c r="F53" s="89" t="str">
        <f>IFERROR(CHOOSE(VLOOKUP($B$4,Ubicacion!$B$343:$C$347,2,FALSE),HLOOKUP(F$8,'Peaje EEGSA'!$B$172:$K$183,MATCH($B$44,'Peaje EEGSA'!$B$115:$B$126,0),TRUE),HLOOKUP(F$8,'Peaje DeOCsa'!$B$191:$K$204,MATCH($B$44,'Peaje DeOCsa'!$B$126:$B$139,0),TRUE),HLOOKUP(F$8,'Peaje DeORsa'!$B$191:$K$204,MATCH($B$44,'Peaje DeORsa'!$B$126:$B$139,0),TRUE)),"")</f>
        <v/>
      </c>
      <c r="G53" s="89" t="str">
        <f>IFERROR(CHOOSE(VLOOKUP($B$4,Ubicacion!$B$343:$C$347,2,FALSE),HLOOKUP(G$8,'Peaje EEGSA'!$B$172:$K$183,MATCH($B$44,'Peaje EEGSA'!$B$115:$B$126,0),TRUE),HLOOKUP(G$8,'Peaje DeOCsa'!$B$191:$K$204,MATCH($B$44,'Peaje DeOCsa'!$B$126:$B$139,0),TRUE),HLOOKUP(G$8,'Peaje DeORsa'!$B$191:$K$204,MATCH($B$44,'Peaje DeORsa'!$B$126:$B$139,0),TRUE)),"")</f>
        <v/>
      </c>
    </row>
    <row r="54" spans="1:8" x14ac:dyDescent="0.3">
      <c r="A54" s="88" t="s">
        <v>658</v>
      </c>
      <c r="B54" s="89" t="str">
        <f>IFERROR(CHOOSE(VLOOKUP($B$4,Ubicacion!$B$343:$C$347,2,FALSE),HLOOKUP(B$8,'Peaje EEGSA'!$B$185:$K$196,MATCH($B$44,'Peaje EEGSA'!$B$115:$B$126,0),TRUE),HLOOKUP(B$8,'Peaje DeOCsa'!$B$206:$K$219,MATCH($B$44,'Peaje DeOCsa'!$B$126:$B$139,0),TRUE),HLOOKUP(B$8,'Peaje DeORsa'!$B$206:$K$219,MATCH($B$44,'Peaje DeORsa'!$B$126:$B$139,0),TRUE)),"")</f>
        <v/>
      </c>
      <c r="C54" s="89" t="str">
        <f>IFERROR(CHOOSE(VLOOKUP($B$4,Ubicacion!$B$343:$C$347,2,FALSE),HLOOKUP(C$8,'Peaje EEGSA'!$B$185:$K$196,MATCH($B$44,'Peaje EEGSA'!$B$115:$B$126,0),TRUE),HLOOKUP(C$8,'Peaje DeOCsa'!$B$206:$K$219,MATCH($B$44,'Peaje DeOCsa'!$B$126:$B$139,0),TRUE),HLOOKUP(C$8,'Peaje DeORsa'!$B$206:$K$219,MATCH($B$44,'Peaje DeORsa'!$B$126:$B$139,0),TRUE)),"")</f>
        <v/>
      </c>
      <c r="D54" s="89" t="str">
        <f>IFERROR(CHOOSE(VLOOKUP($B$4,Ubicacion!$B$343:$C$347,2,FALSE),HLOOKUP(D$8,'Peaje EEGSA'!$B$185:$K$196,MATCH($B$44,'Peaje EEGSA'!$B$115:$B$126,0),TRUE),HLOOKUP(D$8,'Peaje DeOCsa'!$B$206:$K$219,MATCH($B$44,'Peaje DeOCsa'!$B$126:$B$139,0),TRUE),HLOOKUP(D$8,'Peaje DeORsa'!$B$206:$K$219,MATCH($B$44,'Peaje DeORsa'!$B$126:$B$139,0),TRUE)),"")</f>
        <v/>
      </c>
      <c r="E54" s="89" t="str">
        <f>IFERROR(CHOOSE(VLOOKUP($B$4,Ubicacion!$B$343:$C$347,2,FALSE),HLOOKUP(E$8,'Peaje EEGSA'!$B$185:$K$196,MATCH($B$44,'Peaje EEGSA'!$B$115:$B$126,0),TRUE),HLOOKUP(E$8,'Peaje DeOCsa'!$B$206:$K$219,MATCH($B$44,'Peaje DeOCsa'!$B$126:$B$139,0),TRUE),HLOOKUP(E$8,'Peaje DeORsa'!$B$206:$K$219,MATCH($B$44,'Peaje DeORsa'!$B$126:$B$139,0),TRUE)),"")</f>
        <v/>
      </c>
      <c r="F54" s="89" t="str">
        <f>IFERROR(CHOOSE(VLOOKUP($B$4,Ubicacion!$B$343:$C$347,2,FALSE),HLOOKUP(F$8,'Peaje EEGSA'!$B$185:$K$196,MATCH($B$44,'Peaje EEGSA'!$B$115:$B$126,0),TRUE),HLOOKUP(F$8,'Peaje DeOCsa'!$B$206:$K$219,MATCH($B$44,'Peaje DeOCsa'!$B$126:$B$139,0),TRUE),HLOOKUP(F$8,'Peaje DeORsa'!$B$206:$K$219,MATCH($B$44,'Peaje DeORsa'!$B$126:$B$139,0),TRUE)),"")</f>
        <v/>
      </c>
      <c r="G54" s="89" t="str">
        <f>IFERROR(CHOOSE(VLOOKUP($B$4,Ubicacion!$B$343:$C$347,2,FALSE),HLOOKUP(G$8,'Peaje EEGSA'!$B$185:$K$196,MATCH($B$44,'Peaje EEGSA'!$B$115:$B$126,0),TRUE),HLOOKUP(G$8,'Peaje DeOCsa'!$B$206:$K$219,MATCH($B$44,'Peaje DeOCsa'!$B$126:$B$139,0),TRUE),HLOOKUP(G$8,'Peaje DeORsa'!$B$206:$K$219,MATCH($B$44,'Peaje DeORsa'!$B$126:$B$139,0),TRUE)),"")</f>
        <v/>
      </c>
    </row>
    <row r="56" spans="1:8" x14ac:dyDescent="0.3">
      <c r="H56" s="100" t="s">
        <v>669</v>
      </c>
    </row>
    <row r="57" spans="1:8" x14ac:dyDescent="0.3">
      <c r="A57" t="s">
        <v>654</v>
      </c>
      <c r="B57" s="86" t="str">
        <f t="shared" ref="B57:G57" si="20">IFERROR(B50*B9,"")</f>
        <v/>
      </c>
      <c r="C57" s="86" t="str">
        <f t="shared" si="20"/>
        <v/>
      </c>
      <c r="D57" s="86" t="str">
        <f t="shared" si="20"/>
        <v/>
      </c>
      <c r="E57" s="86" t="str">
        <f t="shared" si="20"/>
        <v/>
      </c>
      <c r="F57" s="86" t="str">
        <f t="shared" si="20"/>
        <v/>
      </c>
      <c r="G57" s="86" t="str">
        <f t="shared" si="20"/>
        <v/>
      </c>
      <c r="H57" s="105" t="str">
        <f>IFERROR(AVERAGE(B57:G57),"")</f>
        <v/>
      </c>
    </row>
    <row r="58" spans="1:8" x14ac:dyDescent="0.3">
      <c r="A58" t="s">
        <v>747</v>
      </c>
      <c r="B58" s="86" t="str">
        <f>IFERROR(IF($B44="BTSA",B51*B48,0),"")</f>
        <v/>
      </c>
      <c r="C58" s="86" t="str">
        <f t="shared" ref="C58:G58" si="21">IFERROR(IF($B44="BTSA",C51*C48,0),"")</f>
        <v/>
      </c>
      <c r="D58" s="86" t="str">
        <f t="shared" si="21"/>
        <v/>
      </c>
      <c r="E58" s="86" t="str">
        <f t="shared" si="21"/>
        <v/>
      </c>
      <c r="F58" s="86" t="str">
        <f t="shared" si="21"/>
        <v/>
      </c>
      <c r="G58" s="86" t="str">
        <f t="shared" si="21"/>
        <v/>
      </c>
      <c r="H58" s="106"/>
    </row>
    <row r="59" spans="1:8" x14ac:dyDescent="0.3">
      <c r="A59" t="s">
        <v>656</v>
      </c>
      <c r="B59" s="86" t="str">
        <f>IFERROR(B47*B52,"")</f>
        <v/>
      </c>
      <c r="C59" s="86" t="str">
        <f t="shared" ref="C59:G59" si="22">IFERROR(C47*C52,"")</f>
        <v/>
      </c>
      <c r="D59" s="86" t="str">
        <f t="shared" si="22"/>
        <v/>
      </c>
      <c r="E59" s="86" t="str">
        <f t="shared" si="22"/>
        <v/>
      </c>
      <c r="F59" s="86" t="str">
        <f t="shared" si="22"/>
        <v/>
      </c>
      <c r="G59" s="86" t="str">
        <f t="shared" si="22"/>
        <v/>
      </c>
      <c r="H59" s="106" t="str">
        <f>IFERROR(AVERAGE(B59:G59),"")</f>
        <v/>
      </c>
    </row>
    <row r="60" spans="1:8" x14ac:dyDescent="0.3">
      <c r="A60" t="s">
        <v>663</v>
      </c>
      <c r="B60" s="86" t="str">
        <f t="shared" ref="B60:G60" si="23">IFERROR(B53*B15,"")</f>
        <v/>
      </c>
      <c r="C60" s="86" t="str">
        <f t="shared" si="23"/>
        <v/>
      </c>
      <c r="D60" s="86" t="str">
        <f t="shared" si="23"/>
        <v/>
      </c>
      <c r="E60" s="86" t="str">
        <f t="shared" si="23"/>
        <v/>
      </c>
      <c r="F60" s="86" t="str">
        <f t="shared" si="23"/>
        <v/>
      </c>
      <c r="G60" s="86" t="str">
        <f t="shared" si="23"/>
        <v/>
      </c>
      <c r="H60" s="106" t="str">
        <f t="shared" ref="H60:H61" si="24">IFERROR(AVERAGE(B60:G60),"")</f>
        <v/>
      </c>
    </row>
    <row r="61" spans="1:8" x14ac:dyDescent="0.3">
      <c r="A61" t="s">
        <v>664</v>
      </c>
      <c r="B61" s="86" t="str">
        <f t="shared" ref="B61:G61" si="25">IFERROR(B16*B54,"")</f>
        <v/>
      </c>
      <c r="C61" s="86" t="str">
        <f t="shared" si="25"/>
        <v/>
      </c>
      <c r="D61" s="86" t="str">
        <f t="shared" si="25"/>
        <v/>
      </c>
      <c r="E61" s="86" t="str">
        <f t="shared" si="25"/>
        <v/>
      </c>
      <c r="F61" s="86" t="str">
        <f t="shared" si="25"/>
        <v/>
      </c>
      <c r="G61" s="86" t="str">
        <f t="shared" si="25"/>
        <v/>
      </c>
      <c r="H61" s="106" t="str">
        <f t="shared" si="24"/>
        <v/>
      </c>
    </row>
    <row r="62" spans="1:8" x14ac:dyDescent="0.3">
      <c r="A62" t="s">
        <v>665</v>
      </c>
      <c r="B62" s="87" t="str">
        <f t="shared" ref="B62:C62" si="26">IF(SUM(B57:B61)=0,"",SUM(B57:B61))</f>
        <v/>
      </c>
      <c r="C62" s="87" t="str">
        <f t="shared" si="26"/>
        <v/>
      </c>
      <c r="D62" s="87" t="str">
        <f>IF(SUM(D57:D61)=0,"",SUM(D57:D61))</f>
        <v/>
      </c>
      <c r="E62" s="87" t="str">
        <f t="shared" ref="E62:G62" si="27">IF(SUM(E57:E61)=0,"",SUM(E57:E61))</f>
        <v/>
      </c>
      <c r="F62" s="87" t="str">
        <f t="shared" si="27"/>
        <v/>
      </c>
      <c r="G62" s="87" t="str">
        <f t="shared" si="27"/>
        <v/>
      </c>
      <c r="H62" s="107" t="str">
        <f>IFERROR(AVERAGE(B62:G62),"")</f>
        <v/>
      </c>
    </row>
    <row r="63" spans="1:8" x14ac:dyDescent="0.3">
      <c r="A63" t="s">
        <v>668</v>
      </c>
      <c r="B63" s="86" t="str">
        <f t="shared" ref="B63:C63" si="28">IFERROR(B62*1.12,"")</f>
        <v/>
      </c>
      <c r="C63" s="86" t="str">
        <f t="shared" si="28"/>
        <v/>
      </c>
      <c r="D63" s="86" t="str">
        <f>IFERROR(D62*1.12,"")</f>
        <v/>
      </c>
      <c r="E63" s="86" t="str">
        <f t="shared" ref="E63:G63" si="29">IFERROR(E62*1.12,"")</f>
        <v/>
      </c>
      <c r="F63" s="86" t="str">
        <f t="shared" si="29"/>
        <v/>
      </c>
      <c r="G63" s="86" t="str">
        <f t="shared" si="29"/>
        <v/>
      </c>
      <c r="H63" s="106" t="str">
        <f>IFERROR(AVERAGE(B63:G63),"")</f>
        <v/>
      </c>
    </row>
    <row r="64" spans="1:8" x14ac:dyDescent="0.3">
      <c r="A64" t="s">
        <v>667</v>
      </c>
      <c r="B64" s="94" t="str">
        <f>IF(ISNUMBER(B17),IF(B17&lt;0.9,(0.9-B17)*100*0.03*B61,0),"")</f>
        <v/>
      </c>
      <c r="C64" s="94" t="str">
        <f t="shared" ref="C64:G64" si="30">IF(ISNUMBER(C17),IF(C17&lt;0.9,(0.9-C17)*100*0.03*C61,0),"")</f>
        <v/>
      </c>
      <c r="D64" s="94" t="str">
        <f t="shared" si="30"/>
        <v/>
      </c>
      <c r="E64" s="94" t="str">
        <f t="shared" si="30"/>
        <v/>
      </c>
      <c r="F64" s="94" t="str">
        <f t="shared" si="30"/>
        <v/>
      </c>
      <c r="G64" s="94" t="str">
        <f t="shared" si="30"/>
        <v/>
      </c>
      <c r="H64" s="106" t="str">
        <f>IFERROR(AVERAGE(B64:G64),"")</f>
        <v/>
      </c>
    </row>
    <row r="65" spans="1:8" x14ac:dyDescent="0.3">
      <c r="A65" t="s">
        <v>666</v>
      </c>
      <c r="B65" s="95" t="str">
        <f>IF(B$63="","",IF(ISNUMBER(B$62),SUMIFS(Ubicacion!$M1:$M341,Ubicacion!$A1:$A341,$B1,Ubicacion!$B1:$B341,$B2),0)*(IFERROR((B64/1.12),0)+IF(ISNUMBER(B$62),B$62,0)))</f>
        <v/>
      </c>
      <c r="C65" s="95" t="str">
        <f>IF(C$63="","",IF(ISNUMBER(C$62),SUMIFS(Ubicacion!$M1:$M341,Ubicacion!$A1:$A341,$B1,Ubicacion!$B1:$B341,$B2),0)*(IFERROR((C64/1.12),0)+IF(ISNUMBER(C$62),C$62,0)))</f>
        <v/>
      </c>
      <c r="D65" s="95" t="str">
        <f>IF(D$63="","",IF(ISNUMBER(D$62),SUMIFS(Ubicacion!$M1:$M341,Ubicacion!$A1:$A341,$B1,Ubicacion!$B1:$B341,$B2),0)*(IFERROR((D64/1.12),0)+IF(ISNUMBER(D$62),D$62,0)))</f>
        <v/>
      </c>
      <c r="E65" s="95" t="str">
        <f>IF(E$63="","",IF(ISNUMBER(E$62),SUMIFS(Ubicacion!$M1:$M341,Ubicacion!$A1:$A341,$B1,Ubicacion!$B1:$B341,$B2),0)*(IFERROR((E64/1.12),0)+IF(ISNUMBER(E$62),E$62,0)))</f>
        <v/>
      </c>
      <c r="F65" s="95" t="str">
        <f>IF(F$63="","",IF(ISNUMBER(F$62),SUMIFS(Ubicacion!$M1:$M341,Ubicacion!$A1:$A341,$B1,Ubicacion!$B1:$B341,$B2),0)*(IFERROR((F64/1.12),0)+IF(ISNUMBER(F$62),F$62,0)))</f>
        <v/>
      </c>
      <c r="G65" s="95" t="str">
        <f>IF(G$63="","",IF(ISNUMBER(G$62),SUMIFS(Ubicacion!$M1:$M341,Ubicacion!$A1:$A341,$B1,Ubicacion!$B1:$B341,$B2),0)*(IFERROR((G64/1.12),0)+IF(ISNUMBER(G$62),G$62,0)))</f>
        <v/>
      </c>
      <c r="H65" s="106" t="str">
        <f>IFERROR(AVERAGE(B65:G65),"")</f>
        <v/>
      </c>
    </row>
    <row r="66" spans="1:8" x14ac:dyDescent="0.3">
      <c r="A66" t="s">
        <v>463</v>
      </c>
      <c r="B66" s="93" t="str">
        <f t="shared" ref="B66:C66" si="31">IF(SUM(B63:B65)=0,"",SUM(B63:B65))</f>
        <v/>
      </c>
      <c r="C66" s="93" t="str">
        <f t="shared" si="31"/>
        <v/>
      </c>
      <c r="D66" s="93" t="str">
        <f>IF(SUM(D63:D65)=0,"",SUM(D63:D65))</f>
        <v/>
      </c>
      <c r="E66" s="93" t="str">
        <f t="shared" ref="E66:G66" si="32">IF(SUM(E63:E65)=0,"",SUM(E63:E65))</f>
        <v/>
      </c>
      <c r="F66" s="93" t="str">
        <f t="shared" si="32"/>
        <v/>
      </c>
      <c r="G66" s="93" t="str">
        <f t="shared" si="32"/>
        <v/>
      </c>
      <c r="H66" s="108" t="str">
        <f>IFERROR(AVERAGE(B66:G66),"")</f>
        <v/>
      </c>
    </row>
    <row r="68" spans="1:8" x14ac:dyDescent="0.3">
      <c r="A68" s="85" t="s">
        <v>685</v>
      </c>
    </row>
    <row r="69" spans="1:8" x14ac:dyDescent="0.3">
      <c r="A69" t="s">
        <v>684</v>
      </c>
      <c r="B69" s="121">
        <f>IFERROR(ROUNDUP(SUM(H10:H14)/B45,0),0)</f>
        <v>0</v>
      </c>
    </row>
    <row r="70" spans="1:8" x14ac:dyDescent="0.3">
      <c r="A70" t="s">
        <v>745</v>
      </c>
      <c r="B70" s="121">
        <v>550</v>
      </c>
      <c r="C70" t="s">
        <v>686</v>
      </c>
    </row>
    <row r="71" spans="1:8" x14ac:dyDescent="0.3">
      <c r="A71" t="s">
        <v>687</v>
      </c>
      <c r="B71" s="143">
        <f>IFERROR(SUMIFS(Ubicacion!$P$2:$P$341,Ubicacion!A2:A341,B1,Ubicacion!B2:B341,B2),"")</f>
        <v>0</v>
      </c>
    </row>
    <row r="72" spans="1:8" x14ac:dyDescent="0.3">
      <c r="A72" t="s">
        <v>688</v>
      </c>
      <c r="B72" s="104">
        <v>7.8</v>
      </c>
    </row>
    <row r="73" spans="1:8" x14ac:dyDescent="0.3">
      <c r="A73" t="s">
        <v>690</v>
      </c>
      <c r="B73" s="103">
        <f>B71*B70*B69*B72</f>
        <v>0</v>
      </c>
    </row>
    <row r="74" spans="1:8" x14ac:dyDescent="0.3">
      <c r="A74" t="s">
        <v>689</v>
      </c>
      <c r="B74" s="103" t="str">
        <f>H41</f>
        <v/>
      </c>
    </row>
    <row r="75" spans="1:8" x14ac:dyDescent="0.3">
      <c r="A75" t="s">
        <v>691</v>
      </c>
      <c r="B75" s="103" t="str">
        <f>H66</f>
        <v/>
      </c>
      <c r="C75" s="103"/>
    </row>
    <row r="76" spans="1:8" x14ac:dyDescent="0.3">
      <c r="A76" t="s">
        <v>692</v>
      </c>
      <c r="B76" s="103" t="str">
        <f>IFERROR(B74-B75,"")</f>
        <v/>
      </c>
      <c r="C76" s="103"/>
    </row>
    <row r="77" spans="1:8" x14ac:dyDescent="0.3">
      <c r="A77" t="s">
        <v>693</v>
      </c>
      <c r="B77" s="103" t="str">
        <f>IFERROR(B76*12,"")</f>
        <v/>
      </c>
      <c r="C77" s="103"/>
    </row>
  </sheetData>
  <mergeCells count="1">
    <mergeCell ref="B2:C2"/>
  </mergeCells>
  <conditionalFormatting sqref="B11:G14">
    <cfRule type="expression" dxfId="3" priority="4">
      <formula>IF(OR($B$5="BTSH",$B$5="BTHD",$B$5="MTHD"),0,1)</formula>
    </cfRule>
  </conditionalFormatting>
  <conditionalFormatting sqref="H11:H14">
    <cfRule type="expression" dxfId="2" priority="3">
      <formula>IF(OR($B$5="BTSH",$B$5="BTHD",$B$5="MTHD"),0,1)</formula>
    </cfRule>
  </conditionalFormatting>
  <conditionalFormatting sqref="B10:H10">
    <cfRule type="expression" dxfId="1" priority="2">
      <formula>IF(OR($B$5="BTSH",$B$5="BTHD",$B$5="MTHD"),1,0)</formula>
    </cfRule>
  </conditionalFormatting>
  <conditionalFormatting sqref="B3">
    <cfRule type="expression" dxfId="0" priority="1">
      <formula>IF($B$2&lt;&gt;"Ciudad de Guatemala",1,0)</formula>
    </cfRule>
  </conditionalFormatting>
  <dataValidations count="6">
    <dataValidation type="list" allowBlank="1" showInputMessage="1" showErrorMessage="1" sqref="B4" xr:uid="{00000000-0002-0000-0100-000000000000}">
      <formula1>Distribuidora</formula1>
    </dataValidation>
    <dataValidation type="list" allowBlank="1" showInputMessage="1" showErrorMessage="1" sqref="B5" xr:uid="{00000000-0002-0000-0100-000001000000}">
      <formula1>INDIRECT(B4)</formula1>
    </dataValidation>
    <dataValidation type="list" allowBlank="1" showInputMessage="1" showErrorMessage="1" sqref="B1" xr:uid="{00000000-0002-0000-0100-000002000000}">
      <formula1>Departamento</formula1>
    </dataValidation>
    <dataValidation type="list" allowBlank="1" showInputMessage="1" showErrorMessage="1" sqref="B2" xr:uid="{00000000-0002-0000-0100-000003000000}">
      <formula1>INDIRECT(SUBSTITUTE(B1," ","_"))</formula1>
    </dataValidation>
    <dataValidation type="list" allowBlank="1" showInputMessage="1" showErrorMessage="1" sqref="B3" xr:uid="{00000000-0002-0000-0100-000004000000}">
      <formula1>INDIRECT(SUBSTITUTE(B1&amp;" "&amp;B2," ","_"))</formula1>
    </dataValidation>
    <dataValidation type="list" allowBlank="1" showInputMessage="1" showErrorMessage="1" sqref="B44" xr:uid="{00000000-0002-0000-0100-000005000000}">
      <formula1>INDIRECT(SUBSTITUTE(B4,B4,B4&amp;"_Autoproductores"))</formula1>
    </dataValidation>
  </dataValidations>
  <pageMargins left="0.7" right="0.7" top="0.75" bottom="0.75" header="0.3" footer="0.3"/>
  <pageSetup paperSize="9" orientation="portrait" horizontalDpi="0" verticalDpi="0" r:id="rId1"/>
  <ignoredErrors>
    <ignoredError sqref="B18:G1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412"/>
  <sheetViews>
    <sheetView topLeftCell="F1" workbookViewId="0">
      <pane ySplit="1" topLeftCell="A317" activePane="bottomLeft" state="frozen"/>
      <selection activeCell="B396" sqref="B396:B398"/>
      <selection pane="bottomLeft" activeCell="U332" sqref="U332"/>
    </sheetView>
  </sheetViews>
  <sheetFormatPr defaultColWidth="9.109375" defaultRowHeight="14.4" x14ac:dyDescent="0.3"/>
  <cols>
    <col min="1" max="1" width="15" bestFit="1" customWidth="1"/>
    <col min="2" max="2" width="26.6640625" bestFit="1" customWidth="1"/>
    <col min="3" max="4" width="8.88671875" customWidth="1"/>
    <col min="5" max="5" width="9.88671875" customWidth="1"/>
    <col min="6" max="7" width="8.88671875" customWidth="1"/>
    <col min="8" max="8" width="9" bestFit="1" customWidth="1"/>
    <col min="9" max="9" width="11.6640625" bestFit="1" customWidth="1"/>
    <col min="13" max="13" width="8.88671875" style="112"/>
    <col min="16" max="16" width="10" bestFit="1" customWidth="1"/>
    <col min="17" max="17" width="14" bestFit="1" customWidth="1"/>
    <col min="18" max="18" width="26.6640625" bestFit="1" customWidth="1"/>
  </cols>
  <sheetData>
    <row r="1" spans="1:21" x14ac:dyDescent="0.3">
      <c r="A1" s="1" t="s">
        <v>341</v>
      </c>
      <c r="B1" s="1" t="s">
        <v>340</v>
      </c>
      <c r="C1" s="1" t="s">
        <v>342</v>
      </c>
      <c r="D1" s="1" t="s">
        <v>343</v>
      </c>
      <c r="E1" s="1" t="s">
        <v>344</v>
      </c>
      <c r="F1" s="1" t="s">
        <v>349</v>
      </c>
      <c r="G1" s="1" t="s">
        <v>339</v>
      </c>
      <c r="H1" s="1" t="s">
        <v>737</v>
      </c>
      <c r="I1" s="1" t="s">
        <v>704</v>
      </c>
      <c r="J1" s="1" t="s">
        <v>352</v>
      </c>
      <c r="K1" s="1" t="s">
        <v>705</v>
      </c>
      <c r="L1" s="1" t="s">
        <v>728</v>
      </c>
      <c r="M1" s="111" t="s">
        <v>729</v>
      </c>
      <c r="N1" s="1" t="s">
        <v>730</v>
      </c>
      <c r="O1" s="1" t="s">
        <v>738</v>
      </c>
      <c r="P1" s="1" t="s">
        <v>748</v>
      </c>
      <c r="Q1" s="1" t="s">
        <v>341</v>
      </c>
      <c r="R1" s="1" t="s">
        <v>340</v>
      </c>
      <c r="S1" s="1" t="s">
        <v>703</v>
      </c>
      <c r="T1" s="1" t="s">
        <v>741</v>
      </c>
      <c r="U1" s="1" t="s">
        <v>352</v>
      </c>
    </row>
    <row r="2" spans="1:21" x14ac:dyDescent="0.3">
      <c r="A2" t="s">
        <v>5</v>
      </c>
      <c r="B2" t="s">
        <v>315</v>
      </c>
      <c r="C2">
        <v>15.6066</v>
      </c>
      <c r="D2">
        <v>-89.811700000000002</v>
      </c>
      <c r="E2" t="s">
        <v>1</v>
      </c>
      <c r="F2" t="s">
        <v>2</v>
      </c>
      <c r="G2" t="s">
        <v>351</v>
      </c>
      <c r="H2" s="116">
        <v>64911</v>
      </c>
      <c r="I2" s="119">
        <v>1805.26</v>
      </c>
      <c r="J2" s="119">
        <f>ROUND(K$5*I2,2)</f>
        <v>783.9</v>
      </c>
      <c r="M2" s="110"/>
      <c r="P2">
        <v>1.45</v>
      </c>
      <c r="Q2" t="s">
        <v>5</v>
      </c>
      <c r="R2" t="s">
        <v>315</v>
      </c>
      <c r="S2">
        <v>0</v>
      </c>
      <c r="T2">
        <v>0.92</v>
      </c>
      <c r="U2" s="119">
        <f>SUMIFS($J$2:$J$341,$A$2:$A$341,Q2,$B$2:$B$341,R2)/12*T2</f>
        <v>60.099000000000004</v>
      </c>
    </row>
    <row r="3" spans="1:21" x14ac:dyDescent="0.3">
      <c r="A3" t="s">
        <v>5</v>
      </c>
      <c r="B3" t="s">
        <v>294</v>
      </c>
      <c r="C3">
        <v>15.790100000000001</v>
      </c>
      <c r="D3">
        <v>-89.602099999999993</v>
      </c>
      <c r="E3" t="s">
        <v>1</v>
      </c>
      <c r="F3" t="s">
        <v>2</v>
      </c>
      <c r="G3" t="s">
        <v>351</v>
      </c>
      <c r="H3" s="116">
        <v>45103</v>
      </c>
      <c r="I3" s="119">
        <v>1806.31</v>
      </c>
      <c r="J3" s="119">
        <f t="shared" ref="J3:J4" si="0">ROUND(K$5*I3,2)</f>
        <v>784.36</v>
      </c>
      <c r="M3" s="110"/>
      <c r="P3">
        <v>1.45</v>
      </c>
      <c r="Q3" t="s">
        <v>5</v>
      </c>
      <c r="R3" t="s">
        <v>294</v>
      </c>
      <c r="S3">
        <v>0</v>
      </c>
      <c r="T3">
        <v>0.92</v>
      </c>
      <c r="U3" s="119">
        <f t="shared" ref="U3:U66" si="1">SUMIFS($J$2:$J$341,$A$2:$A$341,Q3,$B$2:$B$341,R3)/12*T3</f>
        <v>60.134266666666669</v>
      </c>
    </row>
    <row r="4" spans="1:21" x14ac:dyDescent="0.3">
      <c r="A4" t="s">
        <v>5</v>
      </c>
      <c r="B4" t="s">
        <v>35</v>
      </c>
      <c r="C4">
        <v>15.8125</v>
      </c>
      <c r="D4">
        <v>-90.321700000000007</v>
      </c>
      <c r="E4" t="s">
        <v>1</v>
      </c>
      <c r="F4" t="s">
        <v>2</v>
      </c>
      <c r="G4" t="s">
        <v>351</v>
      </c>
      <c r="H4" s="116">
        <v>84553</v>
      </c>
      <c r="I4" s="119">
        <v>1806.98</v>
      </c>
      <c r="J4" s="119">
        <f t="shared" si="0"/>
        <v>784.65</v>
      </c>
      <c r="M4" s="110"/>
      <c r="P4">
        <v>1.45</v>
      </c>
      <c r="Q4" t="s">
        <v>5</v>
      </c>
      <c r="R4" t="s">
        <v>35</v>
      </c>
      <c r="S4">
        <v>0</v>
      </c>
      <c r="T4">
        <v>0.92</v>
      </c>
      <c r="U4" s="119">
        <f t="shared" si="1"/>
        <v>60.156500000000008</v>
      </c>
    </row>
    <row r="5" spans="1:21" x14ac:dyDescent="0.3">
      <c r="A5" t="s">
        <v>5</v>
      </c>
      <c r="B5" t="s">
        <v>4</v>
      </c>
      <c r="C5">
        <v>15.4833</v>
      </c>
      <c r="D5">
        <v>-90.366699999999994</v>
      </c>
      <c r="E5" t="s">
        <v>1</v>
      </c>
      <c r="F5" t="s">
        <v>2</v>
      </c>
      <c r="G5" t="s">
        <v>350</v>
      </c>
      <c r="H5" s="116">
        <v>212421</v>
      </c>
      <c r="I5" s="119">
        <v>1768.64</v>
      </c>
      <c r="J5" s="119">
        <v>768</v>
      </c>
      <c r="K5" s="118">
        <f>J5/I5</f>
        <v>0.43423195223448524</v>
      </c>
      <c r="M5" s="110"/>
      <c r="P5">
        <v>1.45</v>
      </c>
      <c r="Q5" t="s">
        <v>5</v>
      </c>
      <c r="R5" t="s">
        <v>4</v>
      </c>
      <c r="S5">
        <v>0</v>
      </c>
      <c r="T5">
        <v>0.92</v>
      </c>
      <c r="U5" s="119">
        <f t="shared" si="1"/>
        <v>58.88</v>
      </c>
    </row>
    <row r="6" spans="1:21" x14ac:dyDescent="0.3">
      <c r="A6" t="s">
        <v>5</v>
      </c>
      <c r="B6" t="s">
        <v>71</v>
      </c>
      <c r="C6">
        <v>15.80444</v>
      </c>
      <c r="D6">
        <v>-89.8613</v>
      </c>
      <c r="E6" t="s">
        <v>1</v>
      </c>
      <c r="F6" t="s">
        <v>2</v>
      </c>
      <c r="G6" t="s">
        <v>351</v>
      </c>
      <c r="H6" s="116">
        <v>66141</v>
      </c>
      <c r="I6" s="119">
        <v>1807.19</v>
      </c>
      <c r="J6" s="119">
        <f t="shared" ref="J6:J18" si="2">ROUND(K$5*I6,2)</f>
        <v>784.74</v>
      </c>
      <c r="M6" s="110"/>
      <c r="P6">
        <v>1.45</v>
      </c>
      <c r="Q6" t="s">
        <v>5</v>
      </c>
      <c r="R6" t="s">
        <v>71</v>
      </c>
      <c r="S6">
        <v>0</v>
      </c>
      <c r="T6">
        <v>0.92</v>
      </c>
      <c r="U6" s="119">
        <f t="shared" si="1"/>
        <v>60.163399999999996</v>
      </c>
    </row>
    <row r="7" spans="1:21" x14ac:dyDescent="0.3">
      <c r="A7" t="s">
        <v>5</v>
      </c>
      <c r="B7" t="s">
        <v>299</v>
      </c>
      <c r="C7">
        <v>15.316700000000001</v>
      </c>
      <c r="D7">
        <v>-89.883300000000006</v>
      </c>
      <c r="E7" t="s">
        <v>1</v>
      </c>
      <c r="F7" t="s">
        <v>2</v>
      </c>
      <c r="G7" t="s">
        <v>351</v>
      </c>
      <c r="H7" s="116">
        <v>40516</v>
      </c>
      <c r="I7" s="119">
        <v>1767.8</v>
      </c>
      <c r="J7" s="119">
        <f t="shared" si="2"/>
        <v>767.64</v>
      </c>
      <c r="M7" s="110"/>
      <c r="P7">
        <v>1.45</v>
      </c>
      <c r="Q7" t="s">
        <v>5</v>
      </c>
      <c r="R7" t="s">
        <v>299</v>
      </c>
      <c r="S7">
        <v>0</v>
      </c>
      <c r="T7">
        <v>0.92</v>
      </c>
      <c r="U7" s="119">
        <f t="shared" si="1"/>
        <v>58.852400000000003</v>
      </c>
    </row>
    <row r="8" spans="1:21" x14ac:dyDescent="0.3">
      <c r="A8" t="s">
        <v>5</v>
      </c>
      <c r="B8" t="s">
        <v>140</v>
      </c>
      <c r="C8">
        <v>15.575799999999999</v>
      </c>
      <c r="D8">
        <v>-89.981099999999998</v>
      </c>
      <c r="E8" t="s">
        <v>1</v>
      </c>
      <c r="F8" t="s">
        <v>2</v>
      </c>
      <c r="G8" t="s">
        <v>351</v>
      </c>
      <c r="H8" s="116">
        <v>24099</v>
      </c>
      <c r="I8" s="119">
        <v>1805.83</v>
      </c>
      <c r="J8" s="119">
        <f t="shared" si="2"/>
        <v>784.15</v>
      </c>
      <c r="M8" s="110"/>
      <c r="P8">
        <v>1.45</v>
      </c>
      <c r="Q8" t="s">
        <v>5</v>
      </c>
      <c r="R8" t="s">
        <v>140</v>
      </c>
      <c r="S8">
        <v>0</v>
      </c>
      <c r="T8">
        <v>0.92</v>
      </c>
      <c r="U8" s="119">
        <f t="shared" si="1"/>
        <v>60.118166666666667</v>
      </c>
    </row>
    <row r="9" spans="1:21" x14ac:dyDescent="0.3">
      <c r="A9" t="s">
        <v>5</v>
      </c>
      <c r="B9" t="s">
        <v>43</v>
      </c>
      <c r="C9">
        <v>15.3986</v>
      </c>
      <c r="D9">
        <v>-89.640799999999999</v>
      </c>
      <c r="E9" t="s">
        <v>1</v>
      </c>
      <c r="F9" t="s">
        <v>2</v>
      </c>
      <c r="G9" t="s">
        <v>351</v>
      </c>
      <c r="H9" s="116">
        <v>71846</v>
      </c>
      <c r="I9" s="119">
        <v>1768.21</v>
      </c>
      <c r="J9" s="119">
        <f t="shared" si="2"/>
        <v>767.81</v>
      </c>
      <c r="M9" s="110"/>
      <c r="P9">
        <v>1.45</v>
      </c>
      <c r="Q9" t="s">
        <v>5</v>
      </c>
      <c r="R9" t="s">
        <v>43</v>
      </c>
      <c r="S9">
        <v>0</v>
      </c>
      <c r="T9">
        <v>0.92</v>
      </c>
      <c r="U9" s="119">
        <f t="shared" si="1"/>
        <v>58.865433333333328</v>
      </c>
    </row>
    <row r="10" spans="1:21" x14ac:dyDescent="0.3">
      <c r="A10" t="s">
        <v>5</v>
      </c>
      <c r="B10" t="s">
        <v>88</v>
      </c>
      <c r="C10">
        <v>15.8666</v>
      </c>
      <c r="D10">
        <v>-90.042400000000001</v>
      </c>
      <c r="E10" t="s">
        <v>1</v>
      </c>
      <c r="F10" t="s">
        <v>2</v>
      </c>
      <c r="G10" t="s">
        <v>351</v>
      </c>
      <c r="H10" s="116">
        <v>36832</v>
      </c>
      <c r="I10" s="119">
        <v>1807.39</v>
      </c>
      <c r="J10" s="119">
        <f t="shared" si="2"/>
        <v>784.83</v>
      </c>
      <c r="M10" s="110"/>
      <c r="P10">
        <v>1.45</v>
      </c>
      <c r="Q10" t="s">
        <v>5</v>
      </c>
      <c r="R10" t="s">
        <v>88</v>
      </c>
      <c r="S10">
        <v>0</v>
      </c>
      <c r="T10">
        <v>0.92</v>
      </c>
      <c r="U10" s="119">
        <f t="shared" si="1"/>
        <v>60.170300000000005</v>
      </c>
    </row>
    <row r="11" spans="1:21" x14ac:dyDescent="0.3">
      <c r="A11" t="s">
        <v>5</v>
      </c>
      <c r="B11" t="s">
        <v>62</v>
      </c>
      <c r="C11">
        <v>15.365</v>
      </c>
      <c r="D11">
        <v>-90.479200000000006</v>
      </c>
      <c r="E11" t="s">
        <v>1</v>
      </c>
      <c r="F11" t="s">
        <v>2</v>
      </c>
      <c r="G11" t="s">
        <v>351</v>
      </c>
      <c r="H11" s="116">
        <v>68819</v>
      </c>
      <c r="I11" s="119">
        <v>1768.04</v>
      </c>
      <c r="J11" s="119">
        <f t="shared" si="2"/>
        <v>767.74</v>
      </c>
      <c r="M11" s="110"/>
      <c r="P11">
        <v>1.45</v>
      </c>
      <c r="Q11" t="s">
        <v>5</v>
      </c>
      <c r="R11" t="s">
        <v>62</v>
      </c>
      <c r="S11">
        <v>0</v>
      </c>
      <c r="T11">
        <v>0.92</v>
      </c>
      <c r="U11" s="119">
        <f t="shared" si="1"/>
        <v>58.860066666666668</v>
      </c>
    </row>
    <row r="12" spans="1:21" x14ac:dyDescent="0.3">
      <c r="A12" t="s">
        <v>5</v>
      </c>
      <c r="B12" t="s">
        <v>34</v>
      </c>
      <c r="C12">
        <v>15.425700000000001</v>
      </c>
      <c r="D12">
        <v>-90.326300000000003</v>
      </c>
      <c r="E12" t="s">
        <v>1</v>
      </c>
      <c r="F12" t="s">
        <v>2</v>
      </c>
      <c r="G12" t="s">
        <v>351</v>
      </c>
      <c r="H12" s="116">
        <v>57456</v>
      </c>
      <c r="I12" s="119">
        <v>1768.35</v>
      </c>
      <c r="J12" s="119">
        <f t="shared" si="2"/>
        <v>767.87</v>
      </c>
      <c r="M12" s="110"/>
      <c r="P12">
        <v>1.45</v>
      </c>
      <c r="Q12" t="s">
        <v>5</v>
      </c>
      <c r="R12" t="s">
        <v>34</v>
      </c>
      <c r="S12">
        <v>0</v>
      </c>
      <c r="T12">
        <v>0.92</v>
      </c>
      <c r="U12" s="119">
        <f t="shared" si="1"/>
        <v>58.870033333333339</v>
      </c>
    </row>
    <row r="13" spans="1:21" x14ac:dyDescent="0.3">
      <c r="A13" t="s">
        <v>5</v>
      </c>
      <c r="B13" t="s">
        <v>8</v>
      </c>
      <c r="C13">
        <v>15.476800000000001</v>
      </c>
      <c r="D13">
        <v>-90.311999999999998</v>
      </c>
      <c r="E13" t="s">
        <v>1</v>
      </c>
      <c r="F13" t="s">
        <v>2</v>
      </c>
      <c r="G13" t="s">
        <v>351</v>
      </c>
      <c r="H13" s="116">
        <v>235275</v>
      </c>
      <c r="I13" s="119">
        <v>1768.61</v>
      </c>
      <c r="J13" s="119">
        <f t="shared" si="2"/>
        <v>767.99</v>
      </c>
      <c r="M13" s="110"/>
      <c r="P13">
        <v>1.45</v>
      </c>
      <c r="Q13" t="s">
        <v>5</v>
      </c>
      <c r="R13" t="s">
        <v>8</v>
      </c>
      <c r="S13">
        <v>0</v>
      </c>
      <c r="T13">
        <v>0.92</v>
      </c>
      <c r="U13" s="119">
        <f t="shared" si="1"/>
        <v>58.879233333333339</v>
      </c>
    </row>
    <row r="14" spans="1:21" x14ac:dyDescent="0.3">
      <c r="A14" t="s">
        <v>5</v>
      </c>
      <c r="B14" t="s">
        <v>60</v>
      </c>
      <c r="C14">
        <v>15.3736</v>
      </c>
      <c r="D14">
        <v>-90.430599999999998</v>
      </c>
      <c r="E14" t="s">
        <v>1</v>
      </c>
      <c r="F14" t="s">
        <v>2</v>
      </c>
      <c r="G14" t="s">
        <v>351</v>
      </c>
      <c r="H14" s="116">
        <v>32042</v>
      </c>
      <c r="I14" s="119">
        <v>1768.09</v>
      </c>
      <c r="J14" s="119">
        <f t="shared" si="2"/>
        <v>767.76</v>
      </c>
      <c r="M14" s="110"/>
      <c r="P14">
        <v>1.45</v>
      </c>
      <c r="Q14" t="s">
        <v>5</v>
      </c>
      <c r="R14" t="s">
        <v>60</v>
      </c>
      <c r="S14">
        <v>0</v>
      </c>
      <c r="T14">
        <v>0.92</v>
      </c>
      <c r="U14" s="119">
        <f t="shared" si="1"/>
        <v>58.861600000000003</v>
      </c>
    </row>
    <row r="15" spans="1:21" x14ac:dyDescent="0.3">
      <c r="A15" t="s">
        <v>5</v>
      </c>
      <c r="B15" t="s">
        <v>44</v>
      </c>
      <c r="C15">
        <v>15.416399999999999</v>
      </c>
      <c r="D15">
        <v>-89.820300000000003</v>
      </c>
      <c r="E15" t="s">
        <v>1</v>
      </c>
      <c r="F15" t="s">
        <v>2</v>
      </c>
      <c r="G15" t="s">
        <v>351</v>
      </c>
      <c r="H15" s="116">
        <v>91974</v>
      </c>
      <c r="I15" s="119">
        <v>1768.3</v>
      </c>
      <c r="J15" s="119">
        <f t="shared" si="2"/>
        <v>767.85</v>
      </c>
      <c r="M15" s="110"/>
      <c r="P15">
        <v>1.45</v>
      </c>
      <c r="Q15" t="s">
        <v>5</v>
      </c>
      <c r="R15" t="s">
        <v>44</v>
      </c>
      <c r="S15">
        <v>0</v>
      </c>
      <c r="T15">
        <v>0.92</v>
      </c>
      <c r="U15" s="119">
        <f t="shared" si="1"/>
        <v>58.868500000000004</v>
      </c>
    </row>
    <row r="16" spans="1:21" x14ac:dyDescent="0.3">
      <c r="A16" t="s">
        <v>5</v>
      </c>
      <c r="B16" t="s">
        <v>102</v>
      </c>
      <c r="C16">
        <v>15.316700000000001</v>
      </c>
      <c r="D16">
        <v>-90.351100000000002</v>
      </c>
      <c r="E16" t="s">
        <v>1</v>
      </c>
      <c r="F16" t="s">
        <v>2</v>
      </c>
      <c r="G16" t="s">
        <v>351</v>
      </c>
      <c r="H16" s="116">
        <v>38052</v>
      </c>
      <c r="I16" s="119">
        <v>1767.8</v>
      </c>
      <c r="J16" s="119">
        <f t="shared" si="2"/>
        <v>767.64</v>
      </c>
      <c r="M16" s="110"/>
      <c r="P16">
        <v>1.45</v>
      </c>
      <c r="Q16" t="s">
        <v>5</v>
      </c>
      <c r="R16" t="s">
        <v>102</v>
      </c>
      <c r="S16">
        <v>0</v>
      </c>
      <c r="T16">
        <v>0.92</v>
      </c>
      <c r="U16" s="119">
        <f t="shared" si="1"/>
        <v>58.852400000000003</v>
      </c>
    </row>
    <row r="17" spans="1:21" x14ac:dyDescent="0.3">
      <c r="A17" t="s">
        <v>5</v>
      </c>
      <c r="B17" t="s">
        <v>156</v>
      </c>
      <c r="C17">
        <v>15.306900000000001</v>
      </c>
      <c r="D17">
        <v>-90.234200000000001</v>
      </c>
      <c r="E17" t="s">
        <v>1</v>
      </c>
      <c r="F17" t="s">
        <v>2</v>
      </c>
      <c r="G17" t="s">
        <v>351</v>
      </c>
      <c r="H17" s="116">
        <v>19984</v>
      </c>
      <c r="I17" s="119">
        <v>1767.75</v>
      </c>
      <c r="J17" s="119">
        <f t="shared" si="2"/>
        <v>767.61</v>
      </c>
      <c r="M17" s="110"/>
      <c r="P17">
        <v>1.45</v>
      </c>
      <c r="Q17" t="s">
        <v>5</v>
      </c>
      <c r="R17" t="s">
        <v>156</v>
      </c>
      <c r="S17">
        <v>0</v>
      </c>
      <c r="T17">
        <v>0.92</v>
      </c>
      <c r="U17" s="119">
        <f t="shared" si="1"/>
        <v>58.850100000000005</v>
      </c>
    </row>
    <row r="18" spans="1:21" x14ac:dyDescent="0.3">
      <c r="A18" t="s">
        <v>5</v>
      </c>
      <c r="B18" t="s">
        <v>105</v>
      </c>
      <c r="C18">
        <v>15.293832</v>
      </c>
      <c r="D18">
        <v>-90.118981000000005</v>
      </c>
      <c r="E18" t="s">
        <v>1</v>
      </c>
      <c r="F18" t="s">
        <v>2</v>
      </c>
      <c r="G18" t="s">
        <v>351</v>
      </c>
      <c r="H18" s="116">
        <v>43473</v>
      </c>
      <c r="I18" s="119">
        <v>1767.68</v>
      </c>
      <c r="J18" s="119">
        <f t="shared" si="2"/>
        <v>767.58</v>
      </c>
      <c r="M18" s="110"/>
      <c r="P18">
        <v>1.45</v>
      </c>
      <c r="Q18" t="s">
        <v>5</v>
      </c>
      <c r="R18" t="s">
        <v>105</v>
      </c>
      <c r="S18">
        <v>0</v>
      </c>
      <c r="T18">
        <v>0.92</v>
      </c>
      <c r="U18" s="119">
        <f t="shared" si="1"/>
        <v>58.847800000000007</v>
      </c>
    </row>
    <row r="19" spans="1:21" x14ac:dyDescent="0.3">
      <c r="A19" t="s">
        <v>58</v>
      </c>
      <c r="B19" t="s">
        <v>70</v>
      </c>
      <c r="C19">
        <v>15.1083</v>
      </c>
      <c r="D19">
        <v>-90.630600000000001</v>
      </c>
      <c r="E19" t="s">
        <v>1</v>
      </c>
      <c r="F19" t="s">
        <v>2</v>
      </c>
      <c r="G19" t="s">
        <v>351</v>
      </c>
      <c r="H19" s="116">
        <v>54869</v>
      </c>
      <c r="I19" s="119">
        <v>1847.78</v>
      </c>
      <c r="J19" s="119">
        <f>ROUND(K$23*I19,2)</f>
        <v>803.24</v>
      </c>
      <c r="M19" s="110"/>
      <c r="P19">
        <v>1.45</v>
      </c>
      <c r="Q19" t="s">
        <v>58</v>
      </c>
      <c r="R19" t="s">
        <v>70</v>
      </c>
      <c r="S19">
        <v>0</v>
      </c>
      <c r="T19">
        <v>0.92</v>
      </c>
      <c r="U19" s="119">
        <f t="shared" si="1"/>
        <v>61.581733333333339</v>
      </c>
    </row>
    <row r="20" spans="1:21" x14ac:dyDescent="0.3">
      <c r="A20" t="s">
        <v>58</v>
      </c>
      <c r="B20" t="s">
        <v>304</v>
      </c>
      <c r="C20">
        <v>14.916499999999999</v>
      </c>
      <c r="D20">
        <v>-90.522900000000007</v>
      </c>
      <c r="E20" t="s">
        <v>1</v>
      </c>
      <c r="F20" t="s">
        <v>2</v>
      </c>
      <c r="G20" t="s">
        <v>351</v>
      </c>
      <c r="H20" s="116">
        <v>13595</v>
      </c>
      <c r="I20" s="119">
        <v>1846.7</v>
      </c>
      <c r="J20" s="119">
        <f t="shared" ref="J20:J22" si="3">ROUND(K$23*I20,2)</f>
        <v>802.77</v>
      </c>
      <c r="M20" s="110"/>
      <c r="P20">
        <v>1.45</v>
      </c>
      <c r="Q20" t="s">
        <v>58</v>
      </c>
      <c r="R20" t="s">
        <v>304</v>
      </c>
      <c r="S20">
        <v>0</v>
      </c>
      <c r="T20">
        <v>0.92</v>
      </c>
      <c r="U20" s="119">
        <f t="shared" si="1"/>
        <v>61.545699999999997</v>
      </c>
    </row>
    <row r="21" spans="1:21" x14ac:dyDescent="0.3">
      <c r="A21" t="s">
        <v>58</v>
      </c>
      <c r="B21" t="s">
        <v>182</v>
      </c>
      <c r="C21">
        <v>15.235300000000001</v>
      </c>
      <c r="D21">
        <v>-90.234999999999999</v>
      </c>
      <c r="E21" t="s">
        <v>1</v>
      </c>
      <c r="F21" t="s">
        <v>2</v>
      </c>
      <c r="G21" t="s">
        <v>351</v>
      </c>
      <c r="H21" s="116">
        <v>56822</v>
      </c>
      <c r="I21" s="119">
        <v>1767.38</v>
      </c>
      <c r="J21" s="119">
        <f t="shared" si="3"/>
        <v>768.29</v>
      </c>
      <c r="M21" s="110"/>
      <c r="P21">
        <v>1.45</v>
      </c>
      <c r="Q21" t="s">
        <v>58</v>
      </c>
      <c r="R21" t="s">
        <v>182</v>
      </c>
      <c r="S21">
        <v>0</v>
      </c>
      <c r="T21">
        <v>0.92</v>
      </c>
      <c r="U21" s="119">
        <f t="shared" si="1"/>
        <v>58.902233333333328</v>
      </c>
    </row>
    <row r="22" spans="1:21" x14ac:dyDescent="0.3">
      <c r="A22" t="s">
        <v>58</v>
      </c>
      <c r="B22" t="s">
        <v>73</v>
      </c>
      <c r="C22">
        <v>15.1083</v>
      </c>
      <c r="D22">
        <v>-90.5</v>
      </c>
      <c r="E22" t="s">
        <v>1</v>
      </c>
      <c r="F22" t="s">
        <v>2</v>
      </c>
      <c r="G22" t="s">
        <v>351</v>
      </c>
      <c r="H22" s="116">
        <v>40797</v>
      </c>
      <c r="I22" s="119">
        <v>1766.7</v>
      </c>
      <c r="J22" s="119">
        <f t="shared" si="3"/>
        <v>767.99</v>
      </c>
      <c r="M22" s="110"/>
      <c r="P22">
        <v>1.45</v>
      </c>
      <c r="Q22" t="s">
        <v>58</v>
      </c>
      <c r="R22" t="s">
        <v>73</v>
      </c>
      <c r="S22">
        <v>0</v>
      </c>
      <c r="T22">
        <v>0.92</v>
      </c>
      <c r="U22" s="119">
        <f t="shared" si="1"/>
        <v>58.879233333333339</v>
      </c>
    </row>
    <row r="23" spans="1:21" x14ac:dyDescent="0.3">
      <c r="A23" t="s">
        <v>58</v>
      </c>
      <c r="B23" t="s">
        <v>57</v>
      </c>
      <c r="C23">
        <v>15.1052</v>
      </c>
      <c r="D23">
        <v>-90.316000000000003</v>
      </c>
      <c r="E23" t="s">
        <v>1</v>
      </c>
      <c r="F23" t="s">
        <v>2</v>
      </c>
      <c r="G23" t="s">
        <v>350</v>
      </c>
      <c r="H23" s="116">
        <v>65275</v>
      </c>
      <c r="I23" s="119">
        <v>1766.72</v>
      </c>
      <c r="J23" s="119">
        <v>768</v>
      </c>
      <c r="K23" s="118">
        <f>J23/I23</f>
        <v>0.43470385799673972</v>
      </c>
      <c r="M23" s="110"/>
      <c r="P23">
        <v>1.45</v>
      </c>
      <c r="Q23" t="s">
        <v>58</v>
      </c>
      <c r="R23" t="s">
        <v>57</v>
      </c>
      <c r="S23">
        <v>0</v>
      </c>
      <c r="T23">
        <v>0.92</v>
      </c>
      <c r="U23" s="119">
        <f t="shared" si="1"/>
        <v>58.88</v>
      </c>
    </row>
    <row r="24" spans="1:21" x14ac:dyDescent="0.3">
      <c r="A24" t="s">
        <v>58</v>
      </c>
      <c r="B24" t="s">
        <v>298</v>
      </c>
      <c r="C24">
        <v>15.06049</v>
      </c>
      <c r="D24">
        <v>-90.243219999999994</v>
      </c>
      <c r="E24" t="s">
        <v>1</v>
      </c>
      <c r="F24" t="s">
        <v>2</v>
      </c>
      <c r="G24" t="s">
        <v>351</v>
      </c>
      <c r="H24" s="116">
        <v>25459</v>
      </c>
      <c r="I24" s="119">
        <v>1766.5</v>
      </c>
      <c r="J24" s="119">
        <f t="shared" ref="J24:J26" si="4">ROUND(K$23*I24,2)</f>
        <v>767.9</v>
      </c>
      <c r="M24" s="110"/>
      <c r="P24">
        <v>1.45</v>
      </c>
      <c r="Q24" t="s">
        <v>58</v>
      </c>
      <c r="R24" t="s">
        <v>298</v>
      </c>
      <c r="S24">
        <v>0</v>
      </c>
      <c r="T24">
        <v>0.92</v>
      </c>
      <c r="U24" s="119">
        <f t="shared" si="1"/>
        <v>58.872333333333337</v>
      </c>
    </row>
    <row r="25" spans="1:21" x14ac:dyDescent="0.3">
      <c r="A25" t="s">
        <v>58</v>
      </c>
      <c r="B25" t="s">
        <v>119</v>
      </c>
      <c r="C25">
        <v>15.1</v>
      </c>
      <c r="D25">
        <v>-90.4</v>
      </c>
      <c r="E25" t="s">
        <v>1</v>
      </c>
      <c r="F25" t="s">
        <v>2</v>
      </c>
      <c r="G25" t="s">
        <v>351</v>
      </c>
      <c r="H25" s="116">
        <v>33121</v>
      </c>
      <c r="I25" s="119">
        <v>1766.7</v>
      </c>
      <c r="J25" s="119">
        <f t="shared" si="4"/>
        <v>767.99</v>
      </c>
      <c r="M25" s="110"/>
      <c r="P25">
        <v>1.45</v>
      </c>
      <c r="Q25" t="s">
        <v>58</v>
      </c>
      <c r="R25" t="s">
        <v>119</v>
      </c>
      <c r="S25">
        <v>0</v>
      </c>
      <c r="T25">
        <v>0.92</v>
      </c>
      <c r="U25" s="119">
        <f t="shared" si="1"/>
        <v>58.879233333333339</v>
      </c>
    </row>
    <row r="26" spans="1:21" x14ac:dyDescent="0.3">
      <c r="A26" t="s">
        <v>58</v>
      </c>
      <c r="B26" t="s">
        <v>317</v>
      </c>
      <c r="C26">
        <v>14.9611</v>
      </c>
      <c r="D26">
        <v>-90.487799999999993</v>
      </c>
      <c r="E26" t="s">
        <v>1</v>
      </c>
      <c r="F26" t="s">
        <v>2</v>
      </c>
      <c r="G26" t="s">
        <v>351</v>
      </c>
      <c r="H26" s="116">
        <v>9538</v>
      </c>
      <c r="I26" s="119">
        <v>1765.99</v>
      </c>
      <c r="J26" s="119">
        <f t="shared" si="4"/>
        <v>767.68</v>
      </c>
      <c r="M26" s="110"/>
      <c r="P26">
        <v>1.45</v>
      </c>
      <c r="Q26" t="s">
        <v>58</v>
      </c>
      <c r="R26" t="s">
        <v>317</v>
      </c>
      <c r="S26">
        <v>0</v>
      </c>
      <c r="T26">
        <v>0.92</v>
      </c>
      <c r="U26" s="119">
        <f t="shared" si="1"/>
        <v>58.855466666666665</v>
      </c>
    </row>
    <row r="27" spans="1:21" x14ac:dyDescent="0.3">
      <c r="A27" t="s">
        <v>48</v>
      </c>
      <c r="B27" t="s">
        <v>257</v>
      </c>
      <c r="C27">
        <v>14.554399999999999</v>
      </c>
      <c r="D27">
        <v>-90.943899999999999</v>
      </c>
      <c r="E27" t="s">
        <v>1</v>
      </c>
      <c r="F27" t="s">
        <v>2</v>
      </c>
      <c r="G27" t="s">
        <v>351</v>
      </c>
      <c r="H27" s="116">
        <v>23228</v>
      </c>
      <c r="I27" s="119">
        <v>1844.69</v>
      </c>
      <c r="J27" s="119">
        <f>ROUND(K$28*I27,2)</f>
        <v>801.74</v>
      </c>
      <c r="M27" s="110"/>
      <c r="P27">
        <v>1.45</v>
      </c>
      <c r="Q27" t="s">
        <v>48</v>
      </c>
      <c r="R27" t="s">
        <v>257</v>
      </c>
      <c r="S27">
        <v>0</v>
      </c>
      <c r="T27">
        <v>0.92</v>
      </c>
      <c r="U27" s="119">
        <f t="shared" si="1"/>
        <v>61.466733333333337</v>
      </c>
    </row>
    <row r="28" spans="1:21" x14ac:dyDescent="0.3">
      <c r="A28" t="s">
        <v>48</v>
      </c>
      <c r="B28" t="s">
        <v>48</v>
      </c>
      <c r="C28">
        <v>14.6622</v>
      </c>
      <c r="D28">
        <v>-90.820800000000006</v>
      </c>
      <c r="E28" t="s">
        <v>1</v>
      </c>
      <c r="F28" t="s">
        <v>2</v>
      </c>
      <c r="G28" t="s">
        <v>350</v>
      </c>
      <c r="H28" s="116">
        <v>96985</v>
      </c>
      <c r="I28" s="119">
        <v>1845.29</v>
      </c>
      <c r="J28" s="119">
        <v>802</v>
      </c>
      <c r="K28" s="118">
        <f>J28/I28</f>
        <v>0.43462003262359844</v>
      </c>
      <c r="M28" s="110"/>
      <c r="P28">
        <v>1.45</v>
      </c>
      <c r="Q28" t="s">
        <v>48</v>
      </c>
      <c r="R28" t="s">
        <v>48</v>
      </c>
      <c r="S28">
        <v>0</v>
      </c>
      <c r="T28">
        <v>0.92</v>
      </c>
      <c r="U28" s="119">
        <f t="shared" si="1"/>
        <v>61.486666666666665</v>
      </c>
    </row>
    <row r="29" spans="1:21" x14ac:dyDescent="0.3">
      <c r="A29" t="s">
        <v>48</v>
      </c>
      <c r="B29" t="s">
        <v>118</v>
      </c>
      <c r="C29">
        <v>14.65</v>
      </c>
      <c r="D29">
        <v>-90.8</v>
      </c>
      <c r="E29" t="s">
        <v>1</v>
      </c>
      <c r="F29" t="s">
        <v>2</v>
      </c>
      <c r="G29" t="s">
        <v>351</v>
      </c>
      <c r="H29" s="116">
        <v>19492</v>
      </c>
      <c r="I29" s="119">
        <v>1845.22</v>
      </c>
      <c r="J29" s="119">
        <f t="shared" ref="J29:J42" si="5">ROUND(K$28*I29,2)</f>
        <v>801.97</v>
      </c>
      <c r="M29" s="110"/>
      <c r="P29">
        <v>1.45</v>
      </c>
      <c r="Q29" t="s">
        <v>48</v>
      </c>
      <c r="R29" t="s">
        <v>118</v>
      </c>
      <c r="S29">
        <v>0</v>
      </c>
      <c r="T29">
        <v>0.92</v>
      </c>
      <c r="U29" s="119">
        <f t="shared" si="1"/>
        <v>61.484366666666666</v>
      </c>
    </row>
    <row r="30" spans="1:21" x14ac:dyDescent="0.3">
      <c r="A30" t="s">
        <v>48</v>
      </c>
      <c r="B30" t="s">
        <v>214</v>
      </c>
      <c r="C30">
        <v>14.607799999999999</v>
      </c>
      <c r="D30">
        <v>-90.803100000000001</v>
      </c>
      <c r="E30" t="s">
        <v>1</v>
      </c>
      <c r="F30" t="s">
        <v>2</v>
      </c>
      <c r="G30" t="s">
        <v>351</v>
      </c>
      <c r="H30" s="116">
        <v>15924</v>
      </c>
      <c r="I30" s="119">
        <v>1844.98</v>
      </c>
      <c r="J30" s="119">
        <f t="shared" si="5"/>
        <v>801.87</v>
      </c>
      <c r="M30" s="110"/>
      <c r="P30">
        <v>1.45</v>
      </c>
      <c r="Q30" t="s">
        <v>48</v>
      </c>
      <c r="R30" t="s">
        <v>214</v>
      </c>
      <c r="S30">
        <v>0</v>
      </c>
      <c r="T30">
        <v>0.92</v>
      </c>
      <c r="U30" s="119">
        <f t="shared" si="1"/>
        <v>61.476700000000008</v>
      </c>
    </row>
    <row r="31" spans="1:21" x14ac:dyDescent="0.3">
      <c r="A31" t="s">
        <v>48</v>
      </c>
      <c r="B31" t="s">
        <v>216</v>
      </c>
      <c r="C31">
        <v>14.63076</v>
      </c>
      <c r="D31">
        <v>-90.927229999999994</v>
      </c>
      <c r="E31" t="s">
        <v>1</v>
      </c>
      <c r="F31" t="s">
        <v>2</v>
      </c>
      <c r="G31" t="s">
        <v>351</v>
      </c>
      <c r="H31" s="116">
        <v>33207</v>
      </c>
      <c r="I31" s="119">
        <v>1845.29</v>
      </c>
      <c r="J31" s="119">
        <f t="shared" si="5"/>
        <v>802</v>
      </c>
      <c r="M31" s="110"/>
      <c r="P31">
        <v>1.45</v>
      </c>
      <c r="Q31" t="s">
        <v>48</v>
      </c>
      <c r="R31" t="s">
        <v>216</v>
      </c>
      <c r="S31">
        <v>0</v>
      </c>
      <c r="T31">
        <v>0.92</v>
      </c>
      <c r="U31" s="119">
        <f t="shared" si="1"/>
        <v>61.486666666666665</v>
      </c>
    </row>
    <row r="32" spans="1:21" x14ac:dyDescent="0.3">
      <c r="A32" t="s">
        <v>48</v>
      </c>
      <c r="B32" t="s">
        <v>233</v>
      </c>
      <c r="C32">
        <v>14.677899999999999</v>
      </c>
      <c r="D32">
        <v>-91.016549999999995</v>
      </c>
      <c r="E32" t="s">
        <v>1</v>
      </c>
      <c r="F32" t="s">
        <v>2</v>
      </c>
      <c r="G32" t="s">
        <v>351</v>
      </c>
      <c r="H32" s="116">
        <v>58240</v>
      </c>
      <c r="I32" s="119">
        <v>1845.38</v>
      </c>
      <c r="J32" s="119">
        <f t="shared" si="5"/>
        <v>802.04</v>
      </c>
      <c r="M32" s="110"/>
      <c r="P32">
        <v>1.45</v>
      </c>
      <c r="Q32" t="s">
        <v>48</v>
      </c>
      <c r="R32" t="s">
        <v>233</v>
      </c>
      <c r="S32">
        <v>0</v>
      </c>
      <c r="T32">
        <v>0.92</v>
      </c>
      <c r="U32" s="119">
        <f t="shared" si="1"/>
        <v>61.489733333333326</v>
      </c>
    </row>
    <row r="33" spans="1:21" x14ac:dyDescent="0.3">
      <c r="A33" t="s">
        <v>48</v>
      </c>
      <c r="B33" t="s">
        <v>301</v>
      </c>
      <c r="C33">
        <v>14.55</v>
      </c>
      <c r="D33">
        <v>-91.083299999999994</v>
      </c>
      <c r="E33" t="s">
        <v>1</v>
      </c>
      <c r="F33" t="s">
        <v>2</v>
      </c>
      <c r="G33" t="s">
        <v>351</v>
      </c>
      <c r="H33" s="116">
        <v>8790</v>
      </c>
      <c r="I33" s="119">
        <v>1844.66</v>
      </c>
      <c r="J33" s="119">
        <f t="shared" si="5"/>
        <v>801.73</v>
      </c>
      <c r="M33" s="110"/>
      <c r="P33">
        <v>1.45</v>
      </c>
      <c r="Q33" t="s">
        <v>48</v>
      </c>
      <c r="R33" t="s">
        <v>301</v>
      </c>
      <c r="S33">
        <v>0</v>
      </c>
      <c r="T33">
        <v>0.92</v>
      </c>
      <c r="U33" s="119">
        <f t="shared" si="1"/>
        <v>61.465966666666674</v>
      </c>
    </row>
    <row r="34" spans="1:21" x14ac:dyDescent="0.3">
      <c r="A34" t="s">
        <v>48</v>
      </c>
      <c r="B34" t="s">
        <v>95</v>
      </c>
      <c r="C34">
        <v>14.6167</v>
      </c>
      <c r="D34">
        <v>-90.85</v>
      </c>
      <c r="E34" t="s">
        <v>1</v>
      </c>
      <c r="F34" t="s">
        <v>2</v>
      </c>
      <c r="G34" t="s">
        <v>351</v>
      </c>
      <c r="H34" s="116">
        <v>32083</v>
      </c>
      <c r="I34" s="119">
        <v>1845.05</v>
      </c>
      <c r="J34" s="119">
        <f t="shared" si="5"/>
        <v>801.9</v>
      </c>
      <c r="M34" s="110"/>
      <c r="P34">
        <v>1.45</v>
      </c>
      <c r="Q34" t="s">
        <v>48</v>
      </c>
      <c r="R34" t="s">
        <v>95</v>
      </c>
      <c r="S34">
        <v>0</v>
      </c>
      <c r="T34">
        <v>0.92</v>
      </c>
      <c r="U34" s="119">
        <f t="shared" si="1"/>
        <v>61.479000000000006</v>
      </c>
    </row>
    <row r="35" spans="1:21" x14ac:dyDescent="0.3">
      <c r="A35" t="s">
        <v>48</v>
      </c>
      <c r="B35" t="s">
        <v>239</v>
      </c>
      <c r="C35">
        <v>14.816700000000001</v>
      </c>
      <c r="D35">
        <v>-90.9</v>
      </c>
      <c r="E35" t="s">
        <v>1</v>
      </c>
      <c r="F35" t="s">
        <v>2</v>
      </c>
      <c r="G35" t="s">
        <v>351</v>
      </c>
      <c r="H35" s="116">
        <v>26845</v>
      </c>
      <c r="I35" s="119">
        <v>1846.15</v>
      </c>
      <c r="J35" s="119">
        <f t="shared" si="5"/>
        <v>802.37</v>
      </c>
      <c r="M35" s="110"/>
      <c r="P35">
        <v>1.45</v>
      </c>
      <c r="Q35" t="s">
        <v>48</v>
      </c>
      <c r="R35" t="s">
        <v>239</v>
      </c>
      <c r="S35">
        <v>0</v>
      </c>
      <c r="T35">
        <v>0.92</v>
      </c>
      <c r="U35" s="119">
        <f t="shared" si="1"/>
        <v>61.515033333333335</v>
      </c>
    </row>
    <row r="36" spans="1:21" x14ac:dyDescent="0.3">
      <c r="A36" t="s">
        <v>48</v>
      </c>
      <c r="B36" t="s">
        <v>319</v>
      </c>
      <c r="C36">
        <v>14.7409</v>
      </c>
      <c r="D36">
        <v>-90.887600000000006</v>
      </c>
      <c r="E36" t="s">
        <v>1</v>
      </c>
      <c r="F36" t="s">
        <v>2</v>
      </c>
      <c r="G36" t="s">
        <v>351</v>
      </c>
      <c r="H36" s="116">
        <v>48597</v>
      </c>
      <c r="I36" s="119">
        <v>1845.73</v>
      </c>
      <c r="J36" s="119">
        <f t="shared" si="5"/>
        <v>802.19</v>
      </c>
      <c r="M36" s="110"/>
      <c r="P36">
        <v>1.45</v>
      </c>
      <c r="Q36" t="s">
        <v>48</v>
      </c>
      <c r="R36" t="s">
        <v>319</v>
      </c>
      <c r="S36">
        <v>0</v>
      </c>
      <c r="T36">
        <v>0.92</v>
      </c>
      <c r="U36" s="119">
        <f t="shared" si="1"/>
        <v>61.501233333333346</v>
      </c>
    </row>
    <row r="37" spans="1:21" x14ac:dyDescent="0.3">
      <c r="A37" t="s">
        <v>48</v>
      </c>
      <c r="B37" t="s">
        <v>253</v>
      </c>
      <c r="C37">
        <v>14.782999999999999</v>
      </c>
      <c r="D37">
        <v>-90.794200000000004</v>
      </c>
      <c r="E37" t="s">
        <v>1</v>
      </c>
      <c r="F37" t="s">
        <v>2</v>
      </c>
      <c r="G37" t="s">
        <v>351</v>
      </c>
      <c r="H37" s="116">
        <v>73469</v>
      </c>
      <c r="I37" s="119">
        <v>1845.96</v>
      </c>
      <c r="J37" s="119">
        <f t="shared" si="5"/>
        <v>802.29</v>
      </c>
      <c r="M37" s="110"/>
      <c r="P37">
        <v>1.45</v>
      </c>
      <c r="Q37" t="s">
        <v>48</v>
      </c>
      <c r="R37" t="s">
        <v>253</v>
      </c>
      <c r="S37">
        <v>0</v>
      </c>
      <c r="T37">
        <v>0.92</v>
      </c>
      <c r="U37" s="119">
        <f t="shared" si="1"/>
        <v>61.508900000000004</v>
      </c>
    </row>
    <row r="38" spans="1:21" x14ac:dyDescent="0.3">
      <c r="A38" t="s">
        <v>48</v>
      </c>
      <c r="B38" t="s">
        <v>318</v>
      </c>
      <c r="C38">
        <v>14.5</v>
      </c>
      <c r="D38">
        <v>-90.95</v>
      </c>
      <c r="E38" t="s">
        <v>1</v>
      </c>
      <c r="F38" t="s">
        <v>2</v>
      </c>
      <c r="G38" t="s">
        <v>351</v>
      </c>
      <c r="H38" s="116">
        <v>34948</v>
      </c>
      <c r="I38" s="119">
        <v>1844.39</v>
      </c>
      <c r="J38" s="119">
        <f t="shared" si="5"/>
        <v>801.61</v>
      </c>
      <c r="M38" s="110"/>
      <c r="P38">
        <v>1.45</v>
      </c>
      <c r="Q38" t="s">
        <v>48</v>
      </c>
      <c r="R38" t="s">
        <v>318</v>
      </c>
      <c r="S38">
        <v>0</v>
      </c>
      <c r="T38">
        <v>0.92</v>
      </c>
      <c r="U38" s="119">
        <f t="shared" si="1"/>
        <v>61.456766666666667</v>
      </c>
    </row>
    <row r="39" spans="1:21" x14ac:dyDescent="0.3">
      <c r="A39" t="s">
        <v>48</v>
      </c>
      <c r="B39" t="s">
        <v>229</v>
      </c>
      <c r="C39">
        <v>14.783300000000001</v>
      </c>
      <c r="D39">
        <v>-90.966700000000003</v>
      </c>
      <c r="E39" t="s">
        <v>1</v>
      </c>
      <c r="F39" t="s">
        <v>2</v>
      </c>
      <c r="G39" t="s">
        <v>351</v>
      </c>
      <c r="H39" s="116">
        <v>18540</v>
      </c>
      <c r="I39" s="119">
        <v>1845.97</v>
      </c>
      <c r="J39" s="119">
        <f t="shared" si="5"/>
        <v>802.3</v>
      </c>
      <c r="M39" s="110"/>
      <c r="P39">
        <v>1.45</v>
      </c>
      <c r="Q39" t="s">
        <v>48</v>
      </c>
      <c r="R39" t="s">
        <v>229</v>
      </c>
      <c r="S39">
        <v>0</v>
      </c>
      <c r="T39">
        <v>0.92</v>
      </c>
      <c r="U39" s="119">
        <f t="shared" si="1"/>
        <v>61.509666666666668</v>
      </c>
    </row>
    <row r="40" spans="1:21" x14ac:dyDescent="0.3">
      <c r="A40" t="s">
        <v>48</v>
      </c>
      <c r="B40" t="s">
        <v>226</v>
      </c>
      <c r="C40">
        <v>14.6869</v>
      </c>
      <c r="D40">
        <v>-90.919399999999996</v>
      </c>
      <c r="E40" t="s">
        <v>1</v>
      </c>
      <c r="F40" t="s">
        <v>2</v>
      </c>
      <c r="G40" t="s">
        <v>351</v>
      </c>
      <c r="H40" s="116">
        <v>9479</v>
      </c>
      <c r="I40" s="119">
        <v>1845.43</v>
      </c>
      <c r="J40" s="119">
        <f t="shared" si="5"/>
        <v>802.06</v>
      </c>
      <c r="M40" s="110"/>
      <c r="P40">
        <v>1.45</v>
      </c>
      <c r="Q40" t="s">
        <v>48</v>
      </c>
      <c r="R40" t="s">
        <v>226</v>
      </c>
      <c r="S40">
        <v>0</v>
      </c>
      <c r="T40">
        <v>0.92</v>
      </c>
      <c r="U40" s="119">
        <f t="shared" si="1"/>
        <v>61.491266666666661</v>
      </c>
    </row>
    <row r="41" spans="1:21" x14ac:dyDescent="0.3">
      <c r="A41" t="s">
        <v>48</v>
      </c>
      <c r="B41" t="s">
        <v>47</v>
      </c>
      <c r="C41">
        <v>14.7667</v>
      </c>
      <c r="D41">
        <v>-91</v>
      </c>
      <c r="E41" t="s">
        <v>1</v>
      </c>
      <c r="F41" t="s">
        <v>2</v>
      </c>
      <c r="G41" t="s">
        <v>351</v>
      </c>
      <c r="H41" s="116">
        <v>91927</v>
      </c>
      <c r="I41" s="119">
        <v>1845.85</v>
      </c>
      <c r="J41" s="119">
        <f t="shared" si="5"/>
        <v>802.24</v>
      </c>
      <c r="M41" s="110"/>
      <c r="P41">
        <v>1.45</v>
      </c>
      <c r="Q41" t="s">
        <v>48</v>
      </c>
      <c r="R41" t="s">
        <v>47</v>
      </c>
      <c r="S41">
        <v>0</v>
      </c>
      <c r="T41">
        <v>0.92</v>
      </c>
      <c r="U41" s="119">
        <f t="shared" si="1"/>
        <v>61.505066666666671</v>
      </c>
    </row>
    <row r="42" spans="1:21" x14ac:dyDescent="0.3">
      <c r="A42" t="s">
        <v>48</v>
      </c>
      <c r="B42" t="s">
        <v>218</v>
      </c>
      <c r="C42">
        <v>14.649800000000001</v>
      </c>
      <c r="D42">
        <v>-90.890199999999993</v>
      </c>
      <c r="E42" t="s">
        <v>1</v>
      </c>
      <c r="F42" t="s">
        <v>2</v>
      </c>
      <c r="G42" t="s">
        <v>351</v>
      </c>
      <c r="H42" s="116">
        <v>24022</v>
      </c>
      <c r="I42" s="119">
        <v>1845.22</v>
      </c>
      <c r="J42" s="119">
        <f t="shared" si="5"/>
        <v>801.97</v>
      </c>
      <c r="M42" s="110"/>
      <c r="P42">
        <v>1.45</v>
      </c>
      <c r="Q42" t="s">
        <v>48</v>
      </c>
      <c r="R42" t="s">
        <v>218</v>
      </c>
      <c r="S42">
        <v>0</v>
      </c>
      <c r="T42">
        <v>0.92</v>
      </c>
      <c r="U42" s="119">
        <f t="shared" si="1"/>
        <v>61.484366666666666</v>
      </c>
    </row>
    <row r="43" spans="1:21" x14ac:dyDescent="0.3">
      <c r="A43" t="s">
        <v>30</v>
      </c>
      <c r="B43" t="s">
        <v>244</v>
      </c>
      <c r="C43">
        <v>14.816700000000001</v>
      </c>
      <c r="D43">
        <v>-89.366699999999994</v>
      </c>
      <c r="E43" t="s">
        <v>1</v>
      </c>
      <c r="F43" t="s">
        <v>2</v>
      </c>
      <c r="G43" t="s">
        <v>351</v>
      </c>
      <c r="H43" s="116">
        <v>56138</v>
      </c>
      <c r="I43" s="119">
        <v>1804.53</v>
      </c>
      <c r="J43" s="119">
        <f>ROUND(K$44*I43,2)</f>
        <v>784.14</v>
      </c>
      <c r="M43" s="110"/>
      <c r="P43">
        <v>1.45</v>
      </c>
      <c r="Q43" t="s">
        <v>30</v>
      </c>
      <c r="R43" t="s">
        <v>244</v>
      </c>
      <c r="S43">
        <v>0</v>
      </c>
      <c r="T43">
        <v>0.92</v>
      </c>
      <c r="U43" s="119">
        <f t="shared" si="1"/>
        <v>60.117400000000004</v>
      </c>
    </row>
    <row r="44" spans="1:21" x14ac:dyDescent="0.3">
      <c r="A44" t="s">
        <v>30</v>
      </c>
      <c r="B44" t="s">
        <v>30</v>
      </c>
      <c r="C44">
        <v>14.783300000000001</v>
      </c>
      <c r="D44">
        <v>-89.533299999999997</v>
      </c>
      <c r="E44" t="s">
        <v>1</v>
      </c>
      <c r="F44" t="s">
        <v>2</v>
      </c>
      <c r="G44" t="s">
        <v>350</v>
      </c>
      <c r="H44" s="116">
        <v>111505</v>
      </c>
      <c r="I44" s="119">
        <v>1765.09</v>
      </c>
      <c r="J44" s="119">
        <v>767</v>
      </c>
      <c r="K44" s="118">
        <f>J44/I44</f>
        <v>0.43453874873235926</v>
      </c>
      <c r="M44" s="110"/>
      <c r="P44">
        <v>1.45</v>
      </c>
      <c r="Q44" t="s">
        <v>30</v>
      </c>
      <c r="R44" t="s">
        <v>30</v>
      </c>
      <c r="S44">
        <v>0</v>
      </c>
      <c r="T44">
        <v>0.92</v>
      </c>
      <c r="U44" s="119">
        <f t="shared" si="1"/>
        <v>58.803333333333335</v>
      </c>
    </row>
    <row r="45" spans="1:21" x14ac:dyDescent="0.3">
      <c r="A45" t="s">
        <v>30</v>
      </c>
      <c r="B45" t="s">
        <v>307</v>
      </c>
      <c r="C45">
        <v>14.5167</v>
      </c>
      <c r="D45">
        <v>-89.45</v>
      </c>
      <c r="E45" t="s">
        <v>1</v>
      </c>
      <c r="F45" t="s">
        <v>2</v>
      </c>
      <c r="G45" t="s">
        <v>351</v>
      </c>
      <c r="H45" s="116">
        <v>11693</v>
      </c>
      <c r="I45" s="119">
        <v>1802.93</v>
      </c>
      <c r="J45" s="119">
        <f t="shared" ref="J45:J53" si="6">ROUND(K$44*I45,2)</f>
        <v>783.44</v>
      </c>
      <c r="M45" s="110"/>
      <c r="P45">
        <v>1.45</v>
      </c>
      <c r="Q45" t="s">
        <v>30</v>
      </c>
      <c r="R45" t="s">
        <v>307</v>
      </c>
      <c r="S45">
        <v>0</v>
      </c>
      <c r="T45">
        <v>0.92</v>
      </c>
      <c r="U45" s="119">
        <f t="shared" si="1"/>
        <v>60.063733333333346</v>
      </c>
    </row>
    <row r="46" spans="1:21" x14ac:dyDescent="0.3">
      <c r="A46" t="s">
        <v>30</v>
      </c>
      <c r="B46" t="s">
        <v>39</v>
      </c>
      <c r="C46">
        <v>14.563359999999999</v>
      </c>
      <c r="D46">
        <v>-89.336429999999993</v>
      </c>
      <c r="E46" t="s">
        <v>1</v>
      </c>
      <c r="F46" t="s">
        <v>2</v>
      </c>
      <c r="G46" t="s">
        <v>351</v>
      </c>
      <c r="H46" s="116">
        <v>53556</v>
      </c>
      <c r="I46" s="119">
        <v>1803.18</v>
      </c>
      <c r="J46" s="119">
        <f t="shared" si="6"/>
        <v>783.55</v>
      </c>
      <c r="M46" s="110"/>
      <c r="P46">
        <v>1.45</v>
      </c>
      <c r="Q46" t="s">
        <v>30</v>
      </c>
      <c r="R46" t="s">
        <v>39</v>
      </c>
      <c r="S46">
        <v>0</v>
      </c>
      <c r="T46">
        <v>0.92</v>
      </c>
      <c r="U46" s="119">
        <f t="shared" si="1"/>
        <v>60.072166666666668</v>
      </c>
    </row>
    <row r="47" spans="1:21" x14ac:dyDescent="0.3">
      <c r="A47" t="s">
        <v>30</v>
      </c>
      <c r="B47" t="s">
        <v>297</v>
      </c>
      <c r="C47">
        <v>14.619899999999999</v>
      </c>
      <c r="D47">
        <v>-89.619399999999999</v>
      </c>
      <c r="E47" t="s">
        <v>1</v>
      </c>
      <c r="F47" t="s">
        <v>2</v>
      </c>
      <c r="G47" t="s">
        <v>351</v>
      </c>
      <c r="H47" s="116">
        <v>22413</v>
      </c>
      <c r="I47" s="119">
        <v>1764.27</v>
      </c>
      <c r="J47" s="119">
        <f t="shared" si="6"/>
        <v>766.64</v>
      </c>
      <c r="M47" s="110"/>
      <c r="P47">
        <v>1.45</v>
      </c>
      <c r="Q47" t="s">
        <v>30</v>
      </c>
      <c r="R47" t="s">
        <v>297</v>
      </c>
      <c r="S47">
        <v>0</v>
      </c>
      <c r="T47">
        <v>0.92</v>
      </c>
      <c r="U47" s="119">
        <f t="shared" si="1"/>
        <v>58.775733333333335</v>
      </c>
    </row>
    <row r="48" spans="1:21" x14ac:dyDescent="0.3">
      <c r="A48" t="s">
        <v>30</v>
      </c>
      <c r="B48" t="s">
        <v>243</v>
      </c>
      <c r="C48">
        <v>14.816700000000001</v>
      </c>
      <c r="D48">
        <v>-89.383300000000006</v>
      </c>
      <c r="E48" t="s">
        <v>1</v>
      </c>
      <c r="F48" t="s">
        <v>2</v>
      </c>
      <c r="G48" t="s">
        <v>351</v>
      </c>
      <c r="H48" s="116">
        <v>66379</v>
      </c>
      <c r="I48" s="119">
        <v>1804.51</v>
      </c>
      <c r="J48" s="119">
        <f t="shared" si="6"/>
        <v>784.13</v>
      </c>
      <c r="M48" s="110"/>
      <c r="P48">
        <v>1.45</v>
      </c>
      <c r="Q48" t="s">
        <v>30</v>
      </c>
      <c r="R48" t="s">
        <v>243</v>
      </c>
      <c r="S48">
        <v>0</v>
      </c>
      <c r="T48">
        <v>0.92</v>
      </c>
      <c r="U48" s="119">
        <f t="shared" si="1"/>
        <v>60.116633333333333</v>
      </c>
    </row>
    <row r="49" spans="1:21" x14ac:dyDescent="0.3">
      <c r="A49" t="s">
        <v>30</v>
      </c>
      <c r="B49" t="s">
        <v>116</v>
      </c>
      <c r="C49">
        <v>14.683299999999999</v>
      </c>
      <c r="D49">
        <v>-89.35</v>
      </c>
      <c r="E49" t="s">
        <v>1</v>
      </c>
      <c r="F49" t="s">
        <v>2</v>
      </c>
      <c r="G49" t="s">
        <v>351</v>
      </c>
      <c r="H49" s="116">
        <v>27511</v>
      </c>
      <c r="I49" s="119">
        <v>1803.82</v>
      </c>
      <c r="J49" s="119">
        <f t="shared" si="6"/>
        <v>783.83</v>
      </c>
      <c r="M49" s="110"/>
      <c r="P49">
        <v>1.45</v>
      </c>
      <c r="Q49" t="s">
        <v>30</v>
      </c>
      <c r="R49" t="s">
        <v>116</v>
      </c>
      <c r="S49">
        <v>0</v>
      </c>
      <c r="T49">
        <v>0.92</v>
      </c>
      <c r="U49" s="119">
        <f t="shared" si="1"/>
        <v>60.093633333333344</v>
      </c>
    </row>
    <row r="50" spans="1:21" x14ac:dyDescent="0.3">
      <c r="A50" t="s">
        <v>30</v>
      </c>
      <c r="B50" t="s">
        <v>734</v>
      </c>
      <c r="C50">
        <v>14.6333</v>
      </c>
      <c r="D50">
        <v>-89.45</v>
      </c>
      <c r="E50" t="s">
        <v>1</v>
      </c>
      <c r="F50" t="s">
        <v>2</v>
      </c>
      <c r="G50" t="s">
        <v>351</v>
      </c>
      <c r="H50" s="116">
        <v>28075</v>
      </c>
      <c r="I50" s="119">
        <v>1803.54</v>
      </c>
      <c r="J50" s="119">
        <f t="shared" si="6"/>
        <v>783.71</v>
      </c>
      <c r="M50" s="110"/>
      <c r="P50">
        <v>1.45</v>
      </c>
      <c r="Q50" t="s">
        <v>30</v>
      </c>
      <c r="R50" t="s">
        <v>734</v>
      </c>
      <c r="S50">
        <v>0</v>
      </c>
      <c r="T50">
        <v>0.92</v>
      </c>
      <c r="U50" s="119">
        <f t="shared" si="1"/>
        <v>60.084433333333337</v>
      </c>
    </row>
    <row r="51" spans="1:21" x14ac:dyDescent="0.3">
      <c r="A51" t="s">
        <v>30</v>
      </c>
      <c r="B51" t="s">
        <v>320</v>
      </c>
      <c r="C51">
        <v>14.676600000000001</v>
      </c>
      <c r="D51">
        <v>-89.502600000000001</v>
      </c>
      <c r="E51" t="s">
        <v>1</v>
      </c>
      <c r="F51" t="s">
        <v>2</v>
      </c>
      <c r="G51" t="s">
        <v>351</v>
      </c>
      <c r="H51" s="116">
        <v>12619</v>
      </c>
      <c r="I51" s="119">
        <v>1764.55</v>
      </c>
      <c r="J51" s="119">
        <f t="shared" si="6"/>
        <v>766.77</v>
      </c>
      <c r="M51" s="110"/>
      <c r="P51">
        <v>1.45</v>
      </c>
      <c r="Q51" t="s">
        <v>30</v>
      </c>
      <c r="R51" t="s">
        <v>320</v>
      </c>
      <c r="S51">
        <v>0</v>
      </c>
      <c r="T51">
        <v>0.92</v>
      </c>
      <c r="U51" s="119">
        <f t="shared" si="1"/>
        <v>58.785700000000006</v>
      </c>
    </row>
    <row r="52" spans="1:21" x14ac:dyDescent="0.3">
      <c r="A52" t="s">
        <v>30</v>
      </c>
      <c r="B52" t="s">
        <v>303</v>
      </c>
      <c r="C52">
        <v>14.716699999999999</v>
      </c>
      <c r="D52">
        <v>-89.583299999999994</v>
      </c>
      <c r="E52" t="s">
        <v>1</v>
      </c>
      <c r="F52" t="s">
        <v>2</v>
      </c>
      <c r="G52" t="s">
        <v>351</v>
      </c>
      <c r="H52" s="116">
        <v>8756</v>
      </c>
      <c r="I52" s="119">
        <v>1764.75</v>
      </c>
      <c r="J52" s="119">
        <f t="shared" si="6"/>
        <v>766.85</v>
      </c>
      <c r="M52" s="110"/>
      <c r="P52">
        <v>1.45</v>
      </c>
      <c r="Q52" t="s">
        <v>30</v>
      </c>
      <c r="R52" t="s">
        <v>303</v>
      </c>
      <c r="S52">
        <v>0</v>
      </c>
      <c r="T52">
        <v>0.92</v>
      </c>
      <c r="U52" s="119">
        <f t="shared" si="1"/>
        <v>58.791833333333336</v>
      </c>
    </row>
    <row r="53" spans="1:21" x14ac:dyDescent="0.3">
      <c r="A53" t="s">
        <v>30</v>
      </c>
      <c r="B53" t="s">
        <v>267</v>
      </c>
      <c r="C53">
        <v>14.7667</v>
      </c>
      <c r="D53">
        <v>-89.433300000000003</v>
      </c>
      <c r="E53" t="s">
        <v>1</v>
      </c>
      <c r="F53" t="s">
        <v>2</v>
      </c>
      <c r="G53" t="s">
        <v>351</v>
      </c>
      <c r="H53" s="116">
        <v>16418</v>
      </c>
      <c r="I53" s="119">
        <v>1804.24</v>
      </c>
      <c r="J53" s="119">
        <f t="shared" si="6"/>
        <v>784.01</v>
      </c>
      <c r="M53" s="110"/>
      <c r="P53">
        <v>1.45</v>
      </c>
      <c r="Q53" t="s">
        <v>30</v>
      </c>
      <c r="R53" t="s">
        <v>267</v>
      </c>
      <c r="S53">
        <v>0</v>
      </c>
      <c r="T53">
        <v>0.92</v>
      </c>
      <c r="U53" s="119">
        <f t="shared" si="1"/>
        <v>60.107433333333333</v>
      </c>
    </row>
    <row r="54" spans="1:21" x14ac:dyDescent="0.3">
      <c r="A54" t="s">
        <v>81</v>
      </c>
      <c r="B54" t="s">
        <v>306</v>
      </c>
      <c r="C54">
        <v>14.9133</v>
      </c>
      <c r="D54">
        <v>-89.896500000000003</v>
      </c>
      <c r="E54" t="s">
        <v>1</v>
      </c>
      <c r="F54" t="s">
        <v>2</v>
      </c>
      <c r="G54" t="s">
        <v>351</v>
      </c>
      <c r="H54" s="116">
        <v>13128</v>
      </c>
      <c r="I54" s="119">
        <v>1765.75</v>
      </c>
      <c r="J54" s="119">
        <f>ROUND(K$55*I54,2)</f>
        <v>767.13</v>
      </c>
      <c r="M54" s="110"/>
      <c r="P54">
        <v>1.45</v>
      </c>
      <c r="Q54" t="s">
        <v>81</v>
      </c>
      <c r="R54" t="s">
        <v>306</v>
      </c>
      <c r="S54">
        <v>0</v>
      </c>
      <c r="T54">
        <v>0.92</v>
      </c>
      <c r="U54" s="119">
        <f t="shared" si="1"/>
        <v>58.813300000000005</v>
      </c>
    </row>
    <row r="55" spans="1:21" x14ac:dyDescent="0.3">
      <c r="A55" t="s">
        <v>81</v>
      </c>
      <c r="B55" t="s">
        <v>127</v>
      </c>
      <c r="C55">
        <v>14.853899999999999</v>
      </c>
      <c r="D55">
        <v>-90.068600000000004</v>
      </c>
      <c r="E55" t="s">
        <v>1</v>
      </c>
      <c r="F55" t="s">
        <v>2</v>
      </c>
      <c r="G55" t="s">
        <v>350</v>
      </c>
      <c r="H55" s="116">
        <v>24821</v>
      </c>
      <c r="I55" s="119">
        <v>1765.45</v>
      </c>
      <c r="J55" s="119">
        <v>767</v>
      </c>
      <c r="K55" s="118">
        <f>J55/I55</f>
        <v>0.43445014019088618</v>
      </c>
      <c r="M55" s="110"/>
      <c r="P55">
        <v>1.45</v>
      </c>
      <c r="Q55" t="s">
        <v>81</v>
      </c>
      <c r="R55" t="s">
        <v>127</v>
      </c>
      <c r="S55">
        <v>0</v>
      </c>
      <c r="T55">
        <v>0.92</v>
      </c>
      <c r="U55" s="119">
        <f t="shared" si="1"/>
        <v>58.803333333333335</v>
      </c>
    </row>
    <row r="56" spans="1:21" x14ac:dyDescent="0.3">
      <c r="A56" t="s">
        <v>81</v>
      </c>
      <c r="B56" t="s">
        <v>162</v>
      </c>
      <c r="C56">
        <v>14.9322</v>
      </c>
      <c r="D56">
        <v>-90.143299999999996</v>
      </c>
      <c r="E56" t="s">
        <v>1</v>
      </c>
      <c r="F56" t="s">
        <v>2</v>
      </c>
      <c r="G56" t="s">
        <v>351</v>
      </c>
      <c r="H56" s="116">
        <v>12164</v>
      </c>
      <c r="I56" s="119">
        <v>1765.85</v>
      </c>
      <c r="J56" s="119">
        <f t="shared" ref="J56:J61" si="7">ROUND(K$55*I56,2)</f>
        <v>767.17</v>
      </c>
      <c r="M56" s="110"/>
      <c r="P56">
        <v>1.45</v>
      </c>
      <c r="Q56" t="s">
        <v>81</v>
      </c>
      <c r="R56" t="s">
        <v>162</v>
      </c>
      <c r="S56">
        <v>0</v>
      </c>
      <c r="T56">
        <v>0.92</v>
      </c>
      <c r="U56" s="119">
        <f t="shared" si="1"/>
        <v>58.816366666666667</v>
      </c>
    </row>
    <row r="57" spans="1:21" x14ac:dyDescent="0.3">
      <c r="A57" t="s">
        <v>81</v>
      </c>
      <c r="B57" t="s">
        <v>80</v>
      </c>
      <c r="C57">
        <v>14.95</v>
      </c>
      <c r="D57">
        <v>-89.966700000000003</v>
      </c>
      <c r="E57" t="s">
        <v>1</v>
      </c>
      <c r="F57" t="s">
        <v>2</v>
      </c>
      <c r="G57" t="s">
        <v>351</v>
      </c>
      <c r="H57" s="116">
        <v>45765</v>
      </c>
      <c r="I57" s="119">
        <v>1765.93</v>
      </c>
      <c r="J57" s="119">
        <f t="shared" si="7"/>
        <v>767.21</v>
      </c>
      <c r="M57" s="110"/>
      <c r="P57">
        <v>1.45</v>
      </c>
      <c r="Q57" t="s">
        <v>81</v>
      </c>
      <c r="R57" t="s">
        <v>80</v>
      </c>
      <c r="S57">
        <v>0</v>
      </c>
      <c r="T57">
        <v>0.92</v>
      </c>
      <c r="U57" s="119">
        <f t="shared" si="1"/>
        <v>58.819433333333336</v>
      </c>
    </row>
    <row r="58" spans="1:21" x14ac:dyDescent="0.3">
      <c r="A58" t="s">
        <v>81</v>
      </c>
      <c r="B58" t="s">
        <v>149</v>
      </c>
      <c r="C58">
        <v>14.75</v>
      </c>
      <c r="D58">
        <v>-90.283299999999997</v>
      </c>
      <c r="E58" t="s">
        <v>1</v>
      </c>
      <c r="F58" t="s">
        <v>2</v>
      </c>
      <c r="G58" t="s">
        <v>351</v>
      </c>
      <c r="H58" s="116">
        <v>20957</v>
      </c>
      <c r="I58" s="119">
        <v>1764.92</v>
      </c>
      <c r="J58" s="119">
        <f t="shared" si="7"/>
        <v>766.77</v>
      </c>
      <c r="M58" s="110"/>
      <c r="P58">
        <v>1.45</v>
      </c>
      <c r="Q58" t="s">
        <v>81</v>
      </c>
      <c r="R58" t="s">
        <v>149</v>
      </c>
      <c r="S58">
        <v>0</v>
      </c>
      <c r="T58">
        <v>0.92</v>
      </c>
      <c r="U58" s="119">
        <f t="shared" si="1"/>
        <v>58.785700000000006</v>
      </c>
    </row>
    <row r="59" spans="1:21" x14ac:dyDescent="0.3">
      <c r="A59" t="s">
        <v>81</v>
      </c>
      <c r="B59" t="s">
        <v>181</v>
      </c>
      <c r="C59">
        <v>14.918900000000001</v>
      </c>
      <c r="D59">
        <v>-89.872200000000007</v>
      </c>
      <c r="E59" t="s">
        <v>1</v>
      </c>
      <c r="F59" t="s">
        <v>2</v>
      </c>
      <c r="G59" t="s">
        <v>351</v>
      </c>
      <c r="H59" s="116">
        <v>7199</v>
      </c>
      <c r="I59" s="119">
        <v>1765.76</v>
      </c>
      <c r="J59" s="119">
        <f t="shared" si="7"/>
        <v>767.13</v>
      </c>
      <c r="M59" s="110"/>
      <c r="P59">
        <v>1.45</v>
      </c>
      <c r="Q59" t="s">
        <v>81</v>
      </c>
      <c r="R59" t="s">
        <v>181</v>
      </c>
      <c r="S59">
        <v>0</v>
      </c>
      <c r="T59">
        <v>0.92</v>
      </c>
      <c r="U59" s="119">
        <f t="shared" si="1"/>
        <v>58.813300000000005</v>
      </c>
    </row>
    <row r="60" spans="1:21" x14ac:dyDescent="0.3">
      <c r="A60" t="s">
        <v>81</v>
      </c>
      <c r="B60" t="s">
        <v>90</v>
      </c>
      <c r="C60">
        <v>14.795</v>
      </c>
      <c r="D60">
        <v>-90.1922</v>
      </c>
      <c r="E60" t="s">
        <v>1</v>
      </c>
      <c r="F60" t="s">
        <v>2</v>
      </c>
      <c r="G60" t="s">
        <v>351</v>
      </c>
      <c r="H60" s="116">
        <v>39444</v>
      </c>
      <c r="I60" s="119">
        <v>1765.15</v>
      </c>
      <c r="J60" s="119">
        <f t="shared" si="7"/>
        <v>766.87</v>
      </c>
      <c r="M60" s="110"/>
      <c r="P60">
        <v>1.45</v>
      </c>
      <c r="Q60" t="s">
        <v>81</v>
      </c>
      <c r="R60" t="s">
        <v>90</v>
      </c>
      <c r="S60">
        <v>0</v>
      </c>
      <c r="T60">
        <v>0.92</v>
      </c>
      <c r="U60" s="119">
        <f t="shared" si="1"/>
        <v>58.793366666666671</v>
      </c>
    </row>
    <row r="61" spans="1:21" x14ac:dyDescent="0.3">
      <c r="A61" t="s">
        <v>81</v>
      </c>
      <c r="B61" t="s">
        <v>166</v>
      </c>
      <c r="C61">
        <v>14.7478</v>
      </c>
      <c r="D61">
        <v>-90.115799999999993</v>
      </c>
      <c r="E61" t="s">
        <v>1</v>
      </c>
      <c r="F61" t="s">
        <v>2</v>
      </c>
      <c r="G61" t="s">
        <v>351</v>
      </c>
      <c r="H61" s="116">
        <v>13154</v>
      </c>
      <c r="I61" s="119">
        <v>1764.91</v>
      </c>
      <c r="J61" s="119">
        <f t="shared" si="7"/>
        <v>766.77</v>
      </c>
      <c r="M61" s="110"/>
      <c r="P61">
        <v>1.45</v>
      </c>
      <c r="Q61" t="s">
        <v>81</v>
      </c>
      <c r="R61" t="s">
        <v>166</v>
      </c>
      <c r="S61">
        <v>0</v>
      </c>
      <c r="T61">
        <v>0.92</v>
      </c>
      <c r="U61" s="119">
        <f t="shared" si="1"/>
        <v>58.785700000000006</v>
      </c>
    </row>
    <row r="62" spans="1:21" x14ac:dyDescent="0.3">
      <c r="A62" t="s">
        <v>17</v>
      </c>
      <c r="B62" t="s">
        <v>17</v>
      </c>
      <c r="C62">
        <v>14.3004</v>
      </c>
      <c r="D62">
        <v>-90.78</v>
      </c>
      <c r="E62" t="s">
        <v>1</v>
      </c>
      <c r="F62" t="s">
        <v>2</v>
      </c>
      <c r="G62" t="s">
        <v>350</v>
      </c>
      <c r="H62" s="116">
        <v>156313</v>
      </c>
      <c r="I62" s="119">
        <v>1994.08</v>
      </c>
      <c r="J62" s="119">
        <v>866</v>
      </c>
      <c r="K62" s="118">
        <f>J62/I62</f>
        <v>0.43428548503570569</v>
      </c>
      <c r="M62" s="110">
        <v>0.1</v>
      </c>
      <c r="P62">
        <v>1.45</v>
      </c>
      <c r="Q62" t="s">
        <v>17</v>
      </c>
      <c r="R62" t="s">
        <v>17</v>
      </c>
      <c r="S62">
        <v>0</v>
      </c>
      <c r="T62">
        <v>0.92</v>
      </c>
      <c r="U62" s="119">
        <f t="shared" si="1"/>
        <v>66.393333333333345</v>
      </c>
    </row>
    <row r="63" spans="1:21" x14ac:dyDescent="0.3">
      <c r="A63" t="s">
        <v>17</v>
      </c>
      <c r="B63" t="s">
        <v>142</v>
      </c>
      <c r="C63">
        <v>14.2333</v>
      </c>
      <c r="D63">
        <v>-90.65</v>
      </c>
      <c r="E63" t="s">
        <v>1</v>
      </c>
      <c r="F63" t="s">
        <v>2</v>
      </c>
      <c r="G63" t="s">
        <v>351</v>
      </c>
      <c r="H63" s="116">
        <v>15958</v>
      </c>
      <c r="I63" s="119">
        <v>1993.64</v>
      </c>
      <c r="J63" s="119">
        <f t="shared" ref="J63:J75" si="8">ROUND(K$62*I63,2)</f>
        <v>865.81</v>
      </c>
      <c r="M63" s="110">
        <v>0.14000000000000001</v>
      </c>
      <c r="P63">
        <v>1.45</v>
      </c>
      <c r="Q63" t="s">
        <v>17</v>
      </c>
      <c r="R63" t="s">
        <v>142</v>
      </c>
      <c r="S63">
        <v>0</v>
      </c>
      <c r="T63">
        <v>0.92</v>
      </c>
      <c r="U63" s="119">
        <f t="shared" si="1"/>
        <v>66.378766666666664</v>
      </c>
    </row>
    <row r="64" spans="1:21" x14ac:dyDescent="0.3">
      <c r="A64" t="s">
        <v>17</v>
      </c>
      <c r="B64" t="s">
        <v>46</v>
      </c>
      <c r="C64">
        <v>13.9331</v>
      </c>
      <c r="D64">
        <v>-90.707499999999996</v>
      </c>
      <c r="E64" t="s">
        <v>1</v>
      </c>
      <c r="F64" t="s">
        <v>2</v>
      </c>
      <c r="G64" t="s">
        <v>351</v>
      </c>
      <c r="H64" s="116">
        <v>18342</v>
      </c>
      <c r="I64" s="119">
        <v>1991.68</v>
      </c>
      <c r="J64" s="119">
        <f t="shared" si="8"/>
        <v>864.96</v>
      </c>
      <c r="M64" s="110">
        <v>0.12</v>
      </c>
      <c r="P64">
        <v>1.45</v>
      </c>
      <c r="Q64" t="s">
        <v>17</v>
      </c>
      <c r="R64" t="s">
        <v>46</v>
      </c>
      <c r="S64">
        <v>0</v>
      </c>
      <c r="T64">
        <v>0.92</v>
      </c>
      <c r="U64" s="119">
        <f t="shared" si="1"/>
        <v>66.313600000000008</v>
      </c>
    </row>
    <row r="65" spans="1:21" x14ac:dyDescent="0.3">
      <c r="A65" t="s">
        <v>17</v>
      </c>
      <c r="B65" t="s">
        <v>121</v>
      </c>
      <c r="C65">
        <v>14.2308</v>
      </c>
      <c r="D65">
        <v>-90.947199999999995</v>
      </c>
      <c r="E65" t="s">
        <v>1</v>
      </c>
      <c r="F65" t="s">
        <v>2</v>
      </c>
      <c r="G65" t="s">
        <v>351</v>
      </c>
      <c r="H65" s="116">
        <v>23017</v>
      </c>
      <c r="I65" s="119">
        <v>1993.63</v>
      </c>
      <c r="J65" s="119">
        <f t="shared" si="8"/>
        <v>865.8</v>
      </c>
      <c r="M65" s="110">
        <v>0.13</v>
      </c>
      <c r="P65">
        <v>1.45</v>
      </c>
      <c r="Q65" t="s">
        <v>17</v>
      </c>
      <c r="R65" t="s">
        <v>121</v>
      </c>
      <c r="S65">
        <v>0</v>
      </c>
      <c r="T65">
        <v>0.92</v>
      </c>
      <c r="U65" s="119">
        <f t="shared" si="1"/>
        <v>66.378</v>
      </c>
    </row>
    <row r="66" spans="1:21" x14ac:dyDescent="0.3">
      <c r="A66" t="s">
        <v>17</v>
      </c>
      <c r="B66" t="s">
        <v>55</v>
      </c>
      <c r="C66">
        <v>14.083299999999999</v>
      </c>
      <c r="D66">
        <v>-91.05</v>
      </c>
      <c r="E66" t="s">
        <v>1</v>
      </c>
      <c r="F66" t="s">
        <v>2</v>
      </c>
      <c r="G66" t="s">
        <v>351</v>
      </c>
      <c r="H66" s="116">
        <v>46666</v>
      </c>
      <c r="I66" s="119">
        <v>1992.66</v>
      </c>
      <c r="J66" s="119">
        <f t="shared" si="8"/>
        <v>865.38</v>
      </c>
      <c r="M66" s="110">
        <v>0.16</v>
      </c>
      <c r="P66">
        <v>1.45</v>
      </c>
      <c r="Q66" t="s">
        <v>17</v>
      </c>
      <c r="R66" t="s">
        <v>55</v>
      </c>
      <c r="S66">
        <v>0</v>
      </c>
      <c r="T66">
        <v>0.92</v>
      </c>
      <c r="U66" s="119">
        <f t="shared" si="1"/>
        <v>66.345799999999997</v>
      </c>
    </row>
    <row r="67" spans="1:21" x14ac:dyDescent="0.3">
      <c r="A67" t="s">
        <v>17</v>
      </c>
      <c r="B67" t="s">
        <v>293</v>
      </c>
      <c r="C67">
        <v>14.208399999999999</v>
      </c>
      <c r="D67">
        <v>-90.846299999999999</v>
      </c>
      <c r="E67" t="s">
        <v>1</v>
      </c>
      <c r="F67" t="s">
        <v>2</v>
      </c>
      <c r="G67" t="s">
        <v>351</v>
      </c>
      <c r="H67" s="116">
        <v>45323</v>
      </c>
      <c r="I67" s="119">
        <v>1993.47</v>
      </c>
      <c r="J67" s="119">
        <f t="shared" si="8"/>
        <v>865.74</v>
      </c>
      <c r="M67" s="110">
        <v>0.12</v>
      </c>
      <c r="P67">
        <v>1.45</v>
      </c>
      <c r="Q67" t="s">
        <v>17</v>
      </c>
      <c r="R67" t="s">
        <v>293</v>
      </c>
      <c r="S67">
        <v>0</v>
      </c>
      <c r="T67">
        <v>0.92</v>
      </c>
      <c r="U67" s="119">
        <f t="shared" ref="U67:U130" si="9">SUMIFS($J$2:$J$341,$A$2:$A$341,Q67,$B$2:$B$341,R67)/12*T67</f>
        <v>66.373400000000004</v>
      </c>
    </row>
    <row r="68" spans="1:21" x14ac:dyDescent="0.3">
      <c r="A68" t="s">
        <v>17</v>
      </c>
      <c r="B68" t="s">
        <v>16</v>
      </c>
      <c r="C68">
        <v>14.1997</v>
      </c>
      <c r="D68">
        <v>-91.299700000000001</v>
      </c>
      <c r="E68" t="s">
        <v>1</v>
      </c>
      <c r="F68" t="s">
        <v>2</v>
      </c>
      <c r="G68" t="s">
        <v>351</v>
      </c>
      <c r="H68" s="116">
        <v>72909</v>
      </c>
      <c r="I68" s="119">
        <v>1993.44</v>
      </c>
      <c r="J68" s="119">
        <f t="shared" si="8"/>
        <v>865.72</v>
      </c>
      <c r="M68" s="113">
        <v>0</v>
      </c>
      <c r="N68" s="116"/>
      <c r="O68" s="116" t="s">
        <v>605</v>
      </c>
      <c r="P68">
        <v>1.45</v>
      </c>
      <c r="Q68" t="s">
        <v>17</v>
      </c>
      <c r="R68" t="s">
        <v>16</v>
      </c>
      <c r="S68">
        <v>0</v>
      </c>
      <c r="T68">
        <v>0.92</v>
      </c>
      <c r="U68" s="119">
        <f t="shared" si="9"/>
        <v>66.371866666666662</v>
      </c>
    </row>
    <row r="69" spans="1:21" x14ac:dyDescent="0.3">
      <c r="A69" t="s">
        <v>17</v>
      </c>
      <c r="B69" t="s">
        <v>42</v>
      </c>
      <c r="C69">
        <v>14.4039</v>
      </c>
      <c r="D69">
        <v>-90.698599999999999</v>
      </c>
      <c r="E69" t="s">
        <v>1</v>
      </c>
      <c r="F69" t="s">
        <v>2</v>
      </c>
      <c r="G69" t="s">
        <v>351</v>
      </c>
      <c r="H69" s="116">
        <v>65873</v>
      </c>
      <c r="I69" s="119">
        <v>1994.76</v>
      </c>
      <c r="J69" s="119">
        <f t="shared" si="8"/>
        <v>866.3</v>
      </c>
      <c r="M69" s="110">
        <v>0.13</v>
      </c>
      <c r="P69">
        <v>1.45</v>
      </c>
      <c r="Q69" t="s">
        <v>17</v>
      </c>
      <c r="R69" t="s">
        <v>42</v>
      </c>
      <c r="S69">
        <v>0</v>
      </c>
      <c r="T69">
        <v>0.92</v>
      </c>
      <c r="U69" s="119">
        <f t="shared" si="9"/>
        <v>66.416333333333327</v>
      </c>
    </row>
    <row r="70" spans="1:21" x14ac:dyDescent="0.3">
      <c r="A70" t="s">
        <v>17</v>
      </c>
      <c r="B70" t="s">
        <v>731</v>
      </c>
      <c r="C70">
        <v>13.916700000000001</v>
      </c>
      <c r="D70">
        <v>-90.816699999999997</v>
      </c>
      <c r="E70" t="s">
        <v>1</v>
      </c>
      <c r="F70" t="s">
        <v>2</v>
      </c>
      <c r="G70" t="s">
        <v>351</v>
      </c>
      <c r="H70" s="116">
        <v>62801</v>
      </c>
      <c r="I70" s="119">
        <v>1991.58</v>
      </c>
      <c r="J70" s="119">
        <f t="shared" si="8"/>
        <v>864.91</v>
      </c>
      <c r="M70" s="110">
        <v>0.13</v>
      </c>
      <c r="P70">
        <v>1.45</v>
      </c>
      <c r="Q70" t="s">
        <v>17</v>
      </c>
      <c r="R70" t="s">
        <v>731</v>
      </c>
      <c r="S70">
        <v>0</v>
      </c>
      <c r="T70">
        <v>0.92</v>
      </c>
      <c r="U70" s="119">
        <f t="shared" si="9"/>
        <v>66.309766666666675</v>
      </c>
    </row>
    <row r="71" spans="1:21" x14ac:dyDescent="0.3">
      <c r="A71" t="s">
        <v>17</v>
      </c>
      <c r="B71" t="s">
        <v>179</v>
      </c>
      <c r="C71">
        <v>14.4161</v>
      </c>
      <c r="D71">
        <v>-90.639200000000002</v>
      </c>
      <c r="E71" t="s">
        <v>1</v>
      </c>
      <c r="F71" t="s">
        <v>2</v>
      </c>
      <c r="G71" t="s">
        <v>351</v>
      </c>
      <c r="H71" s="116">
        <v>16705</v>
      </c>
      <c r="I71" s="119">
        <v>1994.85</v>
      </c>
      <c r="J71" s="119">
        <f t="shared" si="8"/>
        <v>866.33</v>
      </c>
      <c r="M71" s="110">
        <v>0.19500000000000001</v>
      </c>
      <c r="P71">
        <v>1.45</v>
      </c>
      <c r="Q71" t="s">
        <v>17</v>
      </c>
      <c r="R71" t="s">
        <v>179</v>
      </c>
      <c r="S71">
        <v>0</v>
      </c>
      <c r="T71">
        <v>0.92</v>
      </c>
      <c r="U71" s="119">
        <f t="shared" si="9"/>
        <v>66.418633333333347</v>
      </c>
    </row>
    <row r="72" spans="1:21" x14ac:dyDescent="0.3">
      <c r="A72" t="s">
        <v>17</v>
      </c>
      <c r="B72" t="s">
        <v>18</v>
      </c>
      <c r="C72">
        <v>14.333299999999999</v>
      </c>
      <c r="D72">
        <v>-91.0167</v>
      </c>
      <c r="E72" t="s">
        <v>1</v>
      </c>
      <c r="F72" t="s">
        <v>2</v>
      </c>
      <c r="G72" t="s">
        <v>351</v>
      </c>
      <c r="H72" s="116">
        <v>112780</v>
      </c>
      <c r="I72" s="119">
        <v>1994.29</v>
      </c>
      <c r="J72" s="119">
        <f t="shared" si="8"/>
        <v>866.09</v>
      </c>
      <c r="M72" s="110">
        <v>0.17</v>
      </c>
      <c r="P72">
        <v>1.45</v>
      </c>
      <c r="Q72" t="s">
        <v>17</v>
      </c>
      <c r="R72" t="s">
        <v>18</v>
      </c>
      <c r="S72">
        <v>0</v>
      </c>
      <c r="T72">
        <v>0.92</v>
      </c>
      <c r="U72" s="119">
        <f t="shared" si="9"/>
        <v>66.400233333333333</v>
      </c>
    </row>
    <row r="73" spans="1:21" x14ac:dyDescent="0.3">
      <c r="A73" t="s">
        <v>17</v>
      </c>
      <c r="B73" t="s">
        <v>321</v>
      </c>
      <c r="C73" s="117">
        <v>13.928411000000001</v>
      </c>
      <c r="D73">
        <v>-91.148306000000005</v>
      </c>
      <c r="E73" t="s">
        <v>1</v>
      </c>
      <c r="F73" t="s">
        <v>2</v>
      </c>
      <c r="G73" t="s">
        <v>351</v>
      </c>
      <c r="H73" s="116">
        <v>16234</v>
      </c>
      <c r="I73" s="119">
        <v>1991.65</v>
      </c>
      <c r="J73" s="119">
        <f t="shared" si="8"/>
        <v>864.94</v>
      </c>
      <c r="M73" s="110">
        <v>0.16</v>
      </c>
      <c r="P73">
        <v>1.45</v>
      </c>
      <c r="Q73" t="s">
        <v>17</v>
      </c>
      <c r="R73" t="s">
        <v>321</v>
      </c>
      <c r="S73">
        <v>0</v>
      </c>
      <c r="T73">
        <v>0.92</v>
      </c>
      <c r="U73" s="119">
        <f t="shared" si="9"/>
        <v>66.312066666666666</v>
      </c>
    </row>
    <row r="74" spans="1:21" x14ac:dyDescent="0.3">
      <c r="A74" t="s">
        <v>17</v>
      </c>
      <c r="B74" t="s">
        <v>124</v>
      </c>
      <c r="C74">
        <v>14.308199999999999</v>
      </c>
      <c r="D74">
        <v>-90.965900000000005</v>
      </c>
      <c r="E74" t="s">
        <v>1</v>
      </c>
      <c r="F74" t="s">
        <v>2</v>
      </c>
      <c r="G74" t="s">
        <v>351</v>
      </c>
      <c r="H74" s="116">
        <v>22968</v>
      </c>
      <c r="I74" s="119">
        <v>1994.13</v>
      </c>
      <c r="J74" s="119">
        <f t="shared" si="8"/>
        <v>866.02</v>
      </c>
      <c r="M74" s="110">
        <v>0.12</v>
      </c>
      <c r="P74">
        <v>1.45</v>
      </c>
      <c r="Q74" t="s">
        <v>17</v>
      </c>
      <c r="R74" t="s">
        <v>124</v>
      </c>
      <c r="S74">
        <v>0</v>
      </c>
      <c r="T74">
        <v>0.92</v>
      </c>
      <c r="U74" s="119">
        <f t="shared" si="9"/>
        <v>66.394866666666672</v>
      </c>
    </row>
    <row r="75" spans="1:21" x14ac:dyDescent="0.3">
      <c r="A75" t="s">
        <v>17</v>
      </c>
      <c r="B75" t="s">
        <v>61</v>
      </c>
      <c r="C75">
        <v>14.283300000000001</v>
      </c>
      <c r="D75">
        <v>-91.366699999999994</v>
      </c>
      <c r="E75" t="s">
        <v>1</v>
      </c>
      <c r="F75" t="s">
        <v>2</v>
      </c>
      <c r="G75" t="s">
        <v>351</v>
      </c>
      <c r="H75" s="116">
        <v>57292</v>
      </c>
      <c r="I75" s="119">
        <v>1993.97</v>
      </c>
      <c r="J75" s="119">
        <f t="shared" si="8"/>
        <v>865.95</v>
      </c>
      <c r="M75" s="113">
        <v>0</v>
      </c>
      <c r="N75" s="116"/>
      <c r="O75" s="116" t="s">
        <v>605</v>
      </c>
      <c r="P75">
        <v>1.45</v>
      </c>
      <c r="Q75" t="s">
        <v>17</v>
      </c>
      <c r="R75" t="s">
        <v>61</v>
      </c>
      <c r="S75">
        <v>0</v>
      </c>
      <c r="T75">
        <v>0.92</v>
      </c>
      <c r="U75" s="119">
        <f t="shared" si="9"/>
        <v>66.389500000000012</v>
      </c>
    </row>
    <row r="76" spans="1:21" x14ac:dyDescent="0.3">
      <c r="A76" t="s">
        <v>1</v>
      </c>
      <c r="B76" t="s">
        <v>19</v>
      </c>
      <c r="C76">
        <v>14.4741</v>
      </c>
      <c r="D76">
        <v>-90.624700000000004</v>
      </c>
      <c r="E76" t="s">
        <v>1</v>
      </c>
      <c r="F76" t="s">
        <v>2</v>
      </c>
      <c r="G76" t="s">
        <v>351</v>
      </c>
      <c r="H76" s="116">
        <v>116711</v>
      </c>
      <c r="I76" s="119">
        <v>1995.22</v>
      </c>
      <c r="J76" s="119">
        <f>ROUND(K$79*I76,2)</f>
        <v>867.3</v>
      </c>
      <c r="M76" s="110">
        <v>0.13</v>
      </c>
      <c r="P76">
        <v>1.28</v>
      </c>
      <c r="Q76" t="s">
        <v>1</v>
      </c>
      <c r="R76" t="s">
        <v>19</v>
      </c>
      <c r="S76">
        <v>0</v>
      </c>
      <c r="T76">
        <v>0.92</v>
      </c>
      <c r="U76" s="119">
        <f t="shared" si="9"/>
        <v>66.492999999999995</v>
      </c>
    </row>
    <row r="77" spans="1:21" x14ac:dyDescent="0.3">
      <c r="A77" t="s">
        <v>1</v>
      </c>
      <c r="B77" t="s">
        <v>32</v>
      </c>
      <c r="C77">
        <v>14.7029</v>
      </c>
      <c r="D77">
        <v>-90.5</v>
      </c>
      <c r="E77" t="s">
        <v>1</v>
      </c>
      <c r="F77" t="s">
        <v>2</v>
      </c>
      <c r="G77" t="s">
        <v>351</v>
      </c>
      <c r="H77" s="116">
        <v>114752</v>
      </c>
      <c r="I77" s="119">
        <v>1764.69</v>
      </c>
      <c r="J77" s="119">
        <f>ROUND(K$79*I77,2)</f>
        <v>767.09</v>
      </c>
      <c r="M77" s="110">
        <v>0.14000000000000001</v>
      </c>
      <c r="P77">
        <v>1.28</v>
      </c>
      <c r="Q77" t="s">
        <v>1</v>
      </c>
      <c r="R77" t="s">
        <v>32</v>
      </c>
      <c r="S77">
        <v>0</v>
      </c>
      <c r="T77">
        <v>0.92</v>
      </c>
      <c r="U77" s="119">
        <f t="shared" si="9"/>
        <v>58.810233333333343</v>
      </c>
    </row>
    <row r="78" spans="1:21" x14ac:dyDescent="0.3">
      <c r="A78" t="s">
        <v>1</v>
      </c>
      <c r="B78" t="s">
        <v>180</v>
      </c>
      <c r="C78">
        <v>14.816700000000001</v>
      </c>
      <c r="D78">
        <v>-90.5167</v>
      </c>
      <c r="E78" t="s">
        <v>1</v>
      </c>
      <c r="F78" t="s">
        <v>2</v>
      </c>
      <c r="G78" t="s">
        <v>351</v>
      </c>
      <c r="H78" s="116">
        <v>12638</v>
      </c>
      <c r="I78" s="119">
        <v>1846.15</v>
      </c>
      <c r="J78" s="119">
        <f>ROUND(K$79*I78,2)</f>
        <v>802.5</v>
      </c>
      <c r="M78" s="110">
        <v>0.1</v>
      </c>
      <c r="P78">
        <v>1.28</v>
      </c>
      <c r="Q78" t="s">
        <v>1</v>
      </c>
      <c r="R78" t="s">
        <v>180</v>
      </c>
      <c r="S78">
        <v>0</v>
      </c>
      <c r="T78">
        <v>0.92</v>
      </c>
      <c r="U78" s="119">
        <f t="shared" si="9"/>
        <v>61.525000000000006</v>
      </c>
    </row>
    <row r="79" spans="1:21" x14ac:dyDescent="0.3">
      <c r="A79" t="s">
        <v>1</v>
      </c>
      <c r="B79" t="s">
        <v>322</v>
      </c>
      <c r="C79">
        <v>14.6099</v>
      </c>
      <c r="D79">
        <v>-90.525199999999998</v>
      </c>
      <c r="E79" t="s">
        <v>1</v>
      </c>
      <c r="F79" t="s">
        <v>2</v>
      </c>
      <c r="G79" t="s">
        <v>0</v>
      </c>
      <c r="H79" s="116">
        <v>923392</v>
      </c>
      <c r="I79" s="119">
        <v>1845</v>
      </c>
      <c r="J79" s="119">
        <v>802</v>
      </c>
      <c r="K79" s="118">
        <f>J79/I79</f>
        <v>0.43468834688346886</v>
      </c>
      <c r="M79" s="110">
        <v>0.13</v>
      </c>
      <c r="P79">
        <v>1.28</v>
      </c>
      <c r="Q79" t="s">
        <v>1</v>
      </c>
      <c r="R79" t="s">
        <v>322</v>
      </c>
      <c r="S79">
        <v>0</v>
      </c>
      <c r="T79">
        <v>0.92</v>
      </c>
      <c r="U79" s="119">
        <f t="shared" si="9"/>
        <v>61.486666666666665</v>
      </c>
    </row>
    <row r="80" spans="1:21" x14ac:dyDescent="0.3">
      <c r="A80" t="s">
        <v>1</v>
      </c>
      <c r="B80" t="s">
        <v>91</v>
      </c>
      <c r="C80">
        <v>14.462199999999999</v>
      </c>
      <c r="D80">
        <v>-90.438599999999994</v>
      </c>
      <c r="E80" t="s">
        <v>1</v>
      </c>
      <c r="F80" t="s">
        <v>2</v>
      </c>
      <c r="G80" t="s">
        <v>351</v>
      </c>
      <c r="H80" s="116">
        <v>58922</v>
      </c>
      <c r="I80" s="119">
        <v>2038.99</v>
      </c>
      <c r="J80" s="119">
        <f>ROUND(K$79*I80,2)</f>
        <v>886.33</v>
      </c>
      <c r="M80" s="110">
        <v>7.0000000000000007E-2</v>
      </c>
      <c r="P80">
        <v>1.28</v>
      </c>
      <c r="Q80" t="s">
        <v>1</v>
      </c>
      <c r="R80" t="s">
        <v>322</v>
      </c>
      <c r="S80" t="s">
        <v>706</v>
      </c>
      <c r="T80">
        <v>0.92</v>
      </c>
      <c r="U80" s="119">
        <f t="shared" si="9"/>
        <v>61.486666666666665</v>
      </c>
    </row>
    <row r="81" spans="1:21" x14ac:dyDescent="0.3">
      <c r="A81" t="s">
        <v>1</v>
      </c>
      <c r="B81" t="s">
        <v>193</v>
      </c>
      <c r="C81">
        <v>14.631080000000001</v>
      </c>
      <c r="D81">
        <v>-90.605649999999997</v>
      </c>
      <c r="E81" t="s">
        <v>1</v>
      </c>
      <c r="F81" t="s">
        <v>2</v>
      </c>
      <c r="G81" t="s">
        <v>351</v>
      </c>
      <c r="H81" s="116">
        <v>465773</v>
      </c>
      <c r="I81" s="119">
        <v>1845.11</v>
      </c>
      <c r="J81" s="119">
        <v>802</v>
      </c>
      <c r="K81" s="118">
        <f>J81/I81</f>
        <v>0.43466243205012167</v>
      </c>
      <c r="M81" s="110">
        <v>0.13800000000000001</v>
      </c>
      <c r="P81">
        <v>1.28</v>
      </c>
      <c r="Q81" t="s">
        <v>1</v>
      </c>
      <c r="R81" t="s">
        <v>322</v>
      </c>
      <c r="S81" t="s">
        <v>707</v>
      </c>
      <c r="T81">
        <v>0.92</v>
      </c>
      <c r="U81" s="119">
        <f t="shared" si="9"/>
        <v>61.486666666666665</v>
      </c>
    </row>
    <row r="82" spans="1:21" x14ac:dyDescent="0.3">
      <c r="A82" t="s">
        <v>1</v>
      </c>
      <c r="B82" t="s">
        <v>66</v>
      </c>
      <c r="C82">
        <v>14.6676</v>
      </c>
      <c r="D82">
        <v>-90.357500000000002</v>
      </c>
      <c r="E82" t="s">
        <v>1</v>
      </c>
      <c r="F82" t="s">
        <v>2</v>
      </c>
      <c r="G82" t="s">
        <v>351</v>
      </c>
      <c r="H82" s="116">
        <v>70973</v>
      </c>
      <c r="I82" s="119">
        <v>1764.51</v>
      </c>
      <c r="J82" s="119">
        <f>ROUND(K$79*I82,2)</f>
        <v>767.01</v>
      </c>
      <c r="M82" s="110">
        <v>0.18</v>
      </c>
      <c r="P82">
        <v>1.28</v>
      </c>
      <c r="Q82" t="s">
        <v>1</v>
      </c>
      <c r="R82" t="s">
        <v>322</v>
      </c>
      <c r="S82" t="s">
        <v>708</v>
      </c>
      <c r="T82">
        <v>0.92</v>
      </c>
      <c r="U82" s="119">
        <f t="shared" si="9"/>
        <v>61.486666666666665</v>
      </c>
    </row>
    <row r="83" spans="1:21" x14ac:dyDescent="0.3">
      <c r="A83" t="s">
        <v>1</v>
      </c>
      <c r="B83" t="s">
        <v>323</v>
      </c>
      <c r="C83">
        <v>14.50216</v>
      </c>
      <c r="D83">
        <v>-90.561329999999998</v>
      </c>
      <c r="E83" t="s">
        <v>1</v>
      </c>
      <c r="F83" t="s">
        <v>2</v>
      </c>
      <c r="G83" t="s">
        <v>351</v>
      </c>
      <c r="H83" s="116">
        <v>135447</v>
      </c>
      <c r="I83" s="119">
        <v>1844.4</v>
      </c>
      <c r="J83" s="119">
        <v>801</v>
      </c>
      <c r="K83" s="118">
        <f>J83/I83</f>
        <v>0.43428757319453476</v>
      </c>
      <c r="M83" s="110">
        <v>0.12</v>
      </c>
      <c r="P83">
        <v>1.28</v>
      </c>
      <c r="Q83" t="s">
        <v>1</v>
      </c>
      <c r="R83" t="s">
        <v>322</v>
      </c>
      <c r="S83" t="s">
        <v>709</v>
      </c>
      <c r="T83">
        <v>0.92</v>
      </c>
      <c r="U83" s="119">
        <f t="shared" si="9"/>
        <v>61.486666666666665</v>
      </c>
    </row>
    <row r="84" spans="1:21" x14ac:dyDescent="0.3">
      <c r="A84" t="s">
        <v>1</v>
      </c>
      <c r="B84" t="s">
        <v>184</v>
      </c>
      <c r="C84">
        <v>14.7629</v>
      </c>
      <c r="D84">
        <v>-90.372600000000006</v>
      </c>
      <c r="E84" t="s">
        <v>1</v>
      </c>
      <c r="F84" t="s">
        <v>2</v>
      </c>
      <c r="G84" t="s">
        <v>351</v>
      </c>
      <c r="H84" s="116">
        <v>7229</v>
      </c>
      <c r="I84" s="119">
        <v>1764.99</v>
      </c>
      <c r="J84" s="119">
        <f t="shared" ref="J84:J92" si="10">ROUND(K$79*I84,2)</f>
        <v>767.22</v>
      </c>
      <c r="M84" s="110">
        <v>0.2</v>
      </c>
      <c r="P84">
        <v>1.28</v>
      </c>
      <c r="Q84" t="s">
        <v>1</v>
      </c>
      <c r="R84" t="s">
        <v>322</v>
      </c>
      <c r="S84" t="s">
        <v>710</v>
      </c>
      <c r="T84">
        <v>0.92</v>
      </c>
      <c r="U84" s="119">
        <f t="shared" si="9"/>
        <v>61.486666666666665</v>
      </c>
    </row>
    <row r="85" spans="1:21" x14ac:dyDescent="0.3">
      <c r="A85" t="s">
        <v>1</v>
      </c>
      <c r="B85" t="s">
        <v>69</v>
      </c>
      <c r="C85">
        <v>14.544600000000001</v>
      </c>
      <c r="D85">
        <v>-90.408299999999997</v>
      </c>
      <c r="E85" t="s">
        <v>1</v>
      </c>
      <c r="F85" t="s">
        <v>2</v>
      </c>
      <c r="G85" t="s">
        <v>351</v>
      </c>
      <c r="H85" s="116">
        <v>79844</v>
      </c>
      <c r="I85" s="119">
        <v>1763.89</v>
      </c>
      <c r="J85" s="119">
        <f t="shared" si="10"/>
        <v>766.74</v>
      </c>
      <c r="M85" s="110">
        <v>0.1</v>
      </c>
      <c r="P85">
        <v>1.28</v>
      </c>
      <c r="Q85" t="s">
        <v>1</v>
      </c>
      <c r="R85" t="s">
        <v>322</v>
      </c>
      <c r="S85" t="s">
        <v>711</v>
      </c>
      <c r="T85">
        <v>0.92</v>
      </c>
      <c r="U85" s="119">
        <f t="shared" si="9"/>
        <v>61.486666666666665</v>
      </c>
    </row>
    <row r="86" spans="1:21" x14ac:dyDescent="0.3">
      <c r="A86" t="s">
        <v>1</v>
      </c>
      <c r="B86" t="s">
        <v>9</v>
      </c>
      <c r="C86">
        <v>14.7189</v>
      </c>
      <c r="D86">
        <v>-90.644199999999998</v>
      </c>
      <c r="E86" t="s">
        <v>1</v>
      </c>
      <c r="F86" t="s">
        <v>2</v>
      </c>
      <c r="G86" t="s">
        <v>351</v>
      </c>
      <c r="H86" s="116">
        <v>218156</v>
      </c>
      <c r="I86" s="119">
        <v>1845.6</v>
      </c>
      <c r="J86" s="119">
        <f t="shared" si="10"/>
        <v>802.26</v>
      </c>
      <c r="M86" s="110">
        <v>0.12</v>
      </c>
      <c r="P86">
        <v>1.28</v>
      </c>
      <c r="Q86" t="s">
        <v>1</v>
      </c>
      <c r="R86" t="s">
        <v>322</v>
      </c>
      <c r="S86" t="s">
        <v>712</v>
      </c>
      <c r="T86">
        <v>0.92</v>
      </c>
      <c r="U86" s="119">
        <f t="shared" si="9"/>
        <v>61.486666666666665</v>
      </c>
    </row>
    <row r="87" spans="1:21" x14ac:dyDescent="0.3">
      <c r="A87" t="s">
        <v>1</v>
      </c>
      <c r="B87" t="s">
        <v>74</v>
      </c>
      <c r="C87">
        <v>14.778499999999999</v>
      </c>
      <c r="D87">
        <v>-90.452500000000001</v>
      </c>
      <c r="E87" t="s">
        <v>1</v>
      </c>
      <c r="F87" t="s">
        <v>2</v>
      </c>
      <c r="G87" t="s">
        <v>351</v>
      </c>
      <c r="H87" s="116">
        <v>58609</v>
      </c>
      <c r="I87" s="119">
        <v>1765.07</v>
      </c>
      <c r="J87" s="119">
        <f t="shared" si="10"/>
        <v>767.26</v>
      </c>
      <c r="M87" s="110">
        <v>0.13</v>
      </c>
      <c r="P87">
        <v>1.28</v>
      </c>
      <c r="Q87" t="s">
        <v>1</v>
      </c>
      <c r="R87" t="s">
        <v>322</v>
      </c>
      <c r="S87" t="s">
        <v>713</v>
      </c>
      <c r="T87">
        <v>0.92</v>
      </c>
      <c r="U87" s="119">
        <f t="shared" si="9"/>
        <v>61.486666666666665</v>
      </c>
    </row>
    <row r="88" spans="1:21" x14ac:dyDescent="0.3">
      <c r="A88" t="s">
        <v>1</v>
      </c>
      <c r="B88" t="s">
        <v>36</v>
      </c>
      <c r="C88">
        <v>14.686199999999999</v>
      </c>
      <c r="D88">
        <v>-90.642300000000006</v>
      </c>
      <c r="E88" t="s">
        <v>1</v>
      </c>
      <c r="F88" t="s">
        <v>2</v>
      </c>
      <c r="G88" t="s">
        <v>351</v>
      </c>
      <c r="H88" s="116">
        <v>51292</v>
      </c>
      <c r="I88" s="119">
        <v>1845.42</v>
      </c>
      <c r="J88" s="119">
        <f t="shared" si="10"/>
        <v>802.18</v>
      </c>
      <c r="M88" s="110">
        <v>0.19</v>
      </c>
      <c r="P88">
        <v>1.28</v>
      </c>
      <c r="Q88" t="s">
        <v>1</v>
      </c>
      <c r="R88" t="s">
        <v>322</v>
      </c>
      <c r="S88" t="s">
        <v>714</v>
      </c>
      <c r="T88">
        <v>0.92</v>
      </c>
      <c r="U88" s="119">
        <f t="shared" si="9"/>
        <v>61.486666666666665</v>
      </c>
    </row>
    <row r="89" spans="1:21" x14ac:dyDescent="0.3">
      <c r="A89" t="s">
        <v>1</v>
      </c>
      <c r="B89" t="s">
        <v>324</v>
      </c>
      <c r="C89">
        <v>14.764699999999999</v>
      </c>
      <c r="D89">
        <v>-90.595600000000005</v>
      </c>
      <c r="E89" t="s">
        <v>1</v>
      </c>
      <c r="F89" t="s">
        <v>2</v>
      </c>
      <c r="G89" t="s">
        <v>351</v>
      </c>
      <c r="H89" s="116">
        <v>31605</v>
      </c>
      <c r="I89" s="119">
        <v>1845.86</v>
      </c>
      <c r="J89" s="119">
        <f t="shared" si="10"/>
        <v>802.37</v>
      </c>
      <c r="M89" s="110">
        <v>0.18</v>
      </c>
      <c r="P89">
        <v>1.28</v>
      </c>
      <c r="Q89" t="s">
        <v>1</v>
      </c>
      <c r="R89" t="s">
        <v>322</v>
      </c>
      <c r="S89" t="s">
        <v>715</v>
      </c>
      <c r="T89">
        <v>0.92</v>
      </c>
      <c r="U89" s="119">
        <f t="shared" si="9"/>
        <v>61.486666666666665</v>
      </c>
    </row>
    <row r="90" spans="1:21" x14ac:dyDescent="0.3">
      <c r="A90" t="s">
        <v>1</v>
      </c>
      <c r="B90" t="s">
        <v>41</v>
      </c>
      <c r="C90">
        <v>14.564399999999999</v>
      </c>
      <c r="D90">
        <v>-90.488</v>
      </c>
      <c r="E90" t="s">
        <v>1</v>
      </c>
      <c r="F90" t="s">
        <v>2</v>
      </c>
      <c r="G90" t="s">
        <v>351</v>
      </c>
      <c r="H90" s="116">
        <v>80582</v>
      </c>
      <c r="I90" s="119">
        <v>1763.99</v>
      </c>
      <c r="J90" s="119">
        <f t="shared" si="10"/>
        <v>766.79</v>
      </c>
      <c r="M90" s="110">
        <v>0.1</v>
      </c>
      <c r="P90">
        <v>1.28</v>
      </c>
      <c r="Q90" t="s">
        <v>1</v>
      </c>
      <c r="R90" t="s">
        <v>322</v>
      </c>
      <c r="S90" t="s">
        <v>716</v>
      </c>
      <c r="T90">
        <v>0.92</v>
      </c>
      <c r="U90" s="119">
        <f t="shared" si="9"/>
        <v>61.486666666666665</v>
      </c>
    </row>
    <row r="91" spans="1:21" x14ac:dyDescent="0.3">
      <c r="A91" t="s">
        <v>1</v>
      </c>
      <c r="B91" t="s">
        <v>31</v>
      </c>
      <c r="C91">
        <v>14.4816</v>
      </c>
      <c r="D91">
        <v>-90.534000000000006</v>
      </c>
      <c r="E91" t="s">
        <v>1</v>
      </c>
      <c r="F91" t="s">
        <v>2</v>
      </c>
      <c r="G91" t="s">
        <v>351</v>
      </c>
      <c r="H91" s="116">
        <v>155422</v>
      </c>
      <c r="I91" s="119">
        <v>1995.27</v>
      </c>
      <c r="J91" s="119">
        <f t="shared" si="10"/>
        <v>867.32</v>
      </c>
      <c r="M91" s="110">
        <v>0.15</v>
      </c>
      <c r="P91">
        <v>1.28</v>
      </c>
      <c r="Q91" t="s">
        <v>1</v>
      </c>
      <c r="R91" t="s">
        <v>322</v>
      </c>
      <c r="S91" t="s">
        <v>717</v>
      </c>
      <c r="T91">
        <v>0.92</v>
      </c>
      <c r="U91" s="119">
        <f t="shared" si="9"/>
        <v>61.486666666666665</v>
      </c>
    </row>
    <row r="92" spans="1:21" x14ac:dyDescent="0.3">
      <c r="A92" t="s">
        <v>1</v>
      </c>
      <c r="B92" t="s">
        <v>3</v>
      </c>
      <c r="C92">
        <v>14.52557</v>
      </c>
      <c r="D92">
        <v>-90.588610000000003</v>
      </c>
      <c r="E92" t="s">
        <v>1</v>
      </c>
      <c r="F92" t="s">
        <v>2</v>
      </c>
      <c r="G92" t="s">
        <v>351</v>
      </c>
      <c r="H92" s="116">
        <v>433734</v>
      </c>
      <c r="I92" s="119">
        <v>1844.53</v>
      </c>
      <c r="J92" s="119">
        <f t="shared" si="10"/>
        <v>801.8</v>
      </c>
      <c r="M92" s="110">
        <v>0.1</v>
      </c>
      <c r="P92">
        <v>1.28</v>
      </c>
      <c r="Q92" t="s">
        <v>1</v>
      </c>
      <c r="R92" t="s">
        <v>322</v>
      </c>
      <c r="S92" t="s">
        <v>718</v>
      </c>
      <c r="T92">
        <v>0.92</v>
      </c>
      <c r="U92" s="119">
        <f t="shared" si="9"/>
        <v>61.486666666666665</v>
      </c>
    </row>
    <row r="93" spans="1:21" x14ac:dyDescent="0.3">
      <c r="A93" t="s">
        <v>56</v>
      </c>
      <c r="B93" t="s">
        <v>228</v>
      </c>
      <c r="C93">
        <v>15.3429</v>
      </c>
      <c r="D93">
        <v>-91.311999999999998</v>
      </c>
      <c r="E93" t="s">
        <v>1</v>
      </c>
      <c r="F93" t="s">
        <v>2</v>
      </c>
      <c r="G93" t="s">
        <v>351</v>
      </c>
      <c r="H93" s="116">
        <v>49607</v>
      </c>
      <c r="I93" s="119">
        <v>1849.09</v>
      </c>
      <c r="J93" s="119">
        <f>ROUND(K$98*I93,2)</f>
        <v>803.07</v>
      </c>
      <c r="M93" s="110"/>
      <c r="P93">
        <v>1.45</v>
      </c>
      <c r="Q93" t="s">
        <v>1</v>
      </c>
      <c r="R93" t="s">
        <v>322</v>
      </c>
      <c r="S93" t="s">
        <v>719</v>
      </c>
      <c r="T93">
        <v>0.92</v>
      </c>
      <c r="U93" s="119">
        <f t="shared" si="9"/>
        <v>61.486666666666665</v>
      </c>
    </row>
    <row r="94" spans="1:21" x14ac:dyDescent="0.3">
      <c r="A94" t="s">
        <v>56</v>
      </c>
      <c r="B94" t="s">
        <v>215</v>
      </c>
      <c r="C94">
        <v>15.3567</v>
      </c>
      <c r="D94">
        <v>-91.456800000000001</v>
      </c>
      <c r="E94" t="s">
        <v>1</v>
      </c>
      <c r="F94" t="s">
        <v>2</v>
      </c>
      <c r="G94" t="s">
        <v>351</v>
      </c>
      <c r="H94" s="116">
        <v>87447</v>
      </c>
      <c r="I94" s="119">
        <v>1849.17</v>
      </c>
      <c r="J94" s="119">
        <f>ROUND(K$98*I94,2)</f>
        <v>803.1</v>
      </c>
      <c r="M94" s="110"/>
      <c r="P94">
        <v>1.45</v>
      </c>
      <c r="Q94" t="s">
        <v>1</v>
      </c>
      <c r="R94" t="s">
        <v>322</v>
      </c>
      <c r="S94" t="s">
        <v>720</v>
      </c>
      <c r="T94">
        <v>0.92</v>
      </c>
      <c r="U94" s="119">
        <f t="shared" si="9"/>
        <v>61.486666666666665</v>
      </c>
    </row>
    <row r="95" spans="1:21" x14ac:dyDescent="0.3">
      <c r="A95" t="s">
        <v>56</v>
      </c>
      <c r="B95" t="s">
        <v>108</v>
      </c>
      <c r="C95">
        <v>15.4054</v>
      </c>
      <c r="D95">
        <v>-91.715599999999995</v>
      </c>
      <c r="E95" t="s">
        <v>1</v>
      </c>
      <c r="F95" t="s">
        <v>2</v>
      </c>
      <c r="G95" t="s">
        <v>351</v>
      </c>
      <c r="H95" s="116">
        <v>34834</v>
      </c>
      <c r="I95" s="119">
        <v>2017.77</v>
      </c>
      <c r="J95" s="119">
        <f>ROUND(K$98*I95,2)</f>
        <v>876.32</v>
      </c>
      <c r="M95" s="110"/>
      <c r="P95">
        <v>1.45</v>
      </c>
      <c r="Q95" t="s">
        <v>1</v>
      </c>
      <c r="R95" t="s">
        <v>322</v>
      </c>
      <c r="S95" t="s">
        <v>721</v>
      </c>
      <c r="T95">
        <v>0.92</v>
      </c>
      <c r="U95" s="119">
        <f t="shared" si="9"/>
        <v>61.486666666666665</v>
      </c>
    </row>
    <row r="96" spans="1:21" x14ac:dyDescent="0.3">
      <c r="A96" t="s">
        <v>56</v>
      </c>
      <c r="B96" t="s">
        <v>300</v>
      </c>
      <c r="C96">
        <v>15.62594</v>
      </c>
      <c r="D96">
        <v>-91.665229999999994</v>
      </c>
      <c r="E96" t="s">
        <v>1</v>
      </c>
      <c r="F96" t="s">
        <v>2</v>
      </c>
      <c r="G96" t="s">
        <v>351</v>
      </c>
      <c r="H96" s="116">
        <v>18915</v>
      </c>
      <c r="I96" s="119">
        <v>1898.04</v>
      </c>
      <c r="J96" s="119">
        <f>ROUND(K$98*I96,2)</f>
        <v>824.32</v>
      </c>
      <c r="M96" s="110"/>
      <c r="P96">
        <v>1.45</v>
      </c>
      <c r="Q96" t="s">
        <v>1</v>
      </c>
      <c r="R96" t="s">
        <v>322</v>
      </c>
      <c r="S96" t="s">
        <v>722</v>
      </c>
      <c r="T96">
        <v>0.92</v>
      </c>
      <c r="U96" s="119">
        <f t="shared" si="9"/>
        <v>61.486666666666665</v>
      </c>
    </row>
    <row r="97" spans="1:21" x14ac:dyDescent="0.3">
      <c r="A97" t="s">
        <v>56</v>
      </c>
      <c r="B97" t="s">
        <v>290</v>
      </c>
      <c r="C97">
        <v>15.4078</v>
      </c>
      <c r="D97">
        <v>-91.947199999999995</v>
      </c>
      <c r="E97" t="s">
        <v>1</v>
      </c>
      <c r="F97" t="s">
        <v>2</v>
      </c>
      <c r="G97" t="s">
        <v>351</v>
      </c>
      <c r="H97" s="116">
        <v>60395</v>
      </c>
      <c r="I97" s="119">
        <v>2017.8</v>
      </c>
      <c r="J97" s="119">
        <f>ROUND(K$98*I97,2)</f>
        <v>876.34</v>
      </c>
      <c r="M97" s="110"/>
      <c r="P97">
        <v>1.45</v>
      </c>
      <c r="Q97" t="s">
        <v>1</v>
      </c>
      <c r="R97" t="s">
        <v>322</v>
      </c>
      <c r="S97" t="s">
        <v>723</v>
      </c>
      <c r="T97">
        <v>0.92</v>
      </c>
      <c r="U97" s="119">
        <f t="shared" si="9"/>
        <v>61.486666666666665</v>
      </c>
    </row>
    <row r="98" spans="1:21" x14ac:dyDescent="0.3">
      <c r="A98" t="s">
        <v>56</v>
      </c>
      <c r="B98" t="s">
        <v>56</v>
      </c>
      <c r="C98">
        <v>15.3147</v>
      </c>
      <c r="D98">
        <v>-91.476100000000002</v>
      </c>
      <c r="E98" t="s">
        <v>1</v>
      </c>
      <c r="F98" t="s">
        <v>2</v>
      </c>
      <c r="G98" t="s">
        <v>350</v>
      </c>
      <c r="H98" s="116">
        <v>117818</v>
      </c>
      <c r="I98" s="119">
        <v>1848.94</v>
      </c>
      <c r="J98" s="119">
        <v>803</v>
      </c>
      <c r="K98" s="118">
        <f>J98/I98</f>
        <v>0.43430289787662119</v>
      </c>
      <c r="M98" s="110"/>
      <c r="P98">
        <v>1.45</v>
      </c>
      <c r="Q98" t="s">
        <v>1</v>
      </c>
      <c r="R98" t="s">
        <v>322</v>
      </c>
      <c r="S98" t="s">
        <v>724</v>
      </c>
      <c r="T98">
        <v>0.92</v>
      </c>
      <c r="U98" s="119">
        <f t="shared" si="9"/>
        <v>61.486666666666665</v>
      </c>
    </row>
    <row r="99" spans="1:21" x14ac:dyDescent="0.3">
      <c r="A99" t="s">
        <v>56</v>
      </c>
      <c r="B99" t="s">
        <v>265</v>
      </c>
      <c r="C99">
        <v>15.666700000000001</v>
      </c>
      <c r="D99">
        <v>-91.7333</v>
      </c>
      <c r="E99" t="s">
        <v>1</v>
      </c>
      <c r="F99" t="s">
        <v>2</v>
      </c>
      <c r="G99" t="s">
        <v>351</v>
      </c>
      <c r="H99" s="116">
        <v>37171</v>
      </c>
      <c r="I99" s="119">
        <v>1898.25</v>
      </c>
      <c r="J99" s="119">
        <f t="shared" ref="J99:J125" si="11">ROUND(K$98*I99,2)</f>
        <v>824.42</v>
      </c>
      <c r="M99" s="110"/>
      <c r="P99">
        <v>1.45</v>
      </c>
      <c r="Q99" t="s">
        <v>1</v>
      </c>
      <c r="R99" t="s">
        <v>322</v>
      </c>
      <c r="S99" t="s">
        <v>725</v>
      </c>
      <c r="T99">
        <v>0.92</v>
      </c>
      <c r="U99" s="119">
        <f t="shared" si="9"/>
        <v>61.486666666666665</v>
      </c>
    </row>
    <row r="100" spans="1:21" x14ac:dyDescent="0.3">
      <c r="A100" t="s">
        <v>56</v>
      </c>
      <c r="B100" t="s">
        <v>121</v>
      </c>
      <c r="C100">
        <v>15.6333</v>
      </c>
      <c r="D100">
        <v>-91.866699999999994</v>
      </c>
      <c r="E100" t="s">
        <v>1</v>
      </c>
      <c r="F100" t="s">
        <v>2</v>
      </c>
      <c r="G100" t="s">
        <v>351</v>
      </c>
      <c r="H100" s="116">
        <v>55434</v>
      </c>
      <c r="I100" s="119">
        <v>1898.09</v>
      </c>
      <c r="J100" s="119">
        <f t="shared" si="11"/>
        <v>824.35</v>
      </c>
      <c r="M100" s="110"/>
      <c r="P100">
        <v>1.45</v>
      </c>
      <c r="Q100" t="s">
        <v>1</v>
      </c>
      <c r="R100" t="s">
        <v>322</v>
      </c>
      <c r="S100" t="s">
        <v>726</v>
      </c>
      <c r="T100">
        <v>0.92</v>
      </c>
      <c r="U100" s="119">
        <f t="shared" si="9"/>
        <v>61.486666666666665</v>
      </c>
    </row>
    <row r="101" spans="1:21" x14ac:dyDescent="0.3">
      <c r="A101" t="s">
        <v>56</v>
      </c>
      <c r="B101" t="s">
        <v>173</v>
      </c>
      <c r="C101">
        <v>15.5</v>
      </c>
      <c r="D101">
        <v>-91.833299999999994</v>
      </c>
      <c r="E101" t="s">
        <v>1</v>
      </c>
      <c r="F101" t="s">
        <v>2</v>
      </c>
      <c r="G101" t="s">
        <v>351</v>
      </c>
      <c r="H101" s="116">
        <v>38234</v>
      </c>
      <c r="I101" s="119">
        <v>1897.38</v>
      </c>
      <c r="J101" s="119">
        <f t="shared" si="11"/>
        <v>824.04</v>
      </c>
      <c r="M101" s="110"/>
      <c r="P101">
        <v>1.45</v>
      </c>
      <c r="Q101" t="s">
        <v>1</v>
      </c>
      <c r="R101" t="s">
        <v>322</v>
      </c>
      <c r="S101" t="s">
        <v>727</v>
      </c>
      <c r="T101">
        <v>0.92</v>
      </c>
      <c r="U101" s="119">
        <f t="shared" si="9"/>
        <v>61.486666666666665</v>
      </c>
    </row>
    <row r="102" spans="1:21" x14ac:dyDescent="0.3">
      <c r="A102" t="s">
        <v>56</v>
      </c>
      <c r="B102" t="s">
        <v>309</v>
      </c>
      <c r="C102">
        <v>15.24479</v>
      </c>
      <c r="D102">
        <v>-91.498450000000005</v>
      </c>
      <c r="E102" t="s">
        <v>1</v>
      </c>
      <c r="F102" t="s">
        <v>2</v>
      </c>
      <c r="G102" t="s">
        <v>351</v>
      </c>
      <c r="H102" s="116">
        <v>19155</v>
      </c>
      <c r="I102" s="119">
        <v>1848.54</v>
      </c>
      <c r="J102" s="119">
        <f t="shared" si="11"/>
        <v>802.83</v>
      </c>
      <c r="M102" s="110"/>
      <c r="P102">
        <v>1.45</v>
      </c>
      <c r="Q102" t="s">
        <v>1</v>
      </c>
      <c r="R102" t="s">
        <v>91</v>
      </c>
      <c r="S102">
        <v>0</v>
      </c>
      <c r="T102">
        <v>0.92</v>
      </c>
      <c r="U102" s="119">
        <f t="shared" si="9"/>
        <v>67.951966666666664</v>
      </c>
    </row>
    <row r="103" spans="1:21" x14ac:dyDescent="0.3">
      <c r="A103" t="s">
        <v>56</v>
      </c>
      <c r="B103" t="s">
        <v>104</v>
      </c>
      <c r="C103">
        <v>15.8012</v>
      </c>
      <c r="D103">
        <v>-91.755200000000002</v>
      </c>
      <c r="E103" t="s">
        <v>1</v>
      </c>
      <c r="F103" t="s">
        <v>2</v>
      </c>
      <c r="G103" t="s">
        <v>351</v>
      </c>
      <c r="H103" s="116">
        <v>45679</v>
      </c>
      <c r="I103" s="119">
        <v>1899.08</v>
      </c>
      <c r="J103" s="119">
        <f t="shared" si="11"/>
        <v>824.78</v>
      </c>
      <c r="M103" s="110"/>
      <c r="P103">
        <v>1.45</v>
      </c>
      <c r="Q103" t="s">
        <v>1</v>
      </c>
      <c r="R103" t="s">
        <v>193</v>
      </c>
      <c r="S103">
        <v>0</v>
      </c>
      <c r="T103">
        <v>0.92</v>
      </c>
      <c r="U103" s="119">
        <f t="shared" si="9"/>
        <v>61.486666666666665</v>
      </c>
    </row>
    <row r="104" spans="1:21" x14ac:dyDescent="0.3">
      <c r="A104" t="s">
        <v>56</v>
      </c>
      <c r="B104" t="s">
        <v>328</v>
      </c>
      <c r="C104">
        <v>15.624603</v>
      </c>
      <c r="D104">
        <v>-91.729580999999996</v>
      </c>
      <c r="E104" t="s">
        <v>1</v>
      </c>
      <c r="F104" t="s">
        <v>2</v>
      </c>
      <c r="G104" t="s">
        <v>351</v>
      </c>
      <c r="H104" s="116">
        <v>6366</v>
      </c>
      <c r="I104" s="119">
        <v>1898.03</v>
      </c>
      <c r="J104" s="119">
        <f t="shared" si="11"/>
        <v>824.32</v>
      </c>
      <c r="M104" s="110"/>
      <c r="P104">
        <v>1.45</v>
      </c>
      <c r="Q104" t="s">
        <v>1</v>
      </c>
      <c r="R104" t="s">
        <v>66</v>
      </c>
      <c r="S104">
        <v>0</v>
      </c>
      <c r="T104">
        <v>0.92</v>
      </c>
      <c r="U104" s="119">
        <f t="shared" si="9"/>
        <v>58.804099999999998</v>
      </c>
    </row>
    <row r="105" spans="1:21" x14ac:dyDescent="0.3">
      <c r="A105" t="s">
        <v>56</v>
      </c>
      <c r="B105" t="s">
        <v>263</v>
      </c>
      <c r="C105">
        <v>15.65</v>
      </c>
      <c r="D105">
        <v>-91.7667</v>
      </c>
      <c r="E105" t="s">
        <v>1</v>
      </c>
      <c r="F105" t="s">
        <v>2</v>
      </c>
      <c r="G105" t="s">
        <v>351</v>
      </c>
      <c r="H105" s="116">
        <v>16697</v>
      </c>
      <c r="I105" s="119">
        <v>1898.18</v>
      </c>
      <c r="J105" s="119">
        <f t="shared" si="11"/>
        <v>824.39</v>
      </c>
      <c r="M105" s="110"/>
      <c r="P105">
        <v>1.45</v>
      </c>
      <c r="Q105" t="s">
        <v>1</v>
      </c>
      <c r="R105" t="s">
        <v>323</v>
      </c>
      <c r="S105">
        <v>0</v>
      </c>
      <c r="T105">
        <v>0.92</v>
      </c>
      <c r="U105" s="119">
        <f t="shared" si="9"/>
        <v>61.410000000000004</v>
      </c>
    </row>
    <row r="106" spans="1:21" x14ac:dyDescent="0.3">
      <c r="A106" t="s">
        <v>56</v>
      </c>
      <c r="B106" t="s">
        <v>259</v>
      </c>
      <c r="C106">
        <v>15.38696</v>
      </c>
      <c r="D106">
        <v>-91.72833</v>
      </c>
      <c r="E106" t="s">
        <v>1</v>
      </c>
      <c r="F106" t="s">
        <v>2</v>
      </c>
      <c r="G106" t="s">
        <v>351</v>
      </c>
      <c r="H106" s="116">
        <v>8142</v>
      </c>
      <c r="I106" s="119">
        <v>2017.65</v>
      </c>
      <c r="J106" s="119">
        <f t="shared" si="11"/>
        <v>876.27</v>
      </c>
      <c r="M106" s="110"/>
      <c r="P106">
        <v>1.45</v>
      </c>
      <c r="Q106" t="s">
        <v>1</v>
      </c>
      <c r="R106" t="s">
        <v>184</v>
      </c>
      <c r="S106">
        <v>0</v>
      </c>
      <c r="T106">
        <v>0.92</v>
      </c>
      <c r="U106" s="119">
        <f t="shared" si="9"/>
        <v>58.820200000000007</v>
      </c>
    </row>
    <row r="107" spans="1:21" x14ac:dyDescent="0.3">
      <c r="A107" t="s">
        <v>56</v>
      </c>
      <c r="B107" t="s">
        <v>325</v>
      </c>
      <c r="C107">
        <v>15.416700000000001</v>
      </c>
      <c r="D107">
        <v>-91.7667</v>
      </c>
      <c r="E107" t="s">
        <v>1</v>
      </c>
      <c r="F107" t="s">
        <v>2</v>
      </c>
      <c r="G107" t="s">
        <v>351</v>
      </c>
      <c r="H107" s="116">
        <v>44424</v>
      </c>
      <c r="I107" s="119">
        <v>2017.85</v>
      </c>
      <c r="J107" s="119">
        <f t="shared" si="11"/>
        <v>876.36</v>
      </c>
      <c r="M107" s="110"/>
      <c r="P107">
        <v>1.45</v>
      </c>
      <c r="Q107" t="s">
        <v>1</v>
      </c>
      <c r="R107" t="s">
        <v>69</v>
      </c>
      <c r="S107">
        <v>0</v>
      </c>
      <c r="T107">
        <v>0.92</v>
      </c>
      <c r="U107" s="119">
        <f t="shared" si="9"/>
        <v>58.783400000000007</v>
      </c>
    </row>
    <row r="108" spans="1:21" x14ac:dyDescent="0.3">
      <c r="A108" t="s">
        <v>56</v>
      </c>
      <c r="B108" t="s">
        <v>248</v>
      </c>
      <c r="C108">
        <v>15.433299999999999</v>
      </c>
      <c r="D108">
        <v>-91.633300000000006</v>
      </c>
      <c r="E108" t="s">
        <v>1</v>
      </c>
      <c r="F108" t="s">
        <v>2</v>
      </c>
      <c r="G108" t="s">
        <v>351</v>
      </c>
      <c r="H108" s="116">
        <v>19418</v>
      </c>
      <c r="I108" s="119">
        <v>2017.99</v>
      </c>
      <c r="J108" s="119">
        <f t="shared" si="11"/>
        <v>876.42</v>
      </c>
      <c r="M108" s="110"/>
      <c r="P108">
        <v>1.45</v>
      </c>
      <c r="Q108" t="s">
        <v>1</v>
      </c>
      <c r="R108" t="s">
        <v>9</v>
      </c>
      <c r="S108">
        <v>0</v>
      </c>
      <c r="T108">
        <v>0.92</v>
      </c>
      <c r="U108" s="119">
        <f t="shared" si="9"/>
        <v>61.506600000000006</v>
      </c>
    </row>
    <row r="109" spans="1:21" x14ac:dyDescent="0.3">
      <c r="A109" t="s">
        <v>56</v>
      </c>
      <c r="B109" t="s">
        <v>109</v>
      </c>
      <c r="C109">
        <v>15.6</v>
      </c>
      <c r="D109">
        <v>-91.45</v>
      </c>
      <c r="E109" t="s">
        <v>1</v>
      </c>
      <c r="F109" t="s">
        <v>2</v>
      </c>
      <c r="G109" t="s">
        <v>351</v>
      </c>
      <c r="H109" s="116">
        <v>23204</v>
      </c>
      <c r="I109" s="119">
        <v>1872.21</v>
      </c>
      <c r="J109" s="119">
        <f t="shared" si="11"/>
        <v>813.11</v>
      </c>
      <c r="M109" s="110"/>
      <c r="P109">
        <v>1.45</v>
      </c>
      <c r="Q109" t="s">
        <v>1</v>
      </c>
      <c r="R109" t="s">
        <v>74</v>
      </c>
      <c r="S109">
        <v>0</v>
      </c>
      <c r="T109">
        <v>0.92</v>
      </c>
      <c r="U109" s="119">
        <f t="shared" si="9"/>
        <v>58.823266666666669</v>
      </c>
    </row>
    <row r="110" spans="1:21" x14ac:dyDescent="0.3">
      <c r="A110" t="s">
        <v>56</v>
      </c>
      <c r="B110" t="s">
        <v>271</v>
      </c>
      <c r="C110">
        <v>15.831899999999999</v>
      </c>
      <c r="D110">
        <v>-91.478099999999998</v>
      </c>
      <c r="E110" t="s">
        <v>1</v>
      </c>
      <c r="F110" t="s">
        <v>2</v>
      </c>
      <c r="G110" t="s">
        <v>351</v>
      </c>
      <c r="H110" s="116">
        <v>43810</v>
      </c>
      <c r="I110" s="119">
        <v>1873.54</v>
      </c>
      <c r="J110" s="119">
        <f t="shared" si="11"/>
        <v>813.68</v>
      </c>
      <c r="M110" s="110"/>
      <c r="P110">
        <v>1.45</v>
      </c>
      <c r="Q110" t="s">
        <v>1</v>
      </c>
      <c r="R110" t="s">
        <v>36</v>
      </c>
      <c r="S110">
        <v>0</v>
      </c>
      <c r="T110">
        <v>0.92</v>
      </c>
      <c r="U110" s="119">
        <f t="shared" si="9"/>
        <v>61.500466666666668</v>
      </c>
    </row>
    <row r="111" spans="1:21" x14ac:dyDescent="0.3">
      <c r="A111" t="s">
        <v>56</v>
      </c>
      <c r="B111" t="s">
        <v>247</v>
      </c>
      <c r="C111">
        <v>15.7</v>
      </c>
      <c r="D111">
        <v>-91.616699999999994</v>
      </c>
      <c r="E111" t="s">
        <v>1</v>
      </c>
      <c r="F111" t="s">
        <v>2</v>
      </c>
      <c r="G111" t="s">
        <v>351</v>
      </c>
      <c r="H111" s="116">
        <v>27128</v>
      </c>
      <c r="I111" s="119">
        <v>1898.48</v>
      </c>
      <c r="J111" s="119">
        <f t="shared" si="11"/>
        <v>824.52</v>
      </c>
      <c r="M111" s="110"/>
      <c r="P111">
        <v>1.45</v>
      </c>
      <c r="Q111" t="s">
        <v>1</v>
      </c>
      <c r="R111" t="s">
        <v>324</v>
      </c>
      <c r="S111">
        <v>0</v>
      </c>
      <c r="T111">
        <v>0.92</v>
      </c>
      <c r="U111" s="119">
        <f t="shared" si="9"/>
        <v>61.515033333333335</v>
      </c>
    </row>
    <row r="112" spans="1:21" x14ac:dyDescent="0.3">
      <c r="A112" t="s">
        <v>56</v>
      </c>
      <c r="B112" t="s">
        <v>258</v>
      </c>
      <c r="C112">
        <v>15.5</v>
      </c>
      <c r="D112">
        <v>-91.7667</v>
      </c>
      <c r="E112" t="s">
        <v>1</v>
      </c>
      <c r="F112" t="s">
        <v>2</v>
      </c>
      <c r="G112" t="s">
        <v>351</v>
      </c>
      <c r="H112" s="116">
        <v>38510</v>
      </c>
      <c r="I112" s="119">
        <v>2018.38</v>
      </c>
      <c r="J112" s="119">
        <f t="shared" si="11"/>
        <v>876.59</v>
      </c>
      <c r="M112" s="110"/>
      <c r="P112">
        <v>1.45</v>
      </c>
      <c r="Q112" t="s">
        <v>1</v>
      </c>
      <c r="R112" t="s">
        <v>41</v>
      </c>
      <c r="S112">
        <v>0</v>
      </c>
      <c r="T112">
        <v>0.92</v>
      </c>
      <c r="U112" s="119">
        <f t="shared" si="9"/>
        <v>58.787233333333333</v>
      </c>
    </row>
    <row r="113" spans="1:21" x14ac:dyDescent="0.3">
      <c r="A113" t="s">
        <v>56</v>
      </c>
      <c r="B113" t="s">
        <v>327</v>
      </c>
      <c r="C113">
        <v>15.66385</v>
      </c>
      <c r="D113">
        <v>-91.430819999999997</v>
      </c>
      <c r="E113" t="s">
        <v>1</v>
      </c>
      <c r="F113" t="s">
        <v>2</v>
      </c>
      <c r="G113" t="s">
        <v>351</v>
      </c>
      <c r="H113" s="116">
        <v>49030</v>
      </c>
      <c r="I113" s="119">
        <v>1872.58</v>
      </c>
      <c r="J113" s="119">
        <f t="shared" si="11"/>
        <v>813.27</v>
      </c>
      <c r="M113" s="110"/>
      <c r="P113">
        <v>1.45</v>
      </c>
      <c r="Q113" t="s">
        <v>1</v>
      </c>
      <c r="R113" t="s">
        <v>31</v>
      </c>
      <c r="S113">
        <v>0</v>
      </c>
      <c r="T113">
        <v>0.92</v>
      </c>
      <c r="U113" s="119">
        <f t="shared" si="9"/>
        <v>66.494533333333337</v>
      </c>
    </row>
    <row r="114" spans="1:21" x14ac:dyDescent="0.3">
      <c r="A114" t="s">
        <v>56</v>
      </c>
      <c r="B114" t="s">
        <v>255</v>
      </c>
      <c r="C114">
        <v>15.70265</v>
      </c>
      <c r="D114">
        <v>-91.534459999999996</v>
      </c>
      <c r="E114" t="s">
        <v>1</v>
      </c>
      <c r="F114" t="s">
        <v>2</v>
      </c>
      <c r="G114" t="s">
        <v>351</v>
      </c>
      <c r="H114" s="116">
        <v>14149</v>
      </c>
      <c r="I114" s="119">
        <v>1898.49</v>
      </c>
      <c r="J114" s="119">
        <f t="shared" si="11"/>
        <v>824.52</v>
      </c>
      <c r="M114" s="110"/>
      <c r="P114">
        <v>1.45</v>
      </c>
      <c r="Q114" t="s">
        <v>1</v>
      </c>
      <c r="R114" t="s">
        <v>3</v>
      </c>
      <c r="S114">
        <v>0</v>
      </c>
      <c r="T114">
        <v>0.92</v>
      </c>
      <c r="U114" s="119">
        <f t="shared" si="9"/>
        <v>61.471333333333334</v>
      </c>
    </row>
    <row r="115" spans="1:21" x14ac:dyDescent="0.3">
      <c r="A115" t="s">
        <v>56</v>
      </c>
      <c r="B115" t="s">
        <v>329</v>
      </c>
      <c r="C115">
        <v>15.405110000000001</v>
      </c>
      <c r="D115">
        <v>-91.665040000000005</v>
      </c>
      <c r="E115" t="s">
        <v>1</v>
      </c>
      <c r="F115" t="s">
        <v>2</v>
      </c>
      <c r="G115" t="s">
        <v>351</v>
      </c>
      <c r="H115" s="116">
        <v>11271</v>
      </c>
      <c r="I115" s="119">
        <v>2017.77</v>
      </c>
      <c r="J115" s="119">
        <f t="shared" si="11"/>
        <v>876.32</v>
      </c>
      <c r="M115" s="110"/>
      <c r="P115">
        <v>1.45</v>
      </c>
      <c r="Q115" t="s">
        <v>56</v>
      </c>
      <c r="R115" t="s">
        <v>228</v>
      </c>
      <c r="S115">
        <v>0</v>
      </c>
      <c r="T115">
        <v>0.92</v>
      </c>
      <c r="U115" s="119">
        <f t="shared" si="9"/>
        <v>61.5687</v>
      </c>
    </row>
    <row r="116" spans="1:21" x14ac:dyDescent="0.3">
      <c r="A116" t="s">
        <v>56</v>
      </c>
      <c r="B116" t="s">
        <v>256</v>
      </c>
      <c r="C116">
        <v>15.73625</v>
      </c>
      <c r="D116">
        <v>-91.563749999999999</v>
      </c>
      <c r="E116" t="s">
        <v>1</v>
      </c>
      <c r="F116" t="s">
        <v>2</v>
      </c>
      <c r="G116" t="s">
        <v>351</v>
      </c>
      <c r="H116" s="116">
        <v>20905</v>
      </c>
      <c r="I116" s="119">
        <v>1898.69</v>
      </c>
      <c r="J116" s="119">
        <f t="shared" si="11"/>
        <v>824.61</v>
      </c>
      <c r="M116" s="110"/>
      <c r="P116">
        <v>1.45</v>
      </c>
      <c r="Q116" t="s">
        <v>56</v>
      </c>
      <c r="R116" t="s">
        <v>215</v>
      </c>
      <c r="S116">
        <v>0</v>
      </c>
      <c r="T116">
        <v>0.92</v>
      </c>
      <c r="U116" s="119">
        <f t="shared" si="9"/>
        <v>61.570999999999998</v>
      </c>
    </row>
    <row r="117" spans="1:21" x14ac:dyDescent="0.3">
      <c r="A117" t="s">
        <v>56</v>
      </c>
      <c r="B117" t="s">
        <v>285</v>
      </c>
      <c r="C117">
        <v>15.38771</v>
      </c>
      <c r="D117">
        <v>-91.615430000000003</v>
      </c>
      <c r="E117" t="s">
        <v>1</v>
      </c>
      <c r="F117" t="s">
        <v>2</v>
      </c>
      <c r="G117" t="s">
        <v>351</v>
      </c>
      <c r="H117" s="116">
        <v>32608</v>
      </c>
      <c r="I117" s="119">
        <v>2017.65</v>
      </c>
      <c r="J117" s="119">
        <f t="shared" si="11"/>
        <v>876.27</v>
      </c>
      <c r="M117" s="110"/>
      <c r="P117">
        <v>1.45</v>
      </c>
      <c r="Q117" t="s">
        <v>56</v>
      </c>
      <c r="R117" t="s">
        <v>108</v>
      </c>
      <c r="S117">
        <v>0</v>
      </c>
      <c r="T117">
        <v>0.92</v>
      </c>
      <c r="U117" s="119">
        <f t="shared" si="9"/>
        <v>67.184533333333334</v>
      </c>
    </row>
    <row r="118" spans="1:21" x14ac:dyDescent="0.3">
      <c r="A118" t="s">
        <v>56</v>
      </c>
      <c r="B118" t="s">
        <v>165</v>
      </c>
      <c r="C118">
        <v>15.68023</v>
      </c>
      <c r="D118">
        <v>-91.819760000000002</v>
      </c>
      <c r="E118" t="s">
        <v>1</v>
      </c>
      <c r="F118" t="s">
        <v>2</v>
      </c>
      <c r="G118" t="s">
        <v>351</v>
      </c>
      <c r="H118" s="116">
        <v>9413</v>
      </c>
      <c r="I118" s="119">
        <v>1898.36</v>
      </c>
      <c r="J118" s="119">
        <f t="shared" si="11"/>
        <v>824.46</v>
      </c>
      <c r="M118" s="110"/>
      <c r="P118">
        <v>1.45</v>
      </c>
      <c r="Q118" t="s">
        <v>56</v>
      </c>
      <c r="R118" t="s">
        <v>300</v>
      </c>
      <c r="S118">
        <v>0</v>
      </c>
      <c r="T118">
        <v>0.92</v>
      </c>
      <c r="U118" s="119">
        <f t="shared" si="9"/>
        <v>63.197866666666677</v>
      </c>
    </row>
    <row r="119" spans="1:21" x14ac:dyDescent="0.3">
      <c r="A119" t="s">
        <v>56</v>
      </c>
      <c r="B119" t="s">
        <v>275</v>
      </c>
      <c r="C119">
        <v>15.316549999999999</v>
      </c>
      <c r="D119">
        <v>-91.63373</v>
      </c>
      <c r="E119" t="s">
        <v>1</v>
      </c>
      <c r="F119" t="s">
        <v>2</v>
      </c>
      <c r="G119" t="s">
        <v>351</v>
      </c>
      <c r="H119" s="116">
        <v>33608</v>
      </c>
      <c r="I119" s="119">
        <v>2017.18</v>
      </c>
      <c r="J119" s="119">
        <f t="shared" si="11"/>
        <v>876.07</v>
      </c>
      <c r="M119" s="110"/>
      <c r="P119">
        <v>1.45</v>
      </c>
      <c r="Q119" t="s">
        <v>56</v>
      </c>
      <c r="R119" t="s">
        <v>290</v>
      </c>
      <c r="S119">
        <v>0</v>
      </c>
      <c r="T119">
        <v>0.92</v>
      </c>
      <c r="U119" s="119">
        <f t="shared" si="9"/>
        <v>67.186066666666676</v>
      </c>
    </row>
    <row r="120" spans="1:21" x14ac:dyDescent="0.3">
      <c r="A120" t="s">
        <v>56</v>
      </c>
      <c r="B120" t="s">
        <v>326</v>
      </c>
      <c r="C120">
        <v>15.803599999999999</v>
      </c>
      <c r="D120">
        <v>-91.315799999999996</v>
      </c>
      <c r="E120" t="s">
        <v>1</v>
      </c>
      <c r="F120" t="s">
        <v>2</v>
      </c>
      <c r="G120" t="s">
        <v>351</v>
      </c>
      <c r="H120" s="116">
        <v>100849</v>
      </c>
      <c r="I120" s="119">
        <v>1873.38</v>
      </c>
      <c r="J120" s="119">
        <f t="shared" si="11"/>
        <v>813.61</v>
      </c>
      <c r="M120" s="110"/>
      <c r="P120">
        <v>1.45</v>
      </c>
      <c r="Q120" t="s">
        <v>56</v>
      </c>
      <c r="R120" t="s">
        <v>56</v>
      </c>
      <c r="S120">
        <v>0</v>
      </c>
      <c r="T120">
        <v>0.92</v>
      </c>
      <c r="U120" s="119">
        <f t="shared" si="9"/>
        <v>61.56333333333334</v>
      </c>
    </row>
    <row r="121" spans="1:21" x14ac:dyDescent="0.3">
      <c r="A121" t="s">
        <v>56</v>
      </c>
      <c r="B121" t="s">
        <v>242</v>
      </c>
      <c r="C121">
        <v>15.7333</v>
      </c>
      <c r="D121">
        <v>-91.458600000000004</v>
      </c>
      <c r="E121" t="s">
        <v>1</v>
      </c>
      <c r="F121" t="s">
        <v>2</v>
      </c>
      <c r="G121" t="s">
        <v>351</v>
      </c>
      <c r="H121" s="116">
        <v>39025</v>
      </c>
      <c r="I121" s="119">
        <v>1872.98</v>
      </c>
      <c r="J121" s="119">
        <f t="shared" si="11"/>
        <v>813.44</v>
      </c>
      <c r="M121" s="110"/>
      <c r="P121">
        <v>1.45</v>
      </c>
      <c r="Q121" t="s">
        <v>56</v>
      </c>
      <c r="R121" t="s">
        <v>265</v>
      </c>
      <c r="S121">
        <v>0</v>
      </c>
      <c r="T121">
        <v>0.92</v>
      </c>
      <c r="U121" s="119">
        <f t="shared" si="9"/>
        <v>63.205533333333335</v>
      </c>
    </row>
    <row r="122" spans="1:21" x14ac:dyDescent="0.3">
      <c r="A122" t="s">
        <v>56</v>
      </c>
      <c r="B122" t="s">
        <v>220</v>
      </c>
      <c r="C122">
        <v>15.4765</v>
      </c>
      <c r="D122">
        <v>-91.696399999999997</v>
      </c>
      <c r="E122" t="s">
        <v>1</v>
      </c>
      <c r="F122" t="s">
        <v>2</v>
      </c>
      <c r="G122" t="s">
        <v>351</v>
      </c>
      <c r="H122" s="116">
        <v>10507</v>
      </c>
      <c r="I122" s="119">
        <v>2018.25</v>
      </c>
      <c r="J122" s="119">
        <f t="shared" si="11"/>
        <v>876.53</v>
      </c>
      <c r="M122" s="110"/>
      <c r="P122">
        <v>1.45</v>
      </c>
      <c r="Q122" t="s">
        <v>56</v>
      </c>
      <c r="R122" t="s">
        <v>121</v>
      </c>
      <c r="S122">
        <v>0</v>
      </c>
      <c r="T122">
        <v>0.92</v>
      </c>
      <c r="U122" s="119">
        <f t="shared" si="9"/>
        <v>63.200166666666675</v>
      </c>
    </row>
    <row r="123" spans="1:21" x14ac:dyDescent="0.3">
      <c r="A123" t="s">
        <v>56</v>
      </c>
      <c r="B123" t="s">
        <v>312</v>
      </c>
      <c r="C123">
        <v>15.3073</v>
      </c>
      <c r="D123">
        <v>-92.061000000000007</v>
      </c>
      <c r="E123" t="s">
        <v>1</v>
      </c>
      <c r="F123" t="s">
        <v>2</v>
      </c>
      <c r="G123" t="s">
        <v>351</v>
      </c>
      <c r="H123" s="116">
        <v>10830</v>
      </c>
      <c r="I123" s="119">
        <v>2017.11</v>
      </c>
      <c r="J123" s="119">
        <f t="shared" si="11"/>
        <v>876.04</v>
      </c>
      <c r="M123" s="110"/>
      <c r="P123">
        <v>1.45</v>
      </c>
      <c r="Q123" t="s">
        <v>56</v>
      </c>
      <c r="R123" t="s">
        <v>173</v>
      </c>
      <c r="S123">
        <v>0</v>
      </c>
      <c r="T123">
        <v>0.92</v>
      </c>
      <c r="U123" s="119">
        <f t="shared" si="9"/>
        <v>63.176400000000001</v>
      </c>
    </row>
    <row r="124" spans="1:21" x14ac:dyDescent="0.3">
      <c r="A124" t="s">
        <v>56</v>
      </c>
      <c r="B124" t="s">
        <v>89</v>
      </c>
      <c r="C124">
        <v>15.5116</v>
      </c>
      <c r="D124">
        <v>-91.605099999999993</v>
      </c>
      <c r="E124" t="s">
        <v>1</v>
      </c>
      <c r="F124" t="s">
        <v>2</v>
      </c>
      <c r="G124" t="s">
        <v>351</v>
      </c>
      <c r="H124" s="116">
        <v>30186</v>
      </c>
      <c r="I124" s="119">
        <v>1897.36</v>
      </c>
      <c r="J124" s="119">
        <f t="shared" si="11"/>
        <v>824.03</v>
      </c>
      <c r="M124" s="110"/>
      <c r="P124">
        <v>1.45</v>
      </c>
      <c r="Q124" t="s">
        <v>56</v>
      </c>
      <c r="R124" t="s">
        <v>309</v>
      </c>
      <c r="S124">
        <v>0</v>
      </c>
      <c r="T124">
        <v>0.92</v>
      </c>
      <c r="U124" s="119">
        <f t="shared" si="9"/>
        <v>61.550300000000007</v>
      </c>
    </row>
    <row r="125" spans="1:21" x14ac:dyDescent="0.3">
      <c r="A125" t="s">
        <v>56</v>
      </c>
      <c r="B125" t="s">
        <v>330</v>
      </c>
      <c r="C125">
        <v>15.921799999999999</v>
      </c>
      <c r="D125">
        <v>-91.776499999999999</v>
      </c>
      <c r="E125" t="s">
        <v>1</v>
      </c>
      <c r="F125" t="s">
        <v>2</v>
      </c>
      <c r="G125" t="s">
        <v>351</v>
      </c>
      <c r="H125" s="116">
        <v>15900</v>
      </c>
      <c r="I125" s="119">
        <v>1899.79</v>
      </c>
      <c r="J125" s="119">
        <f t="shared" si="11"/>
        <v>825.08</v>
      </c>
      <c r="M125" s="110"/>
      <c r="P125">
        <v>1.45</v>
      </c>
      <c r="Q125" t="s">
        <v>56</v>
      </c>
      <c r="R125" t="s">
        <v>104</v>
      </c>
      <c r="S125">
        <v>0</v>
      </c>
      <c r="T125">
        <v>0.92</v>
      </c>
      <c r="U125" s="119">
        <f t="shared" si="9"/>
        <v>63.233133333333342</v>
      </c>
    </row>
    <row r="126" spans="1:21" x14ac:dyDescent="0.3">
      <c r="A126" t="s">
        <v>22</v>
      </c>
      <c r="B126" t="s">
        <v>144</v>
      </c>
      <c r="C126">
        <v>15.533300000000001</v>
      </c>
      <c r="D126">
        <v>-89.35</v>
      </c>
      <c r="E126" t="s">
        <v>1</v>
      </c>
      <c r="F126" t="s">
        <v>2</v>
      </c>
      <c r="G126" t="s">
        <v>351</v>
      </c>
      <c r="H126" s="116">
        <v>73328</v>
      </c>
      <c r="I126" s="119">
        <v>1741.07</v>
      </c>
      <c r="J126" s="119">
        <f>ROUND(K$130*I126,2)</f>
        <v>756.57</v>
      </c>
      <c r="M126" s="110"/>
      <c r="P126">
        <v>1.45</v>
      </c>
      <c r="Q126" t="s">
        <v>56</v>
      </c>
      <c r="R126" t="s">
        <v>328</v>
      </c>
      <c r="S126">
        <v>0</v>
      </c>
      <c r="T126">
        <v>0.92</v>
      </c>
      <c r="U126" s="119">
        <f t="shared" si="9"/>
        <v>63.197866666666677</v>
      </c>
    </row>
    <row r="127" spans="1:21" x14ac:dyDescent="0.3">
      <c r="A127" t="s">
        <v>22</v>
      </c>
      <c r="B127" t="s">
        <v>33</v>
      </c>
      <c r="C127">
        <v>15.83</v>
      </c>
      <c r="D127">
        <v>-88.75</v>
      </c>
      <c r="E127" t="s">
        <v>1</v>
      </c>
      <c r="F127" t="s">
        <v>2</v>
      </c>
      <c r="G127" t="s">
        <v>351</v>
      </c>
      <c r="H127" s="116">
        <v>73492</v>
      </c>
      <c r="I127" s="119">
        <v>1742.56</v>
      </c>
      <c r="J127" s="119">
        <f>ROUND(K$130*I127,2)</f>
        <v>757.22</v>
      </c>
      <c r="M127" s="110"/>
      <c r="P127">
        <v>1.45</v>
      </c>
      <c r="Q127" t="s">
        <v>56</v>
      </c>
      <c r="R127" t="s">
        <v>263</v>
      </c>
      <c r="S127">
        <v>0</v>
      </c>
      <c r="T127">
        <v>0.92</v>
      </c>
      <c r="U127" s="119">
        <f t="shared" si="9"/>
        <v>63.203233333333337</v>
      </c>
    </row>
    <row r="128" spans="1:21" x14ac:dyDescent="0.3">
      <c r="A128" t="s">
        <v>22</v>
      </c>
      <c r="B128" t="s">
        <v>59</v>
      </c>
      <c r="C128">
        <v>15.255750000000001</v>
      </c>
      <c r="D128">
        <v>-89.097139999999996</v>
      </c>
      <c r="E128" t="s">
        <v>1</v>
      </c>
      <c r="F128" t="s">
        <v>2</v>
      </c>
      <c r="G128" t="s">
        <v>351</v>
      </c>
      <c r="H128" s="116">
        <v>60914</v>
      </c>
      <c r="I128" s="119">
        <v>1806.82</v>
      </c>
      <c r="J128" s="119">
        <f>ROUND(K$130*I128,2)</f>
        <v>785.14</v>
      </c>
      <c r="M128" s="110"/>
      <c r="P128">
        <v>1.45</v>
      </c>
      <c r="Q128" t="s">
        <v>56</v>
      </c>
      <c r="R128" t="s">
        <v>259</v>
      </c>
      <c r="S128">
        <v>0</v>
      </c>
      <c r="T128">
        <v>0.92</v>
      </c>
      <c r="U128" s="119">
        <f t="shared" si="9"/>
        <v>67.180700000000002</v>
      </c>
    </row>
    <row r="129" spans="1:21" x14ac:dyDescent="0.3">
      <c r="A129" t="s">
        <v>22</v>
      </c>
      <c r="B129" t="s">
        <v>28</v>
      </c>
      <c r="C129">
        <v>15.4725</v>
      </c>
      <c r="D129">
        <v>-88.841399999999993</v>
      </c>
      <c r="E129" t="s">
        <v>1</v>
      </c>
      <c r="F129" t="s">
        <v>2</v>
      </c>
      <c r="G129" t="s">
        <v>351</v>
      </c>
      <c r="H129" s="116">
        <v>100361</v>
      </c>
      <c r="I129" s="119">
        <v>1807.97</v>
      </c>
      <c r="J129" s="119">
        <f>ROUND(K$130*I129,2)</f>
        <v>785.64</v>
      </c>
      <c r="M129" s="110"/>
      <c r="P129">
        <v>1.45</v>
      </c>
      <c r="Q129" t="s">
        <v>56</v>
      </c>
      <c r="R129" t="s">
        <v>325</v>
      </c>
      <c r="S129">
        <v>0</v>
      </c>
      <c r="T129">
        <v>0.92</v>
      </c>
      <c r="U129" s="119">
        <f t="shared" si="9"/>
        <v>67.187600000000003</v>
      </c>
    </row>
    <row r="130" spans="1:21" x14ac:dyDescent="0.3">
      <c r="A130" t="s">
        <v>22</v>
      </c>
      <c r="B130" t="s">
        <v>21</v>
      </c>
      <c r="C130">
        <v>15.73</v>
      </c>
      <c r="D130">
        <v>-88.6</v>
      </c>
      <c r="E130" t="s">
        <v>1</v>
      </c>
      <c r="F130" t="s">
        <v>2</v>
      </c>
      <c r="G130" t="s">
        <v>350</v>
      </c>
      <c r="H130" s="116">
        <v>100593</v>
      </c>
      <c r="I130" s="119">
        <v>1742.06</v>
      </c>
      <c r="J130" s="119">
        <v>757</v>
      </c>
      <c r="K130" s="118">
        <f>J130/I130</f>
        <v>0.43454301229578773</v>
      </c>
      <c r="M130" s="110"/>
      <c r="P130">
        <v>1.45</v>
      </c>
      <c r="Q130" t="s">
        <v>56</v>
      </c>
      <c r="R130" t="s">
        <v>248</v>
      </c>
      <c r="S130">
        <v>0</v>
      </c>
      <c r="T130">
        <v>0.92</v>
      </c>
      <c r="U130" s="119">
        <f t="shared" si="9"/>
        <v>67.1922</v>
      </c>
    </row>
    <row r="131" spans="1:21" x14ac:dyDescent="0.3">
      <c r="A131" t="s">
        <v>20</v>
      </c>
      <c r="B131" t="s">
        <v>20</v>
      </c>
      <c r="C131">
        <v>14.6379</v>
      </c>
      <c r="D131">
        <v>-89.990399999999994</v>
      </c>
      <c r="E131" t="s">
        <v>1</v>
      </c>
      <c r="F131" t="s">
        <v>2</v>
      </c>
      <c r="G131" t="s">
        <v>350</v>
      </c>
      <c r="H131" s="116">
        <v>159840</v>
      </c>
      <c r="I131" s="119">
        <v>1764.36</v>
      </c>
      <c r="J131" s="119">
        <v>767</v>
      </c>
      <c r="K131" s="118">
        <f>J131/I131</f>
        <v>0.43471853816681405</v>
      </c>
      <c r="M131" s="110"/>
      <c r="P131">
        <v>1.45</v>
      </c>
      <c r="Q131" t="s">
        <v>56</v>
      </c>
      <c r="R131" t="s">
        <v>109</v>
      </c>
      <c r="S131">
        <v>0</v>
      </c>
      <c r="T131">
        <v>0.92</v>
      </c>
      <c r="U131" s="119">
        <f t="shared" ref="U131:U194" si="12">SUMIFS($J$2:$J$341,$A$2:$A$341,Q131,$B$2:$B$341,R131)/12*T131</f>
        <v>62.338433333333342</v>
      </c>
    </row>
    <row r="132" spans="1:21" x14ac:dyDescent="0.3">
      <c r="A132" t="s">
        <v>20</v>
      </c>
      <c r="B132" t="s">
        <v>92</v>
      </c>
      <c r="C132">
        <v>14.5336</v>
      </c>
      <c r="D132">
        <v>-90.183800000000005</v>
      </c>
      <c r="E132" t="s">
        <v>1</v>
      </c>
      <c r="F132" t="s">
        <v>2</v>
      </c>
      <c r="G132" t="s">
        <v>351</v>
      </c>
      <c r="H132" s="116">
        <v>41848</v>
      </c>
      <c r="I132" s="119">
        <v>1763.83</v>
      </c>
      <c r="J132" s="119">
        <f t="shared" ref="J132:J137" si="13">ROUND(K$131*I132,2)</f>
        <v>766.77</v>
      </c>
      <c r="M132" s="110"/>
      <c r="P132">
        <v>1.45</v>
      </c>
      <c r="Q132" t="s">
        <v>56</v>
      </c>
      <c r="R132" t="s">
        <v>271</v>
      </c>
      <c r="S132">
        <v>0</v>
      </c>
      <c r="T132">
        <v>0.92</v>
      </c>
      <c r="U132" s="119">
        <f t="shared" si="12"/>
        <v>62.382133333333329</v>
      </c>
    </row>
    <row r="133" spans="1:21" x14ac:dyDescent="0.3">
      <c r="A133" t="s">
        <v>20</v>
      </c>
      <c r="B133" t="s">
        <v>272</v>
      </c>
      <c r="C133">
        <v>14.500999999999999</v>
      </c>
      <c r="D133">
        <v>-89.872299999999996</v>
      </c>
      <c r="E133" t="s">
        <v>1</v>
      </c>
      <c r="F133" t="s">
        <v>2</v>
      </c>
      <c r="G133" t="s">
        <v>351</v>
      </c>
      <c r="H133" s="116">
        <v>27354</v>
      </c>
      <c r="I133" s="119">
        <v>1763.67</v>
      </c>
      <c r="J133" s="119">
        <f t="shared" si="13"/>
        <v>766.7</v>
      </c>
      <c r="M133" s="110"/>
      <c r="P133">
        <v>1.45</v>
      </c>
      <c r="Q133" t="s">
        <v>56</v>
      </c>
      <c r="R133" t="s">
        <v>247</v>
      </c>
      <c r="S133">
        <v>0</v>
      </c>
      <c r="T133">
        <v>0.92</v>
      </c>
      <c r="U133" s="119">
        <f t="shared" si="12"/>
        <v>63.213200000000001</v>
      </c>
    </row>
    <row r="134" spans="1:21" x14ac:dyDescent="0.3">
      <c r="A134" t="s">
        <v>20</v>
      </c>
      <c r="B134" t="s">
        <v>234</v>
      </c>
      <c r="C134">
        <v>14.5</v>
      </c>
      <c r="D134">
        <v>-90.066699999999997</v>
      </c>
      <c r="E134" t="s">
        <v>1</v>
      </c>
      <c r="F134" t="s">
        <v>2</v>
      </c>
      <c r="G134" t="s">
        <v>351</v>
      </c>
      <c r="H134" s="116">
        <v>18977</v>
      </c>
      <c r="I134" s="119">
        <v>1763.67</v>
      </c>
      <c r="J134" s="119">
        <f t="shared" si="13"/>
        <v>766.7</v>
      </c>
      <c r="M134" s="110"/>
      <c r="P134">
        <v>1.45</v>
      </c>
      <c r="Q134" t="s">
        <v>56</v>
      </c>
      <c r="R134" t="s">
        <v>258</v>
      </c>
      <c r="S134">
        <v>0</v>
      </c>
      <c r="T134">
        <v>0.92</v>
      </c>
      <c r="U134" s="119">
        <f t="shared" si="12"/>
        <v>67.205233333333339</v>
      </c>
    </row>
    <row r="135" spans="1:21" x14ac:dyDescent="0.3">
      <c r="A135" t="s">
        <v>20</v>
      </c>
      <c r="B135" t="s">
        <v>287</v>
      </c>
      <c r="C135">
        <v>14.65</v>
      </c>
      <c r="D135">
        <v>-89.7333</v>
      </c>
      <c r="E135" t="s">
        <v>1</v>
      </c>
      <c r="F135" t="s">
        <v>2</v>
      </c>
      <c r="G135" t="s">
        <v>351</v>
      </c>
      <c r="H135" s="116">
        <v>24679</v>
      </c>
      <c r="I135" s="119">
        <v>1764.42</v>
      </c>
      <c r="J135" s="119">
        <f t="shared" si="13"/>
        <v>767.03</v>
      </c>
      <c r="M135" s="110"/>
      <c r="P135">
        <v>1.45</v>
      </c>
      <c r="Q135" t="s">
        <v>56</v>
      </c>
      <c r="R135" t="s">
        <v>327</v>
      </c>
      <c r="S135">
        <v>0</v>
      </c>
      <c r="T135">
        <v>0.92</v>
      </c>
      <c r="U135" s="119">
        <f t="shared" si="12"/>
        <v>62.350699999999996</v>
      </c>
    </row>
    <row r="136" spans="1:21" x14ac:dyDescent="0.3">
      <c r="A136" t="s">
        <v>20</v>
      </c>
      <c r="B136" t="s">
        <v>302</v>
      </c>
      <c r="C136">
        <v>14.5167</v>
      </c>
      <c r="D136">
        <v>-89.7667</v>
      </c>
      <c r="E136" t="s">
        <v>1</v>
      </c>
      <c r="F136" t="s">
        <v>2</v>
      </c>
      <c r="G136" t="s">
        <v>351</v>
      </c>
      <c r="H136" s="116">
        <v>8317</v>
      </c>
      <c r="I136" s="119">
        <v>1763.75</v>
      </c>
      <c r="J136" s="119">
        <f t="shared" si="13"/>
        <v>766.73</v>
      </c>
      <c r="M136" s="110"/>
      <c r="P136">
        <v>1.45</v>
      </c>
      <c r="Q136" t="s">
        <v>56</v>
      </c>
      <c r="R136" t="s">
        <v>255</v>
      </c>
      <c r="S136">
        <v>0</v>
      </c>
      <c r="T136">
        <v>0.92</v>
      </c>
      <c r="U136" s="119">
        <f t="shared" si="12"/>
        <v>63.213200000000001</v>
      </c>
    </row>
    <row r="137" spans="1:21" x14ac:dyDescent="0.3">
      <c r="A137" t="s">
        <v>20</v>
      </c>
      <c r="B137" t="s">
        <v>283</v>
      </c>
      <c r="C137">
        <v>14.666700000000001</v>
      </c>
      <c r="D137">
        <v>-89.85</v>
      </c>
      <c r="E137" t="s">
        <v>1</v>
      </c>
      <c r="F137" t="s">
        <v>2</v>
      </c>
      <c r="G137" t="s">
        <v>351</v>
      </c>
      <c r="H137" s="116">
        <v>61908</v>
      </c>
      <c r="I137" s="119">
        <v>1764.5</v>
      </c>
      <c r="J137" s="119">
        <f t="shared" si="13"/>
        <v>767.06</v>
      </c>
      <c r="M137" s="110"/>
      <c r="P137">
        <v>1.45</v>
      </c>
      <c r="Q137" t="s">
        <v>56</v>
      </c>
      <c r="R137" t="s">
        <v>329</v>
      </c>
      <c r="S137">
        <v>0</v>
      </c>
      <c r="T137">
        <v>0.92</v>
      </c>
      <c r="U137" s="119">
        <f t="shared" si="12"/>
        <v>67.184533333333334</v>
      </c>
    </row>
    <row r="138" spans="1:21" x14ac:dyDescent="0.3">
      <c r="A138" t="s">
        <v>10</v>
      </c>
      <c r="B138" t="s">
        <v>153</v>
      </c>
      <c r="C138">
        <v>14.4833</v>
      </c>
      <c r="D138">
        <v>-89.6494</v>
      </c>
      <c r="E138" t="s">
        <v>1</v>
      </c>
      <c r="F138" t="s">
        <v>2</v>
      </c>
      <c r="G138" t="s">
        <v>351</v>
      </c>
      <c r="H138" s="116">
        <v>16353</v>
      </c>
      <c r="I138" s="119">
        <v>2039.12</v>
      </c>
      <c r="J138" s="119">
        <f t="shared" ref="J138:J146" si="14">ROUND(K$147*I138,2)</f>
        <v>885.59</v>
      </c>
      <c r="M138" s="110"/>
      <c r="P138">
        <v>1.45</v>
      </c>
      <c r="Q138" t="s">
        <v>56</v>
      </c>
      <c r="R138" t="s">
        <v>256</v>
      </c>
      <c r="S138">
        <v>0</v>
      </c>
      <c r="T138">
        <v>0.92</v>
      </c>
      <c r="U138" s="119">
        <f t="shared" si="12"/>
        <v>63.220100000000002</v>
      </c>
    </row>
    <row r="139" spans="1:21" x14ac:dyDescent="0.3">
      <c r="A139" t="s">
        <v>10</v>
      </c>
      <c r="B139" t="s">
        <v>79</v>
      </c>
      <c r="C139">
        <v>14.333299999999999</v>
      </c>
      <c r="D139">
        <v>-89.716700000000003</v>
      </c>
      <c r="E139" t="s">
        <v>1</v>
      </c>
      <c r="F139" t="s">
        <v>2</v>
      </c>
      <c r="G139" t="s">
        <v>351</v>
      </c>
      <c r="H139" s="116">
        <v>48297</v>
      </c>
      <c r="I139" s="119">
        <v>2038.11</v>
      </c>
      <c r="J139" s="119">
        <f t="shared" si="14"/>
        <v>885.15</v>
      </c>
      <c r="M139" s="110"/>
      <c r="P139">
        <v>1.45</v>
      </c>
      <c r="Q139" t="s">
        <v>56</v>
      </c>
      <c r="R139" t="s">
        <v>285</v>
      </c>
      <c r="S139">
        <v>0</v>
      </c>
      <c r="T139">
        <v>0.92</v>
      </c>
      <c r="U139" s="119">
        <f t="shared" si="12"/>
        <v>67.180700000000002</v>
      </c>
    </row>
    <row r="140" spans="1:21" x14ac:dyDescent="0.3">
      <c r="A140" t="s">
        <v>10</v>
      </c>
      <c r="B140" t="s">
        <v>145</v>
      </c>
      <c r="C140">
        <v>14.175000000000001</v>
      </c>
      <c r="D140">
        <v>-89.741699999999994</v>
      </c>
      <c r="E140" t="s">
        <v>1</v>
      </c>
      <c r="F140" t="s">
        <v>2</v>
      </c>
      <c r="G140" t="s">
        <v>351</v>
      </c>
      <c r="H140" s="116">
        <v>18402</v>
      </c>
      <c r="I140" s="119">
        <v>2037.05</v>
      </c>
      <c r="J140" s="119">
        <f t="shared" si="14"/>
        <v>884.69</v>
      </c>
      <c r="M140" s="110"/>
      <c r="P140">
        <v>1.45</v>
      </c>
      <c r="Q140" t="s">
        <v>56</v>
      </c>
      <c r="R140" t="s">
        <v>165</v>
      </c>
      <c r="S140">
        <v>0</v>
      </c>
      <c r="T140">
        <v>0.92</v>
      </c>
      <c r="U140" s="119">
        <f t="shared" si="12"/>
        <v>63.208600000000004</v>
      </c>
    </row>
    <row r="141" spans="1:21" x14ac:dyDescent="0.3">
      <c r="A141" t="s">
        <v>10</v>
      </c>
      <c r="B141" t="s">
        <v>115</v>
      </c>
      <c r="C141">
        <v>14.114599999999999</v>
      </c>
      <c r="D141">
        <v>-89.911500000000004</v>
      </c>
      <c r="E141" t="s">
        <v>1</v>
      </c>
      <c r="F141" t="s">
        <v>2</v>
      </c>
      <c r="G141" t="s">
        <v>351</v>
      </c>
      <c r="H141" s="116">
        <v>32207</v>
      </c>
      <c r="I141" s="119">
        <v>2036.64</v>
      </c>
      <c r="J141" s="119">
        <f t="shared" si="14"/>
        <v>884.51</v>
      </c>
      <c r="M141" s="110"/>
      <c r="P141">
        <v>1.45</v>
      </c>
      <c r="Q141" t="s">
        <v>56</v>
      </c>
      <c r="R141" t="s">
        <v>275</v>
      </c>
      <c r="S141">
        <v>0</v>
      </c>
      <c r="T141">
        <v>0.92</v>
      </c>
      <c r="U141" s="119">
        <f t="shared" si="12"/>
        <v>67.165366666666671</v>
      </c>
    </row>
    <row r="142" spans="1:21" x14ac:dyDescent="0.3">
      <c r="A142" t="s">
        <v>10</v>
      </c>
      <c r="B142" t="s">
        <v>147</v>
      </c>
      <c r="C142">
        <v>14.047000000000001</v>
      </c>
      <c r="D142">
        <v>-90.033600000000007</v>
      </c>
      <c r="E142" t="s">
        <v>1</v>
      </c>
      <c r="F142" t="s">
        <v>2</v>
      </c>
      <c r="G142" t="s">
        <v>351</v>
      </c>
      <c r="H142" s="116">
        <v>23452</v>
      </c>
      <c r="I142" s="119">
        <v>2036.19</v>
      </c>
      <c r="J142" s="119">
        <f t="shared" si="14"/>
        <v>884.31</v>
      </c>
      <c r="M142" s="110"/>
      <c r="P142">
        <v>1.45</v>
      </c>
      <c r="Q142" t="s">
        <v>56</v>
      </c>
      <c r="R142" t="s">
        <v>326</v>
      </c>
      <c r="S142">
        <v>0</v>
      </c>
      <c r="T142">
        <v>0.92</v>
      </c>
      <c r="U142" s="119">
        <f t="shared" si="12"/>
        <v>62.376766666666668</v>
      </c>
    </row>
    <row r="143" spans="1:21" x14ac:dyDescent="0.3">
      <c r="A143" t="s">
        <v>10</v>
      </c>
      <c r="B143" t="s">
        <v>254</v>
      </c>
      <c r="C143">
        <v>14.170389999999999</v>
      </c>
      <c r="D143">
        <v>-89.827070000000006</v>
      </c>
      <c r="E143" t="s">
        <v>1</v>
      </c>
      <c r="F143" t="s">
        <v>2</v>
      </c>
      <c r="G143" t="s">
        <v>351</v>
      </c>
      <c r="H143" s="116">
        <v>6500</v>
      </c>
      <c r="I143" s="119">
        <v>2037.01</v>
      </c>
      <c r="J143" s="119">
        <f t="shared" si="14"/>
        <v>884.67</v>
      </c>
      <c r="M143" s="110"/>
      <c r="P143">
        <v>1.45</v>
      </c>
      <c r="Q143" t="s">
        <v>56</v>
      </c>
      <c r="R143" t="s">
        <v>242</v>
      </c>
      <c r="S143">
        <v>0</v>
      </c>
      <c r="T143">
        <v>0.92</v>
      </c>
      <c r="U143" s="119">
        <f t="shared" si="12"/>
        <v>62.363733333333343</v>
      </c>
    </row>
    <row r="144" spans="1:21" x14ac:dyDescent="0.3">
      <c r="A144" t="s">
        <v>10</v>
      </c>
      <c r="B144" t="s">
        <v>81</v>
      </c>
      <c r="C144">
        <v>14.35</v>
      </c>
      <c r="D144">
        <v>-89.85</v>
      </c>
      <c r="E144" t="s">
        <v>1</v>
      </c>
      <c r="F144" t="s">
        <v>2</v>
      </c>
      <c r="G144" t="s">
        <v>351</v>
      </c>
      <c r="H144" s="116">
        <v>22114</v>
      </c>
      <c r="I144" s="119">
        <v>2038.24</v>
      </c>
      <c r="J144" s="119">
        <f t="shared" si="14"/>
        <v>885.2</v>
      </c>
      <c r="M144" s="110"/>
      <c r="P144">
        <v>1.45</v>
      </c>
      <c r="Q144" t="s">
        <v>56</v>
      </c>
      <c r="R144" t="s">
        <v>220</v>
      </c>
      <c r="S144">
        <v>0</v>
      </c>
      <c r="T144">
        <v>0.92</v>
      </c>
      <c r="U144" s="119">
        <f t="shared" si="12"/>
        <v>67.200633333333343</v>
      </c>
    </row>
    <row r="145" spans="1:21" x14ac:dyDescent="0.3">
      <c r="A145" t="s">
        <v>10</v>
      </c>
      <c r="B145" t="s">
        <v>270</v>
      </c>
      <c r="C145">
        <v>14.1364</v>
      </c>
      <c r="D145">
        <v>-90.005200000000002</v>
      </c>
      <c r="E145" t="s">
        <v>1</v>
      </c>
      <c r="F145" t="s">
        <v>2</v>
      </c>
      <c r="G145" t="s">
        <v>351</v>
      </c>
      <c r="H145" s="116">
        <v>28832</v>
      </c>
      <c r="I145" s="119">
        <v>2036.78</v>
      </c>
      <c r="J145" s="119">
        <f t="shared" si="14"/>
        <v>884.57</v>
      </c>
      <c r="M145" s="110"/>
      <c r="P145">
        <v>1.45</v>
      </c>
      <c r="Q145" t="s">
        <v>56</v>
      </c>
      <c r="R145" t="s">
        <v>312</v>
      </c>
      <c r="S145">
        <v>0</v>
      </c>
      <c r="T145">
        <v>0.92</v>
      </c>
      <c r="U145" s="119">
        <f t="shared" si="12"/>
        <v>67.163066666666666</v>
      </c>
    </row>
    <row r="146" spans="1:21" x14ac:dyDescent="0.3">
      <c r="A146" t="s">
        <v>10</v>
      </c>
      <c r="B146" t="s">
        <v>170</v>
      </c>
      <c r="C146">
        <v>14.092409999999999</v>
      </c>
      <c r="D146">
        <v>-89.76464</v>
      </c>
      <c r="E146" t="s">
        <v>1</v>
      </c>
      <c r="F146" t="s">
        <v>2</v>
      </c>
      <c r="G146" t="s">
        <v>351</v>
      </c>
      <c r="H146" s="116">
        <v>6309</v>
      </c>
      <c r="I146" s="119">
        <v>2036.49</v>
      </c>
      <c r="J146" s="119">
        <f t="shared" si="14"/>
        <v>884.44</v>
      </c>
      <c r="M146" s="110"/>
      <c r="P146">
        <v>1.45</v>
      </c>
      <c r="Q146" t="s">
        <v>56</v>
      </c>
      <c r="R146" t="s">
        <v>89</v>
      </c>
      <c r="S146">
        <v>0</v>
      </c>
      <c r="T146">
        <v>0.92</v>
      </c>
      <c r="U146" s="119">
        <f t="shared" si="12"/>
        <v>63.175633333333337</v>
      </c>
    </row>
    <row r="147" spans="1:21" x14ac:dyDescent="0.3">
      <c r="A147" t="s">
        <v>10</v>
      </c>
      <c r="B147" t="s">
        <v>10</v>
      </c>
      <c r="C147">
        <v>14.2828</v>
      </c>
      <c r="D147">
        <v>-89.892499999999998</v>
      </c>
      <c r="E147" t="s">
        <v>1</v>
      </c>
      <c r="F147" t="s">
        <v>2</v>
      </c>
      <c r="G147" t="s">
        <v>350</v>
      </c>
      <c r="H147" s="116">
        <v>145880</v>
      </c>
      <c r="I147" s="119">
        <v>2037.77</v>
      </c>
      <c r="J147" s="119">
        <v>885</v>
      </c>
      <c r="K147" s="118">
        <f>J147/I147</f>
        <v>0.43429827703813484</v>
      </c>
      <c r="L147" t="s">
        <v>742</v>
      </c>
      <c r="M147" s="110"/>
      <c r="P147">
        <v>1.45</v>
      </c>
      <c r="Q147" t="s">
        <v>56</v>
      </c>
      <c r="R147" t="s">
        <v>330</v>
      </c>
      <c r="S147">
        <v>0</v>
      </c>
      <c r="T147">
        <v>0.92</v>
      </c>
      <c r="U147" s="119">
        <f t="shared" si="12"/>
        <v>63.256133333333345</v>
      </c>
    </row>
    <row r="148" spans="1:21" x14ac:dyDescent="0.3">
      <c r="A148" t="s">
        <v>10</v>
      </c>
      <c r="B148" t="s">
        <v>295</v>
      </c>
      <c r="C148">
        <v>14.0381</v>
      </c>
      <c r="D148">
        <v>-90.080399999999997</v>
      </c>
      <c r="E148" t="s">
        <v>1</v>
      </c>
      <c r="F148" t="s">
        <v>2</v>
      </c>
      <c r="G148" t="s">
        <v>351</v>
      </c>
      <c r="H148" s="116">
        <v>39781</v>
      </c>
      <c r="I148" s="119">
        <v>2036.12</v>
      </c>
      <c r="J148" s="119">
        <f t="shared" ref="J148:J154" si="15">ROUND(K$147*I148,2)</f>
        <v>884.28</v>
      </c>
      <c r="M148" s="110"/>
      <c r="P148">
        <v>1.45</v>
      </c>
      <c r="Q148" t="s">
        <v>22</v>
      </c>
      <c r="R148" t="s">
        <v>144</v>
      </c>
      <c r="S148">
        <v>0</v>
      </c>
      <c r="T148">
        <v>0.92</v>
      </c>
      <c r="U148" s="119">
        <f t="shared" si="12"/>
        <v>58.003700000000009</v>
      </c>
    </row>
    <row r="149" spans="1:21" x14ac:dyDescent="0.3">
      <c r="A149" t="s">
        <v>10</v>
      </c>
      <c r="B149" t="s">
        <v>308</v>
      </c>
      <c r="C149">
        <v>13.978899999999999</v>
      </c>
      <c r="D149">
        <v>-90.206299999999999</v>
      </c>
      <c r="E149" t="s">
        <v>1</v>
      </c>
      <c r="F149" t="s">
        <v>2</v>
      </c>
      <c r="G149" t="s">
        <v>351</v>
      </c>
      <c r="H149" s="116">
        <v>8854</v>
      </c>
      <c r="I149" s="119">
        <v>2035.73</v>
      </c>
      <c r="J149" s="119">
        <f t="shared" si="15"/>
        <v>884.11</v>
      </c>
      <c r="M149" s="110"/>
      <c r="P149">
        <v>1.45</v>
      </c>
      <c r="Q149" t="s">
        <v>22</v>
      </c>
      <c r="R149" t="s">
        <v>33</v>
      </c>
      <c r="S149">
        <v>0</v>
      </c>
      <c r="T149">
        <v>0.92</v>
      </c>
      <c r="U149" s="119">
        <f t="shared" si="12"/>
        <v>58.053533333333334</v>
      </c>
    </row>
    <row r="150" spans="1:21" x14ac:dyDescent="0.3">
      <c r="A150" t="s">
        <v>10</v>
      </c>
      <c r="B150" t="s">
        <v>269</v>
      </c>
      <c r="C150">
        <v>14.2723</v>
      </c>
      <c r="D150">
        <v>-90.037300000000002</v>
      </c>
      <c r="E150" t="s">
        <v>1</v>
      </c>
      <c r="F150" t="s">
        <v>2</v>
      </c>
      <c r="G150" t="s">
        <v>351</v>
      </c>
      <c r="H150" s="116">
        <v>22710</v>
      </c>
      <c r="I150" s="119">
        <v>2037.7</v>
      </c>
      <c r="J150" s="119">
        <f t="shared" si="15"/>
        <v>884.97</v>
      </c>
      <c r="M150" s="110"/>
      <c r="P150">
        <v>1.45</v>
      </c>
      <c r="Q150" t="s">
        <v>22</v>
      </c>
      <c r="R150" t="s">
        <v>59</v>
      </c>
      <c r="S150">
        <v>0</v>
      </c>
      <c r="T150">
        <v>0.92</v>
      </c>
      <c r="U150" s="119">
        <f t="shared" si="12"/>
        <v>60.194066666666664</v>
      </c>
    </row>
    <row r="151" spans="1:21" x14ac:dyDescent="0.3">
      <c r="A151" t="s">
        <v>10</v>
      </c>
      <c r="B151" t="s">
        <v>296</v>
      </c>
      <c r="C151">
        <v>14.2667</v>
      </c>
      <c r="D151">
        <v>-90.133300000000006</v>
      </c>
      <c r="E151" t="s">
        <v>1</v>
      </c>
      <c r="F151" t="s">
        <v>2</v>
      </c>
      <c r="G151" t="s">
        <v>351</v>
      </c>
      <c r="H151" s="116">
        <v>13206</v>
      </c>
      <c r="I151" s="119">
        <v>2037.67</v>
      </c>
      <c r="J151" s="119">
        <f t="shared" si="15"/>
        <v>884.96</v>
      </c>
      <c r="M151" s="110"/>
      <c r="P151">
        <v>1.45</v>
      </c>
      <c r="Q151" t="s">
        <v>22</v>
      </c>
      <c r="R151" t="s">
        <v>28</v>
      </c>
      <c r="S151">
        <v>0</v>
      </c>
      <c r="T151">
        <v>0.92</v>
      </c>
      <c r="U151" s="119">
        <f t="shared" si="12"/>
        <v>60.232399999999998</v>
      </c>
    </row>
    <row r="152" spans="1:21" x14ac:dyDescent="0.3">
      <c r="A152" t="s">
        <v>10</v>
      </c>
      <c r="B152" t="s">
        <v>288</v>
      </c>
      <c r="C152">
        <v>14.45</v>
      </c>
      <c r="D152">
        <v>-89.75</v>
      </c>
      <c r="E152" t="s">
        <v>1</v>
      </c>
      <c r="F152" t="s">
        <v>2</v>
      </c>
      <c r="G152" t="s">
        <v>351</v>
      </c>
      <c r="H152" s="116">
        <v>28983</v>
      </c>
      <c r="I152" s="119">
        <v>2038.91</v>
      </c>
      <c r="J152" s="119">
        <f t="shared" si="15"/>
        <v>885.5</v>
      </c>
      <c r="M152" s="110"/>
      <c r="P152">
        <v>1.45</v>
      </c>
      <c r="Q152" t="s">
        <v>22</v>
      </c>
      <c r="R152" t="s">
        <v>21</v>
      </c>
      <c r="S152">
        <v>0</v>
      </c>
      <c r="T152">
        <v>0.92</v>
      </c>
      <c r="U152" s="119">
        <f t="shared" si="12"/>
        <v>58.036666666666669</v>
      </c>
    </row>
    <row r="153" spans="1:21" x14ac:dyDescent="0.3">
      <c r="A153" t="s">
        <v>10</v>
      </c>
      <c r="B153" t="s">
        <v>131</v>
      </c>
      <c r="C153">
        <v>14.1976</v>
      </c>
      <c r="D153">
        <v>-89.792789999999997</v>
      </c>
      <c r="E153" t="s">
        <v>1</v>
      </c>
      <c r="F153" t="s">
        <v>2</v>
      </c>
      <c r="G153" t="s">
        <v>351</v>
      </c>
      <c r="H153" s="116">
        <v>17389</v>
      </c>
      <c r="I153" s="119">
        <v>2037.2</v>
      </c>
      <c r="J153" s="119">
        <f t="shared" si="15"/>
        <v>884.75</v>
      </c>
      <c r="M153" s="110"/>
      <c r="P153">
        <v>1.45</v>
      </c>
      <c r="Q153" t="s">
        <v>20</v>
      </c>
      <c r="R153" t="s">
        <v>20</v>
      </c>
      <c r="S153">
        <v>0</v>
      </c>
      <c r="T153">
        <v>0.92</v>
      </c>
      <c r="U153" s="119">
        <f t="shared" si="12"/>
        <v>58.803333333333335</v>
      </c>
    </row>
    <row r="154" spans="1:21" x14ac:dyDescent="0.3">
      <c r="A154" t="s">
        <v>10</v>
      </c>
      <c r="B154" t="s">
        <v>192</v>
      </c>
      <c r="C154">
        <v>14.139200000000001</v>
      </c>
      <c r="D154">
        <v>-89.826499999999996</v>
      </c>
      <c r="E154" t="s">
        <v>1</v>
      </c>
      <c r="F154" t="s">
        <v>2</v>
      </c>
      <c r="G154" t="s">
        <v>351</v>
      </c>
      <c r="H154" s="116">
        <v>9126</v>
      </c>
      <c r="I154" s="119">
        <v>2036.8</v>
      </c>
      <c r="J154" s="119">
        <f t="shared" si="15"/>
        <v>884.58</v>
      </c>
      <c r="M154" s="110"/>
      <c r="P154">
        <v>1.45</v>
      </c>
      <c r="Q154" t="s">
        <v>20</v>
      </c>
      <c r="R154" t="s">
        <v>92</v>
      </c>
      <c r="S154">
        <v>0</v>
      </c>
      <c r="T154">
        <v>0.92</v>
      </c>
      <c r="U154" s="119">
        <f t="shared" si="12"/>
        <v>58.785700000000006</v>
      </c>
    </row>
    <row r="155" spans="1:21" x14ac:dyDescent="0.3">
      <c r="A155" t="s">
        <v>12</v>
      </c>
      <c r="B155" t="s">
        <v>83</v>
      </c>
      <c r="C155">
        <v>16.514199999999999</v>
      </c>
      <c r="D155">
        <v>-89.415800000000004</v>
      </c>
      <c r="E155" t="s">
        <v>1</v>
      </c>
      <c r="F155" t="s">
        <v>2</v>
      </c>
      <c r="G155" t="s">
        <v>351</v>
      </c>
      <c r="H155" s="116">
        <v>26920</v>
      </c>
      <c r="I155" s="119">
        <v>1807.32</v>
      </c>
      <c r="J155" s="119">
        <f>ROUND(K$157*I155,2)</f>
        <v>785.07</v>
      </c>
      <c r="M155" s="110"/>
      <c r="P155">
        <v>1.45</v>
      </c>
      <c r="Q155" t="s">
        <v>20</v>
      </c>
      <c r="R155" t="s">
        <v>272</v>
      </c>
      <c r="S155">
        <v>0</v>
      </c>
      <c r="T155">
        <v>0.92</v>
      </c>
      <c r="U155" s="119">
        <f t="shared" si="12"/>
        <v>58.780333333333338</v>
      </c>
    </row>
    <row r="156" spans="1:21" x14ac:dyDescent="0.3">
      <c r="A156" t="s">
        <v>12</v>
      </c>
      <c r="B156" t="s">
        <v>313</v>
      </c>
      <c r="C156">
        <v>16.641660000000002</v>
      </c>
      <c r="D156">
        <v>-89.651060000000001</v>
      </c>
      <c r="E156" t="s">
        <v>1</v>
      </c>
      <c r="F156" t="s">
        <v>2</v>
      </c>
      <c r="G156" t="s">
        <v>351</v>
      </c>
      <c r="H156" s="116">
        <v>13819</v>
      </c>
      <c r="I156" s="119">
        <v>1876.84</v>
      </c>
      <c r="J156" s="119">
        <f>ROUND(K$157*I156,2)</f>
        <v>815.27</v>
      </c>
      <c r="M156" s="110"/>
      <c r="P156">
        <v>1.45</v>
      </c>
      <c r="Q156" t="s">
        <v>20</v>
      </c>
      <c r="R156" t="s">
        <v>234</v>
      </c>
      <c r="S156">
        <v>0</v>
      </c>
      <c r="T156">
        <v>0.92</v>
      </c>
      <c r="U156" s="119">
        <f t="shared" si="12"/>
        <v>58.780333333333338</v>
      </c>
    </row>
    <row r="157" spans="1:21" x14ac:dyDescent="0.3">
      <c r="A157" t="s">
        <v>12</v>
      </c>
      <c r="B157" t="s">
        <v>11</v>
      </c>
      <c r="C157">
        <v>16.929970000000001</v>
      </c>
      <c r="D157">
        <v>-89.891109999999998</v>
      </c>
      <c r="E157" t="s">
        <v>1</v>
      </c>
      <c r="F157" t="s">
        <v>2</v>
      </c>
      <c r="G157" t="s">
        <v>350</v>
      </c>
      <c r="H157" s="116">
        <v>38186</v>
      </c>
      <c r="I157" s="119">
        <v>1878.52</v>
      </c>
      <c r="J157" s="119">
        <v>816</v>
      </c>
      <c r="K157" s="118">
        <f>J157/I157</f>
        <v>0.43438451546962503</v>
      </c>
      <c r="L157" t="s">
        <v>742</v>
      </c>
      <c r="M157" s="110"/>
      <c r="P157">
        <v>1.45</v>
      </c>
      <c r="Q157" t="s">
        <v>20</v>
      </c>
      <c r="R157" t="s">
        <v>287</v>
      </c>
      <c r="S157">
        <v>0</v>
      </c>
      <c r="T157">
        <v>0.92</v>
      </c>
      <c r="U157" s="119">
        <f t="shared" si="12"/>
        <v>58.805633333333333</v>
      </c>
    </row>
    <row r="158" spans="1:21" x14ac:dyDescent="0.3">
      <c r="A158" t="s">
        <v>12</v>
      </c>
      <c r="B158" t="s">
        <v>173</v>
      </c>
      <c r="C158">
        <v>16.7804</v>
      </c>
      <c r="D158">
        <v>-90.12</v>
      </c>
      <c r="E158" t="s">
        <v>1</v>
      </c>
      <c r="F158" t="s">
        <v>2</v>
      </c>
      <c r="G158" t="s">
        <v>351</v>
      </c>
      <c r="H158" s="116">
        <v>71939</v>
      </c>
      <c r="I158" s="119">
        <v>1877.64</v>
      </c>
      <c r="J158" s="119">
        <f t="shared" ref="J158:J168" si="16">ROUND(K$157*I158,2)</f>
        <v>815.62</v>
      </c>
      <c r="M158" s="110"/>
      <c r="P158">
        <v>1.45</v>
      </c>
      <c r="Q158" t="s">
        <v>20</v>
      </c>
      <c r="R158" t="s">
        <v>302</v>
      </c>
      <c r="S158">
        <v>0</v>
      </c>
      <c r="T158">
        <v>0.92</v>
      </c>
      <c r="U158" s="119">
        <f t="shared" si="12"/>
        <v>58.782633333333337</v>
      </c>
    </row>
    <row r="159" spans="1:21" x14ac:dyDescent="0.3">
      <c r="A159" t="s">
        <v>12</v>
      </c>
      <c r="B159" t="s">
        <v>332</v>
      </c>
      <c r="C159" s="117">
        <v>16.658373999999998</v>
      </c>
      <c r="D159" s="117">
        <v>-90.287361000000004</v>
      </c>
      <c r="E159" t="s">
        <v>1</v>
      </c>
      <c r="F159" t="s">
        <v>2</v>
      </c>
      <c r="G159" t="s">
        <v>351</v>
      </c>
      <c r="H159" s="116">
        <v>32715</v>
      </c>
      <c r="I159" s="119">
        <v>1876.93</v>
      </c>
      <c r="J159" s="119">
        <f t="shared" si="16"/>
        <v>815.31</v>
      </c>
      <c r="M159" s="110"/>
      <c r="P159">
        <v>1.45</v>
      </c>
      <c r="Q159" t="s">
        <v>20</v>
      </c>
      <c r="R159" t="s">
        <v>283</v>
      </c>
      <c r="S159">
        <v>0</v>
      </c>
      <c r="T159">
        <v>0.92</v>
      </c>
      <c r="U159" s="119">
        <f t="shared" si="12"/>
        <v>58.807933333333331</v>
      </c>
    </row>
    <row r="160" spans="1:21" x14ac:dyDescent="0.3">
      <c r="A160" t="s">
        <v>12</v>
      </c>
      <c r="B160" t="s">
        <v>331</v>
      </c>
      <c r="C160">
        <v>17.066700000000001</v>
      </c>
      <c r="D160">
        <v>-89.15</v>
      </c>
      <c r="E160" t="s">
        <v>1</v>
      </c>
      <c r="F160" t="s">
        <v>2</v>
      </c>
      <c r="G160" t="s">
        <v>351</v>
      </c>
      <c r="H160" s="116">
        <v>28238</v>
      </c>
      <c r="I160" s="119">
        <v>1810.37</v>
      </c>
      <c r="J160" s="119">
        <f t="shared" si="16"/>
        <v>786.4</v>
      </c>
      <c r="M160" s="110"/>
      <c r="P160">
        <v>1.45</v>
      </c>
      <c r="Q160" t="s">
        <v>10</v>
      </c>
      <c r="R160" t="s">
        <v>153</v>
      </c>
      <c r="S160">
        <v>0</v>
      </c>
      <c r="T160">
        <v>0.92</v>
      </c>
      <c r="U160" s="119">
        <f t="shared" si="12"/>
        <v>67.895233333333337</v>
      </c>
    </row>
    <row r="161" spans="1:21" x14ac:dyDescent="0.3">
      <c r="A161" t="s">
        <v>12</v>
      </c>
      <c r="B161" t="s">
        <v>75</v>
      </c>
      <c r="C161">
        <v>16.322199999999999</v>
      </c>
      <c r="D161">
        <v>-89.422200000000004</v>
      </c>
      <c r="E161" t="s">
        <v>1</v>
      </c>
      <c r="F161" t="s">
        <v>2</v>
      </c>
      <c r="G161" t="s">
        <v>351</v>
      </c>
      <c r="H161" s="116">
        <v>52282</v>
      </c>
      <c r="I161" s="119">
        <v>1745.02</v>
      </c>
      <c r="J161" s="119">
        <f t="shared" si="16"/>
        <v>758.01</v>
      </c>
      <c r="M161" s="110"/>
      <c r="P161">
        <v>1.45</v>
      </c>
      <c r="Q161" t="s">
        <v>10</v>
      </c>
      <c r="R161" t="s">
        <v>79</v>
      </c>
      <c r="S161">
        <v>0</v>
      </c>
      <c r="T161">
        <v>0.92</v>
      </c>
      <c r="U161" s="119">
        <f t="shared" si="12"/>
        <v>67.861500000000007</v>
      </c>
    </row>
    <row r="162" spans="1:21" x14ac:dyDescent="0.3">
      <c r="A162" t="s">
        <v>12</v>
      </c>
      <c r="B162" t="s">
        <v>314</v>
      </c>
      <c r="C162">
        <v>16.968599999999999</v>
      </c>
      <c r="D162">
        <v>-89.911799999999999</v>
      </c>
      <c r="E162" t="s">
        <v>1</v>
      </c>
      <c r="F162" t="s">
        <v>2</v>
      </c>
      <c r="G162" t="s">
        <v>351</v>
      </c>
      <c r="H162" s="116">
        <v>32878</v>
      </c>
      <c r="I162" s="119">
        <v>1878.75</v>
      </c>
      <c r="J162" s="119">
        <f t="shared" si="16"/>
        <v>816.1</v>
      </c>
      <c r="M162" s="110"/>
      <c r="P162">
        <v>1.45</v>
      </c>
      <c r="Q162" t="s">
        <v>10</v>
      </c>
      <c r="R162" t="s">
        <v>145</v>
      </c>
      <c r="S162">
        <v>0</v>
      </c>
      <c r="T162">
        <v>0.92</v>
      </c>
      <c r="U162" s="119">
        <f t="shared" si="12"/>
        <v>67.826233333333349</v>
      </c>
    </row>
    <row r="163" spans="1:21" x14ac:dyDescent="0.3">
      <c r="A163" t="s">
        <v>12</v>
      </c>
      <c r="B163" t="s">
        <v>219</v>
      </c>
      <c r="C163">
        <v>16.918099999999999</v>
      </c>
      <c r="D163">
        <v>-89.920400000000001</v>
      </c>
      <c r="E163" t="s">
        <v>1</v>
      </c>
      <c r="F163" t="s">
        <v>2</v>
      </c>
      <c r="G163" t="s">
        <v>351</v>
      </c>
      <c r="H163" s="116">
        <v>43841</v>
      </c>
      <c r="I163" s="119">
        <v>1878.45</v>
      </c>
      <c r="J163" s="119">
        <f t="shared" si="16"/>
        <v>815.97</v>
      </c>
      <c r="M163" s="110"/>
      <c r="P163">
        <v>1.45</v>
      </c>
      <c r="Q163" t="s">
        <v>10</v>
      </c>
      <c r="R163" t="s">
        <v>115</v>
      </c>
      <c r="S163">
        <v>0</v>
      </c>
      <c r="T163">
        <v>0.92</v>
      </c>
      <c r="U163" s="119">
        <f t="shared" si="12"/>
        <v>67.812433333333331</v>
      </c>
    </row>
    <row r="164" spans="1:21" x14ac:dyDescent="0.3">
      <c r="A164" t="s">
        <v>12</v>
      </c>
      <c r="B164" t="s">
        <v>68</v>
      </c>
      <c r="C164">
        <v>16.8017</v>
      </c>
      <c r="D164">
        <v>-89.934200000000004</v>
      </c>
      <c r="E164" t="s">
        <v>1</v>
      </c>
      <c r="F164" t="s">
        <v>2</v>
      </c>
      <c r="G164" t="s">
        <v>351</v>
      </c>
      <c r="H164" s="116">
        <v>15371</v>
      </c>
      <c r="I164" s="119">
        <v>1877.77</v>
      </c>
      <c r="J164" s="119">
        <f t="shared" si="16"/>
        <v>815.67</v>
      </c>
      <c r="M164" s="110"/>
      <c r="P164">
        <v>1.45</v>
      </c>
      <c r="Q164" t="s">
        <v>10</v>
      </c>
      <c r="R164" t="s">
        <v>147</v>
      </c>
      <c r="S164">
        <v>0</v>
      </c>
      <c r="T164">
        <v>0.92</v>
      </c>
      <c r="U164" s="119">
        <f t="shared" si="12"/>
        <v>67.7971</v>
      </c>
    </row>
    <row r="165" spans="1:21" x14ac:dyDescent="0.3">
      <c r="A165" t="s">
        <v>12</v>
      </c>
      <c r="B165" t="s">
        <v>274</v>
      </c>
      <c r="C165">
        <v>16.9833</v>
      </c>
      <c r="D165">
        <v>-89.9</v>
      </c>
      <c r="E165" t="s">
        <v>1</v>
      </c>
      <c r="F165" t="s">
        <v>2</v>
      </c>
      <c r="G165" t="s">
        <v>351</v>
      </c>
      <c r="H165" s="116">
        <v>6989</v>
      </c>
      <c r="I165" s="119">
        <v>1878.83</v>
      </c>
      <c r="J165" s="119">
        <f t="shared" si="16"/>
        <v>816.13</v>
      </c>
      <c r="M165" s="110"/>
      <c r="P165">
        <v>1.45</v>
      </c>
      <c r="Q165" t="s">
        <v>10</v>
      </c>
      <c r="R165" t="s">
        <v>254</v>
      </c>
      <c r="S165">
        <v>0</v>
      </c>
      <c r="T165">
        <v>0.92</v>
      </c>
      <c r="U165" s="119">
        <f t="shared" si="12"/>
        <v>67.824699999999993</v>
      </c>
    </row>
    <row r="166" spans="1:21" x14ac:dyDescent="0.3">
      <c r="A166" t="s">
        <v>12</v>
      </c>
      <c r="B166" t="s">
        <v>15</v>
      </c>
      <c r="C166">
        <v>16.2</v>
      </c>
      <c r="D166">
        <v>-89.44</v>
      </c>
      <c r="E166" t="s">
        <v>1</v>
      </c>
      <c r="F166" t="s">
        <v>2</v>
      </c>
      <c r="G166" t="s">
        <v>351</v>
      </c>
      <c r="H166" s="116">
        <v>67038</v>
      </c>
      <c r="I166" s="119">
        <v>1744.41</v>
      </c>
      <c r="J166" s="119">
        <f t="shared" si="16"/>
        <v>757.74</v>
      </c>
      <c r="M166" s="110"/>
      <c r="P166">
        <v>1.45</v>
      </c>
      <c r="Q166" t="s">
        <v>10</v>
      </c>
      <c r="R166" t="s">
        <v>81</v>
      </c>
      <c r="S166">
        <v>0</v>
      </c>
      <c r="T166">
        <v>0.92</v>
      </c>
      <c r="U166" s="119">
        <f t="shared" si="12"/>
        <v>67.865333333333339</v>
      </c>
    </row>
    <row r="167" spans="1:21" x14ac:dyDescent="0.3">
      <c r="A167" t="s">
        <v>12</v>
      </c>
      <c r="B167" t="s">
        <v>176</v>
      </c>
      <c r="C167">
        <v>16.806899999999999</v>
      </c>
      <c r="D167">
        <v>-89.827200000000005</v>
      </c>
      <c r="E167" t="s">
        <v>1</v>
      </c>
      <c r="F167" t="s">
        <v>2</v>
      </c>
      <c r="G167" t="s">
        <v>351</v>
      </c>
      <c r="H167" s="116">
        <v>21970</v>
      </c>
      <c r="I167" s="119">
        <v>1877.8</v>
      </c>
      <c r="J167" s="119">
        <f t="shared" si="16"/>
        <v>815.69</v>
      </c>
      <c r="M167" s="110"/>
      <c r="P167">
        <v>1.45</v>
      </c>
      <c r="Q167" t="s">
        <v>10</v>
      </c>
      <c r="R167" t="s">
        <v>270</v>
      </c>
      <c r="S167">
        <v>0</v>
      </c>
      <c r="T167">
        <v>0.92</v>
      </c>
      <c r="U167" s="119">
        <f t="shared" si="12"/>
        <v>67.817033333333342</v>
      </c>
    </row>
    <row r="168" spans="1:21" x14ac:dyDescent="0.3">
      <c r="A168" t="s">
        <v>12</v>
      </c>
      <c r="B168" t="s">
        <v>49</v>
      </c>
      <c r="C168">
        <v>16.5167</v>
      </c>
      <c r="D168">
        <v>-90.183300000000003</v>
      </c>
      <c r="E168" t="s">
        <v>1</v>
      </c>
      <c r="F168" t="s">
        <v>2</v>
      </c>
      <c r="G168" t="s">
        <v>351</v>
      </c>
      <c r="H168" s="116">
        <v>93414</v>
      </c>
      <c r="I168" s="119">
        <v>1876.11</v>
      </c>
      <c r="J168" s="119">
        <f t="shared" si="16"/>
        <v>814.95</v>
      </c>
      <c r="M168" s="110"/>
      <c r="P168">
        <v>1.45</v>
      </c>
      <c r="Q168" t="s">
        <v>10</v>
      </c>
      <c r="R168" t="s">
        <v>170</v>
      </c>
      <c r="S168">
        <v>0</v>
      </c>
      <c r="T168">
        <v>0.92</v>
      </c>
      <c r="U168" s="119">
        <f t="shared" si="12"/>
        <v>67.807066666666671</v>
      </c>
    </row>
    <row r="169" spans="1:21" x14ac:dyDescent="0.3">
      <c r="A169" t="s">
        <v>7</v>
      </c>
      <c r="B169" t="s">
        <v>137</v>
      </c>
      <c r="C169">
        <v>14.812200000000001</v>
      </c>
      <c r="D169">
        <v>-91.494399999999999</v>
      </c>
      <c r="E169" t="s">
        <v>1</v>
      </c>
      <c r="F169" t="s">
        <v>2</v>
      </c>
      <c r="G169" t="s">
        <v>351</v>
      </c>
      <c r="H169" s="116">
        <v>15724</v>
      </c>
      <c r="I169" s="119">
        <v>1846.13</v>
      </c>
      <c r="J169" s="119">
        <f t="shared" ref="J169:J182" si="17">ROUND(K$183*I169,2)</f>
        <v>802.09</v>
      </c>
      <c r="M169" s="110"/>
      <c r="P169">
        <v>1.45</v>
      </c>
      <c r="Q169" t="s">
        <v>10</v>
      </c>
      <c r="R169" t="s">
        <v>10</v>
      </c>
      <c r="S169">
        <v>0</v>
      </c>
      <c r="T169">
        <v>0.92</v>
      </c>
      <c r="U169" s="119">
        <f t="shared" si="12"/>
        <v>67.850000000000009</v>
      </c>
    </row>
    <row r="170" spans="1:21" x14ac:dyDescent="0.3">
      <c r="A170" t="s">
        <v>7</v>
      </c>
      <c r="B170" t="s">
        <v>114</v>
      </c>
      <c r="C170">
        <v>15.0768</v>
      </c>
      <c r="D170">
        <v>-91.65</v>
      </c>
      <c r="E170" t="s">
        <v>1</v>
      </c>
      <c r="F170" t="s">
        <v>2</v>
      </c>
      <c r="G170" t="s">
        <v>351</v>
      </c>
      <c r="H170" s="116">
        <v>23033</v>
      </c>
      <c r="I170" s="119">
        <v>2015.56</v>
      </c>
      <c r="J170" s="119">
        <f t="shared" si="17"/>
        <v>875.7</v>
      </c>
      <c r="M170" s="110"/>
      <c r="P170">
        <v>1.45</v>
      </c>
      <c r="Q170" t="s">
        <v>10</v>
      </c>
      <c r="R170" t="s">
        <v>295</v>
      </c>
      <c r="S170">
        <v>0</v>
      </c>
      <c r="T170">
        <v>0.92</v>
      </c>
      <c r="U170" s="119">
        <f t="shared" si="12"/>
        <v>67.794799999999995</v>
      </c>
    </row>
    <row r="171" spans="1:21" x14ac:dyDescent="0.3">
      <c r="A171" t="s">
        <v>7</v>
      </c>
      <c r="B171" t="s">
        <v>138</v>
      </c>
      <c r="C171">
        <v>14.9252</v>
      </c>
      <c r="D171">
        <v>-91.616</v>
      </c>
      <c r="E171" t="s">
        <v>1</v>
      </c>
      <c r="F171" t="s">
        <v>2</v>
      </c>
      <c r="G171" t="s">
        <v>351</v>
      </c>
      <c r="H171" s="116">
        <v>14948</v>
      </c>
      <c r="I171" s="119">
        <v>2014.55</v>
      </c>
      <c r="J171" s="119">
        <f t="shared" si="17"/>
        <v>875.27</v>
      </c>
      <c r="M171" s="110"/>
      <c r="P171">
        <v>1.45</v>
      </c>
      <c r="Q171" t="s">
        <v>10</v>
      </c>
      <c r="R171" t="s">
        <v>308</v>
      </c>
      <c r="S171">
        <v>0</v>
      </c>
      <c r="T171">
        <v>0.92</v>
      </c>
      <c r="U171" s="119">
        <f t="shared" si="12"/>
        <v>67.78176666666667</v>
      </c>
    </row>
    <row r="172" spans="1:21" x14ac:dyDescent="0.3">
      <c r="A172" t="s">
        <v>7</v>
      </c>
      <c r="B172" t="s">
        <v>93</v>
      </c>
      <c r="C172">
        <v>14.811199999999999</v>
      </c>
      <c r="D172">
        <v>-91.455500000000001</v>
      </c>
      <c r="E172" t="s">
        <v>1</v>
      </c>
      <c r="F172" t="s">
        <v>2</v>
      </c>
      <c r="G172" t="s">
        <v>351</v>
      </c>
      <c r="H172" s="116">
        <v>42142</v>
      </c>
      <c r="I172" s="119">
        <v>1846.12</v>
      </c>
      <c r="J172" s="119">
        <f t="shared" si="17"/>
        <v>802.09</v>
      </c>
      <c r="M172" s="110"/>
      <c r="P172">
        <v>1.45</v>
      </c>
      <c r="Q172" t="s">
        <v>10</v>
      </c>
      <c r="R172" t="s">
        <v>269</v>
      </c>
      <c r="S172">
        <v>0</v>
      </c>
      <c r="T172">
        <v>0.92</v>
      </c>
      <c r="U172" s="119">
        <f t="shared" si="12"/>
        <v>67.847700000000003</v>
      </c>
    </row>
    <row r="173" spans="1:21" x14ac:dyDescent="0.3">
      <c r="A173" t="s">
        <v>7</v>
      </c>
      <c r="B173" t="s">
        <v>6</v>
      </c>
      <c r="C173">
        <v>14.7</v>
      </c>
      <c r="D173">
        <v>-91.866699999999994</v>
      </c>
      <c r="E173" t="s">
        <v>1</v>
      </c>
      <c r="F173" t="s">
        <v>2</v>
      </c>
      <c r="G173" t="s">
        <v>351</v>
      </c>
      <c r="H173" s="116">
        <v>105415</v>
      </c>
      <c r="I173" s="119">
        <v>2013.05</v>
      </c>
      <c r="J173" s="119">
        <f t="shared" si="17"/>
        <v>874.61</v>
      </c>
      <c r="M173" s="110"/>
      <c r="P173">
        <v>1.45</v>
      </c>
      <c r="Q173" t="s">
        <v>10</v>
      </c>
      <c r="R173" t="s">
        <v>296</v>
      </c>
      <c r="S173">
        <v>0</v>
      </c>
      <c r="T173">
        <v>0.92</v>
      </c>
      <c r="U173" s="119">
        <f t="shared" si="12"/>
        <v>67.84693333333334</v>
      </c>
    </row>
    <row r="174" spans="1:21" x14ac:dyDescent="0.3">
      <c r="A174" t="s">
        <v>7</v>
      </c>
      <c r="B174" t="s">
        <v>333</v>
      </c>
      <c r="C174">
        <v>14.716699999999999</v>
      </c>
      <c r="D174">
        <v>-91.7333</v>
      </c>
      <c r="E174" t="s">
        <v>1</v>
      </c>
      <c r="F174" t="s">
        <v>2</v>
      </c>
      <c r="G174" t="s">
        <v>351</v>
      </c>
      <c r="H174" s="116">
        <v>47544</v>
      </c>
      <c r="I174" s="119">
        <v>2013.09</v>
      </c>
      <c r="J174" s="119">
        <f t="shared" si="17"/>
        <v>874.63</v>
      </c>
      <c r="M174" s="110"/>
      <c r="P174">
        <v>1.45</v>
      </c>
      <c r="Q174" t="s">
        <v>10</v>
      </c>
      <c r="R174" t="s">
        <v>288</v>
      </c>
      <c r="S174">
        <v>0</v>
      </c>
      <c r="T174">
        <v>0.92</v>
      </c>
      <c r="U174" s="119">
        <f t="shared" si="12"/>
        <v>67.888333333333335</v>
      </c>
    </row>
    <row r="175" spans="1:21" x14ac:dyDescent="0.3">
      <c r="A175" t="s">
        <v>7</v>
      </c>
      <c r="B175" t="s">
        <v>208</v>
      </c>
      <c r="C175">
        <v>14.855689999999999</v>
      </c>
      <c r="D175">
        <v>-91.621309999999994</v>
      </c>
      <c r="E175" t="s">
        <v>1</v>
      </c>
      <c r="F175" t="s">
        <v>2</v>
      </c>
      <c r="G175" t="s">
        <v>351</v>
      </c>
      <c r="H175" s="116">
        <v>17342</v>
      </c>
      <c r="I175" s="119">
        <v>2014.09</v>
      </c>
      <c r="J175" s="119">
        <f t="shared" si="17"/>
        <v>875.07</v>
      </c>
      <c r="M175" s="110"/>
      <c r="P175">
        <v>1.45</v>
      </c>
      <c r="Q175" t="s">
        <v>10</v>
      </c>
      <c r="R175" t="s">
        <v>131</v>
      </c>
      <c r="S175">
        <v>0</v>
      </c>
      <c r="T175">
        <v>0.92</v>
      </c>
      <c r="U175" s="119">
        <f t="shared" si="12"/>
        <v>67.830833333333345</v>
      </c>
    </row>
    <row r="176" spans="1:21" x14ac:dyDescent="0.3">
      <c r="A176" t="s">
        <v>7</v>
      </c>
      <c r="B176" t="s">
        <v>160</v>
      </c>
      <c r="C176">
        <v>14.663880000000001</v>
      </c>
      <c r="D176">
        <v>-91.561199999999999</v>
      </c>
      <c r="E176" t="s">
        <v>1</v>
      </c>
      <c r="F176" t="s">
        <v>2</v>
      </c>
      <c r="G176" t="s">
        <v>351</v>
      </c>
      <c r="H176" s="116">
        <v>29132</v>
      </c>
      <c r="I176" s="119">
        <v>2012.81</v>
      </c>
      <c r="J176" s="119">
        <f t="shared" si="17"/>
        <v>874.51</v>
      </c>
      <c r="M176" s="110"/>
      <c r="P176">
        <v>1.45</v>
      </c>
      <c r="Q176" t="s">
        <v>10</v>
      </c>
      <c r="R176" t="s">
        <v>192</v>
      </c>
      <c r="S176">
        <v>0</v>
      </c>
      <c r="T176">
        <v>0.92</v>
      </c>
      <c r="U176" s="119">
        <f t="shared" si="12"/>
        <v>67.817800000000005</v>
      </c>
    </row>
    <row r="177" spans="1:21" x14ac:dyDescent="0.3">
      <c r="A177" t="s">
        <v>7</v>
      </c>
      <c r="B177" t="s">
        <v>223</v>
      </c>
      <c r="C177">
        <v>14.656499999999999</v>
      </c>
      <c r="D177">
        <v>-91.825040000000001</v>
      </c>
      <c r="E177" t="s">
        <v>1</v>
      </c>
      <c r="F177" t="s">
        <v>2</v>
      </c>
      <c r="G177" t="s">
        <v>351</v>
      </c>
      <c r="H177" s="116">
        <v>21630</v>
      </c>
      <c r="I177" s="119">
        <v>2012.76</v>
      </c>
      <c r="J177" s="119">
        <f t="shared" si="17"/>
        <v>874.49</v>
      </c>
      <c r="M177" s="110"/>
      <c r="P177">
        <v>1.45</v>
      </c>
      <c r="Q177" t="s">
        <v>12</v>
      </c>
      <c r="R177" t="s">
        <v>83</v>
      </c>
      <c r="S177">
        <v>0</v>
      </c>
      <c r="T177">
        <v>0.92</v>
      </c>
      <c r="U177" s="119">
        <f t="shared" si="12"/>
        <v>60.188700000000004</v>
      </c>
    </row>
    <row r="178" spans="1:21" x14ac:dyDescent="0.3">
      <c r="A178" t="s">
        <v>7</v>
      </c>
      <c r="B178" t="s">
        <v>241</v>
      </c>
      <c r="C178">
        <v>14.622199999999999</v>
      </c>
      <c r="D178">
        <v>-91.835800000000006</v>
      </c>
      <c r="E178" t="s">
        <v>1</v>
      </c>
      <c r="F178" t="s">
        <v>2</v>
      </c>
      <c r="G178" t="s">
        <v>351</v>
      </c>
      <c r="H178" s="116">
        <v>37497</v>
      </c>
      <c r="I178" s="119">
        <v>2012.54</v>
      </c>
      <c r="J178" s="119">
        <f t="shared" si="17"/>
        <v>874.39</v>
      </c>
      <c r="M178" s="110"/>
      <c r="P178">
        <v>1.45</v>
      </c>
      <c r="Q178" t="s">
        <v>12</v>
      </c>
      <c r="R178" t="s">
        <v>313</v>
      </c>
      <c r="S178">
        <v>0</v>
      </c>
      <c r="T178">
        <v>0.92</v>
      </c>
      <c r="U178" s="119">
        <f t="shared" si="12"/>
        <v>62.504033333333332</v>
      </c>
    </row>
    <row r="179" spans="1:21" x14ac:dyDescent="0.3">
      <c r="A179" t="s">
        <v>7</v>
      </c>
      <c r="B179" t="s">
        <v>136</v>
      </c>
      <c r="C179">
        <v>15.0486</v>
      </c>
      <c r="D179">
        <v>-91.64</v>
      </c>
      <c r="E179" t="s">
        <v>1</v>
      </c>
      <c r="F179" t="s">
        <v>2</v>
      </c>
      <c r="G179" t="s">
        <v>351</v>
      </c>
      <c r="H179" s="116">
        <v>13450</v>
      </c>
      <c r="I179" s="119">
        <v>2015.38</v>
      </c>
      <c r="J179" s="119">
        <f t="shared" si="17"/>
        <v>875.63</v>
      </c>
      <c r="M179" s="110"/>
      <c r="P179">
        <v>1.45</v>
      </c>
      <c r="Q179" t="s">
        <v>12</v>
      </c>
      <c r="R179" t="s">
        <v>11</v>
      </c>
      <c r="S179">
        <v>0</v>
      </c>
      <c r="T179">
        <v>0.92</v>
      </c>
      <c r="U179" s="119">
        <f t="shared" si="12"/>
        <v>62.56</v>
      </c>
    </row>
    <row r="180" spans="1:21" x14ac:dyDescent="0.3">
      <c r="A180" t="s">
        <v>7</v>
      </c>
      <c r="B180" t="s">
        <v>194</v>
      </c>
      <c r="C180">
        <v>14.8667</v>
      </c>
      <c r="D180">
        <v>-91.566699999999997</v>
      </c>
      <c r="E180" t="s">
        <v>1</v>
      </c>
      <c r="F180" t="s">
        <v>2</v>
      </c>
      <c r="G180" t="s">
        <v>351</v>
      </c>
      <c r="H180" s="116">
        <v>22166</v>
      </c>
      <c r="I180" s="119">
        <v>2014.16</v>
      </c>
      <c r="J180" s="119">
        <f t="shared" si="17"/>
        <v>875.1</v>
      </c>
      <c r="M180" s="110"/>
      <c r="P180">
        <v>1.45</v>
      </c>
      <c r="Q180" t="s">
        <v>12</v>
      </c>
      <c r="R180" t="s">
        <v>173</v>
      </c>
      <c r="S180">
        <v>0</v>
      </c>
      <c r="T180">
        <v>0.92</v>
      </c>
      <c r="U180" s="119">
        <f t="shared" si="12"/>
        <v>62.530866666666668</v>
      </c>
    </row>
    <row r="181" spans="1:21" x14ac:dyDescent="0.3">
      <c r="A181" t="s">
        <v>7</v>
      </c>
      <c r="B181" t="s">
        <v>97</v>
      </c>
      <c r="C181">
        <v>14.8833</v>
      </c>
      <c r="D181">
        <v>-91.5167</v>
      </c>
      <c r="E181" t="s">
        <v>1</v>
      </c>
      <c r="F181" t="s">
        <v>2</v>
      </c>
      <c r="G181" t="s">
        <v>351</v>
      </c>
      <c r="H181" s="116">
        <v>35060</v>
      </c>
      <c r="I181" s="119">
        <v>2014.27</v>
      </c>
      <c r="J181" s="119">
        <f t="shared" si="17"/>
        <v>875.14</v>
      </c>
      <c r="M181" s="110"/>
      <c r="P181">
        <v>1.45</v>
      </c>
      <c r="Q181" t="s">
        <v>12</v>
      </c>
      <c r="R181" t="s">
        <v>332</v>
      </c>
      <c r="S181">
        <v>0</v>
      </c>
      <c r="T181">
        <v>0.92</v>
      </c>
      <c r="U181" s="119">
        <f t="shared" si="12"/>
        <v>62.507100000000001</v>
      </c>
    </row>
    <row r="182" spans="1:21" x14ac:dyDescent="0.3">
      <c r="A182" t="s">
        <v>7</v>
      </c>
      <c r="B182" t="s">
        <v>141</v>
      </c>
      <c r="C182">
        <v>14.93417</v>
      </c>
      <c r="D182">
        <v>-91.694490000000002</v>
      </c>
      <c r="E182" t="s">
        <v>1</v>
      </c>
      <c r="F182" t="s">
        <v>2</v>
      </c>
      <c r="G182" t="s">
        <v>351</v>
      </c>
      <c r="H182" s="116">
        <v>16205</v>
      </c>
      <c r="I182" s="119">
        <v>2014.61</v>
      </c>
      <c r="J182" s="119">
        <f t="shared" si="17"/>
        <v>875.29</v>
      </c>
      <c r="M182" s="110"/>
      <c r="P182">
        <v>1.45</v>
      </c>
      <c r="Q182" t="s">
        <v>12</v>
      </c>
      <c r="R182" t="s">
        <v>331</v>
      </c>
      <c r="S182">
        <v>0</v>
      </c>
      <c r="T182">
        <v>0.92</v>
      </c>
      <c r="U182" s="119">
        <f t="shared" si="12"/>
        <v>60.290666666666667</v>
      </c>
    </row>
    <row r="183" spans="1:21" x14ac:dyDescent="0.3">
      <c r="A183" t="s">
        <v>7</v>
      </c>
      <c r="B183" t="s">
        <v>7</v>
      </c>
      <c r="C183">
        <v>14.833299999999999</v>
      </c>
      <c r="D183">
        <v>-91.5167</v>
      </c>
      <c r="E183" t="s">
        <v>1</v>
      </c>
      <c r="F183" t="s">
        <v>2</v>
      </c>
      <c r="G183" t="s">
        <v>350</v>
      </c>
      <c r="H183" s="116">
        <v>180706</v>
      </c>
      <c r="I183" s="119">
        <v>2013.94</v>
      </c>
      <c r="J183" s="119">
        <v>875</v>
      </c>
      <c r="K183" s="118">
        <f>J183/I183</f>
        <v>0.43447173202776646</v>
      </c>
      <c r="M183" s="110"/>
      <c r="P183">
        <v>1.45</v>
      </c>
      <c r="Q183" t="s">
        <v>12</v>
      </c>
      <c r="R183" t="s">
        <v>75</v>
      </c>
      <c r="S183">
        <v>0</v>
      </c>
      <c r="T183">
        <v>0.92</v>
      </c>
      <c r="U183" s="119">
        <f t="shared" si="12"/>
        <v>58.114100000000001</v>
      </c>
    </row>
    <row r="184" spans="1:21" x14ac:dyDescent="0.3">
      <c r="A184" t="s">
        <v>7</v>
      </c>
      <c r="B184" t="s">
        <v>133</v>
      </c>
      <c r="C184">
        <v>14.8833</v>
      </c>
      <c r="D184">
        <v>-91.45</v>
      </c>
      <c r="E184" t="s">
        <v>1</v>
      </c>
      <c r="F184" t="s">
        <v>2</v>
      </c>
      <c r="G184" t="s">
        <v>351</v>
      </c>
      <c r="H184" s="116">
        <v>19434</v>
      </c>
      <c r="I184" s="119">
        <v>1846.52</v>
      </c>
      <c r="J184" s="119">
        <f t="shared" ref="J184:J192" si="18">ROUND(K$183*I184,2)</f>
        <v>802.26</v>
      </c>
      <c r="M184" s="110"/>
      <c r="P184">
        <v>1.45</v>
      </c>
      <c r="Q184" t="s">
        <v>12</v>
      </c>
      <c r="R184" t="s">
        <v>314</v>
      </c>
      <c r="S184">
        <v>0</v>
      </c>
      <c r="T184">
        <v>0.92</v>
      </c>
      <c r="U184" s="119">
        <f t="shared" si="12"/>
        <v>62.567666666666675</v>
      </c>
    </row>
    <row r="185" spans="1:21" x14ac:dyDescent="0.3">
      <c r="A185" t="s">
        <v>7</v>
      </c>
      <c r="B185" t="s">
        <v>268</v>
      </c>
      <c r="C185">
        <v>14.9833</v>
      </c>
      <c r="D185">
        <v>-91.55</v>
      </c>
      <c r="E185" t="s">
        <v>1</v>
      </c>
      <c r="F185" t="s">
        <v>2</v>
      </c>
      <c r="G185" t="s">
        <v>351</v>
      </c>
      <c r="H185" s="116">
        <v>30224</v>
      </c>
      <c r="I185" s="119">
        <v>2014.94</v>
      </c>
      <c r="J185" s="119">
        <f t="shared" si="18"/>
        <v>875.43</v>
      </c>
      <c r="M185" s="110"/>
      <c r="P185">
        <v>1.45</v>
      </c>
      <c r="Q185" t="s">
        <v>12</v>
      </c>
      <c r="R185" t="s">
        <v>219</v>
      </c>
      <c r="S185">
        <v>0</v>
      </c>
      <c r="T185">
        <v>0.92</v>
      </c>
      <c r="U185" s="119">
        <f t="shared" si="12"/>
        <v>62.557700000000004</v>
      </c>
    </row>
    <row r="186" spans="1:21" x14ac:dyDescent="0.3">
      <c r="A186" t="s">
        <v>7</v>
      </c>
      <c r="B186" t="s">
        <v>227</v>
      </c>
      <c r="C186">
        <v>14.924670000000001</v>
      </c>
      <c r="D186">
        <v>-91.543620000000004</v>
      </c>
      <c r="E186" t="s">
        <v>1</v>
      </c>
      <c r="F186" t="s">
        <v>2</v>
      </c>
      <c r="G186" t="s">
        <v>351</v>
      </c>
      <c r="H186" s="116">
        <v>7939</v>
      </c>
      <c r="I186" s="119">
        <v>2014.55</v>
      </c>
      <c r="J186" s="119">
        <f t="shared" si="18"/>
        <v>875.27</v>
      </c>
      <c r="M186" s="110"/>
      <c r="P186">
        <v>1.45</v>
      </c>
      <c r="Q186" t="s">
        <v>12</v>
      </c>
      <c r="R186" t="s">
        <v>68</v>
      </c>
      <c r="S186">
        <v>0</v>
      </c>
      <c r="T186">
        <v>0.92</v>
      </c>
      <c r="U186" s="119">
        <f t="shared" si="12"/>
        <v>62.534700000000001</v>
      </c>
    </row>
    <row r="187" spans="1:21" x14ac:dyDescent="0.3">
      <c r="A187" t="s">
        <v>7</v>
      </c>
      <c r="B187" t="s">
        <v>334</v>
      </c>
      <c r="C187">
        <v>14.869300000000001</v>
      </c>
      <c r="D187">
        <v>-91.621099999999998</v>
      </c>
      <c r="E187" t="s">
        <v>1</v>
      </c>
      <c r="F187" t="s">
        <v>2</v>
      </c>
      <c r="G187" t="s">
        <v>351</v>
      </c>
      <c r="H187" s="116">
        <v>51828</v>
      </c>
      <c r="I187" s="119">
        <v>2014.18</v>
      </c>
      <c r="J187" s="119">
        <f t="shared" si="18"/>
        <v>875.1</v>
      </c>
      <c r="M187" s="110"/>
      <c r="P187">
        <v>1.45</v>
      </c>
      <c r="Q187" t="s">
        <v>12</v>
      </c>
      <c r="R187" t="s">
        <v>274</v>
      </c>
      <c r="S187">
        <v>0</v>
      </c>
      <c r="T187">
        <v>0.92</v>
      </c>
      <c r="U187" s="119">
        <f t="shared" si="12"/>
        <v>62.569966666666673</v>
      </c>
    </row>
    <row r="188" spans="1:21" x14ac:dyDescent="0.3">
      <c r="A188" t="s">
        <v>7</v>
      </c>
      <c r="B188" t="s">
        <v>113</v>
      </c>
      <c r="C188">
        <v>14.8246</v>
      </c>
      <c r="D188">
        <v>-91.642499999999998</v>
      </c>
      <c r="E188" t="s">
        <v>1</v>
      </c>
      <c r="F188" t="s">
        <v>2</v>
      </c>
      <c r="G188" t="s">
        <v>351</v>
      </c>
      <c r="H188" s="116">
        <v>29373</v>
      </c>
      <c r="I188" s="119">
        <v>2013.88</v>
      </c>
      <c r="J188" s="119">
        <f t="shared" si="18"/>
        <v>874.97</v>
      </c>
      <c r="M188" s="110"/>
      <c r="P188">
        <v>1.45</v>
      </c>
      <c r="Q188" t="s">
        <v>12</v>
      </c>
      <c r="R188" t="s">
        <v>15</v>
      </c>
      <c r="S188">
        <v>0</v>
      </c>
      <c r="T188">
        <v>0.92</v>
      </c>
      <c r="U188" s="119">
        <f t="shared" si="12"/>
        <v>58.093400000000003</v>
      </c>
    </row>
    <row r="189" spans="1:21" x14ac:dyDescent="0.3">
      <c r="A189" t="s">
        <v>7</v>
      </c>
      <c r="B189" t="s">
        <v>204</v>
      </c>
      <c r="C189">
        <v>14.858000000000001</v>
      </c>
      <c r="D189">
        <v>-91.59</v>
      </c>
      <c r="E189" t="s">
        <v>1</v>
      </c>
      <c r="F189" t="s">
        <v>2</v>
      </c>
      <c r="G189" t="s">
        <v>351</v>
      </c>
      <c r="H189" s="116">
        <v>7895</v>
      </c>
      <c r="I189" s="119">
        <v>2014.1</v>
      </c>
      <c r="J189" s="119">
        <f t="shared" si="18"/>
        <v>875.07</v>
      </c>
      <c r="M189" s="110"/>
      <c r="P189">
        <v>1.45</v>
      </c>
      <c r="Q189" t="s">
        <v>12</v>
      </c>
      <c r="R189" t="s">
        <v>176</v>
      </c>
      <c r="S189">
        <v>0</v>
      </c>
      <c r="T189">
        <v>0.92</v>
      </c>
      <c r="U189" s="119">
        <f t="shared" si="12"/>
        <v>62.536233333333342</v>
      </c>
    </row>
    <row r="190" spans="1:21" x14ac:dyDescent="0.3">
      <c r="A190" t="s">
        <v>7</v>
      </c>
      <c r="B190" t="s">
        <v>178</v>
      </c>
      <c r="C190">
        <v>14.9</v>
      </c>
      <c r="D190">
        <v>-91.616699999999994</v>
      </c>
      <c r="E190" t="s">
        <v>1</v>
      </c>
      <c r="F190" t="s">
        <v>2</v>
      </c>
      <c r="G190" t="s">
        <v>351</v>
      </c>
      <c r="H190" s="116">
        <v>7889</v>
      </c>
      <c r="I190" s="119">
        <v>2014.38</v>
      </c>
      <c r="J190" s="119">
        <f t="shared" si="18"/>
        <v>875.19</v>
      </c>
      <c r="M190" s="110"/>
      <c r="P190">
        <v>1.45</v>
      </c>
      <c r="Q190" t="s">
        <v>12</v>
      </c>
      <c r="R190" t="s">
        <v>49</v>
      </c>
      <c r="S190">
        <v>0</v>
      </c>
      <c r="T190">
        <v>0.92</v>
      </c>
      <c r="U190" s="119">
        <f t="shared" si="12"/>
        <v>62.479500000000009</v>
      </c>
    </row>
    <row r="191" spans="1:21" x14ac:dyDescent="0.3">
      <c r="A191" t="s">
        <v>7</v>
      </c>
      <c r="B191" t="s">
        <v>175</v>
      </c>
      <c r="C191">
        <v>15</v>
      </c>
      <c r="D191">
        <v>-91.616699999999994</v>
      </c>
      <c r="E191" t="s">
        <v>1</v>
      </c>
      <c r="F191" t="s">
        <v>2</v>
      </c>
      <c r="G191" t="s">
        <v>351</v>
      </c>
      <c r="H191" s="116">
        <v>8407</v>
      </c>
      <c r="I191" s="119">
        <v>2015.05</v>
      </c>
      <c r="J191" s="119">
        <f t="shared" si="18"/>
        <v>875.48</v>
      </c>
      <c r="M191" s="110"/>
      <c r="P191">
        <v>1.45</v>
      </c>
      <c r="Q191" t="s">
        <v>7</v>
      </c>
      <c r="R191" t="s">
        <v>137</v>
      </c>
      <c r="S191">
        <v>0</v>
      </c>
      <c r="T191">
        <v>0.92</v>
      </c>
      <c r="U191" s="119">
        <f t="shared" si="12"/>
        <v>61.493566666666673</v>
      </c>
    </row>
    <row r="192" spans="1:21" x14ac:dyDescent="0.3">
      <c r="A192" t="s">
        <v>7</v>
      </c>
      <c r="B192" t="s">
        <v>158</v>
      </c>
      <c r="C192">
        <v>14.7836</v>
      </c>
      <c r="D192">
        <v>-91.484399999999994</v>
      </c>
      <c r="E192" t="s">
        <v>1</v>
      </c>
      <c r="F192" t="s">
        <v>2</v>
      </c>
      <c r="G192" t="s">
        <v>351</v>
      </c>
      <c r="H192" s="116">
        <v>14118</v>
      </c>
      <c r="I192" s="119">
        <v>1845.97</v>
      </c>
      <c r="J192" s="119">
        <f t="shared" si="18"/>
        <v>802.02</v>
      </c>
      <c r="M192" s="110"/>
      <c r="P192">
        <v>1.45</v>
      </c>
      <c r="Q192" t="s">
        <v>7</v>
      </c>
      <c r="R192" t="s">
        <v>114</v>
      </c>
      <c r="S192">
        <v>0</v>
      </c>
      <c r="T192">
        <v>0.92</v>
      </c>
      <c r="U192" s="119">
        <f t="shared" si="12"/>
        <v>67.137000000000015</v>
      </c>
    </row>
    <row r="193" spans="1:21" x14ac:dyDescent="0.3">
      <c r="A193" t="s">
        <v>23</v>
      </c>
      <c r="B193" t="s">
        <v>172</v>
      </c>
      <c r="C193">
        <v>15.1671</v>
      </c>
      <c r="D193">
        <v>-90.848100000000002</v>
      </c>
      <c r="E193" t="s">
        <v>1</v>
      </c>
      <c r="F193" t="s">
        <v>2</v>
      </c>
      <c r="G193" t="s">
        <v>351</v>
      </c>
      <c r="H193" s="116">
        <v>12172</v>
      </c>
      <c r="I193" s="119">
        <v>1848.11</v>
      </c>
      <c r="J193" s="119">
        <f t="shared" ref="J193:J210" si="19">ROUND(K$211*I193,2)</f>
        <v>803.33</v>
      </c>
      <c r="M193" s="110"/>
      <c r="P193">
        <v>1.45</v>
      </c>
      <c r="Q193" t="s">
        <v>7</v>
      </c>
      <c r="R193" t="s">
        <v>138</v>
      </c>
      <c r="S193">
        <v>0</v>
      </c>
      <c r="T193">
        <v>0.92</v>
      </c>
      <c r="U193" s="119">
        <f t="shared" si="12"/>
        <v>67.104033333333334</v>
      </c>
    </row>
    <row r="194" spans="1:21" x14ac:dyDescent="0.3">
      <c r="A194" t="s">
        <v>23</v>
      </c>
      <c r="B194" t="s">
        <v>96</v>
      </c>
      <c r="C194">
        <v>15.4872</v>
      </c>
      <c r="D194">
        <v>-91.034700000000001</v>
      </c>
      <c r="E194" t="s">
        <v>1</v>
      </c>
      <c r="F194" t="s">
        <v>2</v>
      </c>
      <c r="G194" t="s">
        <v>351</v>
      </c>
      <c r="H194" s="116">
        <v>46658</v>
      </c>
      <c r="I194" s="119">
        <v>1849.9</v>
      </c>
      <c r="J194" s="119">
        <f t="shared" si="19"/>
        <v>804.11</v>
      </c>
      <c r="M194" s="110"/>
      <c r="P194">
        <v>1.45</v>
      </c>
      <c r="Q194" t="s">
        <v>7</v>
      </c>
      <c r="R194" t="s">
        <v>93</v>
      </c>
      <c r="S194">
        <v>0</v>
      </c>
      <c r="T194">
        <v>0.92</v>
      </c>
      <c r="U194" s="119">
        <f t="shared" si="12"/>
        <v>61.493566666666673</v>
      </c>
    </row>
    <row r="195" spans="1:21" x14ac:dyDescent="0.3">
      <c r="A195" t="s">
        <v>23</v>
      </c>
      <c r="B195" t="s">
        <v>310</v>
      </c>
      <c r="C195">
        <v>15.3483</v>
      </c>
      <c r="D195">
        <v>-90.799400000000006</v>
      </c>
      <c r="E195" t="s">
        <v>1</v>
      </c>
      <c r="F195" t="s">
        <v>2</v>
      </c>
      <c r="G195" t="s">
        <v>351</v>
      </c>
      <c r="H195" s="116">
        <v>39731</v>
      </c>
      <c r="I195" s="119">
        <v>1849.12</v>
      </c>
      <c r="J195" s="119">
        <f t="shared" si="19"/>
        <v>803.77</v>
      </c>
      <c r="M195" s="110"/>
      <c r="P195">
        <v>1.45</v>
      </c>
      <c r="Q195" t="s">
        <v>7</v>
      </c>
      <c r="R195" t="s">
        <v>6</v>
      </c>
      <c r="S195">
        <v>0</v>
      </c>
      <c r="T195">
        <v>0.92</v>
      </c>
      <c r="U195" s="119">
        <f t="shared" ref="U195:U258" si="20">SUMIFS($J$2:$J$341,$A$2:$A$341,Q195,$B$2:$B$341,R195)/12*T195</f>
        <v>67.053433333333345</v>
      </c>
    </row>
    <row r="196" spans="1:21" x14ac:dyDescent="0.3">
      <c r="A196" t="s">
        <v>23</v>
      </c>
      <c r="B196" t="s">
        <v>237</v>
      </c>
      <c r="C196">
        <v>15.0106</v>
      </c>
      <c r="D196">
        <v>-91.064999999999998</v>
      </c>
      <c r="E196" t="s">
        <v>1</v>
      </c>
      <c r="F196" t="s">
        <v>2</v>
      </c>
      <c r="G196" t="s">
        <v>351</v>
      </c>
      <c r="H196" s="116">
        <v>29646</v>
      </c>
      <c r="I196" s="119">
        <v>1847.23</v>
      </c>
      <c r="J196" s="119">
        <f t="shared" si="19"/>
        <v>802.95</v>
      </c>
      <c r="M196" s="110"/>
      <c r="P196">
        <v>1.45</v>
      </c>
      <c r="Q196" t="s">
        <v>7</v>
      </c>
      <c r="R196" t="s">
        <v>333</v>
      </c>
      <c r="S196">
        <v>0</v>
      </c>
      <c r="T196">
        <v>0.92</v>
      </c>
      <c r="U196" s="119">
        <f t="shared" si="20"/>
        <v>67.054966666666672</v>
      </c>
    </row>
    <row r="197" spans="1:21" x14ac:dyDescent="0.3">
      <c r="A197" t="s">
        <v>23</v>
      </c>
      <c r="B197" t="s">
        <v>735</v>
      </c>
      <c r="C197">
        <v>14.9442</v>
      </c>
      <c r="D197">
        <v>-91.110500000000002</v>
      </c>
      <c r="E197" t="s">
        <v>1</v>
      </c>
      <c r="F197" t="s">
        <v>2</v>
      </c>
      <c r="G197" t="s">
        <v>351</v>
      </c>
      <c r="H197" s="116">
        <v>141567</v>
      </c>
      <c r="I197" s="119">
        <v>1846.86</v>
      </c>
      <c r="J197" s="119">
        <f t="shared" si="19"/>
        <v>802.79</v>
      </c>
      <c r="M197" s="110"/>
      <c r="P197">
        <v>1.45</v>
      </c>
      <c r="Q197" t="s">
        <v>7</v>
      </c>
      <c r="R197" t="s">
        <v>208</v>
      </c>
      <c r="S197">
        <v>0</v>
      </c>
      <c r="T197">
        <v>0.92</v>
      </c>
      <c r="U197" s="119">
        <f t="shared" si="20"/>
        <v>67.088700000000003</v>
      </c>
    </row>
    <row r="198" spans="1:21" x14ac:dyDescent="0.3">
      <c r="A198" t="s">
        <v>23</v>
      </c>
      <c r="B198" t="s">
        <v>174</v>
      </c>
      <c r="C198">
        <v>15.0411</v>
      </c>
      <c r="D198">
        <v>-91.026899999999998</v>
      </c>
      <c r="E198" t="s">
        <v>1</v>
      </c>
      <c r="F198" t="s">
        <v>2</v>
      </c>
      <c r="G198" t="s">
        <v>351</v>
      </c>
      <c r="H198" s="116">
        <v>11382</v>
      </c>
      <c r="I198" s="119">
        <v>1847.4</v>
      </c>
      <c r="J198" s="119">
        <f t="shared" si="19"/>
        <v>803.03</v>
      </c>
      <c r="M198" s="110"/>
      <c r="P198">
        <v>1.45</v>
      </c>
      <c r="Q198" t="s">
        <v>7</v>
      </c>
      <c r="R198" t="s">
        <v>160</v>
      </c>
      <c r="S198">
        <v>0</v>
      </c>
      <c r="T198">
        <v>0.92</v>
      </c>
      <c r="U198" s="119">
        <f t="shared" si="20"/>
        <v>67.045766666666665</v>
      </c>
    </row>
    <row r="199" spans="1:21" x14ac:dyDescent="0.3">
      <c r="A199" t="s">
        <v>23</v>
      </c>
      <c r="B199" t="s">
        <v>264</v>
      </c>
      <c r="C199">
        <v>15.337899999999999</v>
      </c>
      <c r="D199">
        <v>-91.027000000000001</v>
      </c>
      <c r="E199" t="s">
        <v>1</v>
      </c>
      <c r="F199" t="s">
        <v>2</v>
      </c>
      <c r="G199" t="s">
        <v>351</v>
      </c>
      <c r="H199" s="116">
        <v>41455</v>
      </c>
      <c r="I199" s="119">
        <v>1849.06</v>
      </c>
      <c r="J199" s="119">
        <f t="shared" si="19"/>
        <v>803.75</v>
      </c>
      <c r="M199" s="110"/>
      <c r="P199">
        <v>1.45</v>
      </c>
      <c r="Q199" t="s">
        <v>7</v>
      </c>
      <c r="R199" t="s">
        <v>223</v>
      </c>
      <c r="S199">
        <v>0</v>
      </c>
      <c r="T199">
        <v>0.92</v>
      </c>
      <c r="U199" s="119">
        <f t="shared" si="20"/>
        <v>67.044233333333338</v>
      </c>
    </row>
    <row r="200" spans="1:21" x14ac:dyDescent="0.3">
      <c r="A200" t="s">
        <v>23</v>
      </c>
      <c r="B200" t="s">
        <v>348</v>
      </c>
      <c r="C200" s="117">
        <v>15.985481</v>
      </c>
      <c r="D200" s="117">
        <v>-90.768781000000004</v>
      </c>
      <c r="E200" t="s">
        <v>1</v>
      </c>
      <c r="F200" t="s">
        <v>2</v>
      </c>
      <c r="G200" t="s">
        <v>351</v>
      </c>
      <c r="H200" s="116">
        <v>99470</v>
      </c>
      <c r="I200" s="119">
        <v>1874.42</v>
      </c>
      <c r="J200" s="119">
        <f t="shared" si="19"/>
        <v>814.77</v>
      </c>
      <c r="M200" s="110"/>
      <c r="P200">
        <v>1.45</v>
      </c>
      <c r="Q200" t="s">
        <v>7</v>
      </c>
      <c r="R200" t="s">
        <v>241</v>
      </c>
      <c r="S200">
        <v>0</v>
      </c>
      <c r="T200">
        <v>0.92</v>
      </c>
      <c r="U200" s="119">
        <f t="shared" si="20"/>
        <v>67.036566666666658</v>
      </c>
    </row>
    <row r="201" spans="1:21" x14ac:dyDescent="0.3">
      <c r="A201" t="s">
        <v>23</v>
      </c>
      <c r="B201" t="s">
        <v>346</v>
      </c>
      <c r="C201">
        <v>14.994999999999999</v>
      </c>
      <c r="D201">
        <v>-90.807500000000005</v>
      </c>
      <c r="E201" t="s">
        <v>1</v>
      </c>
      <c r="F201" t="s">
        <v>2</v>
      </c>
      <c r="G201" t="s">
        <v>351</v>
      </c>
      <c r="H201" s="116">
        <v>82369</v>
      </c>
      <c r="I201" s="119">
        <v>1847.14</v>
      </c>
      <c r="J201" s="119">
        <f t="shared" si="19"/>
        <v>802.91</v>
      </c>
      <c r="M201" s="110"/>
      <c r="P201">
        <v>1.45</v>
      </c>
      <c r="Q201" t="s">
        <v>7</v>
      </c>
      <c r="R201" t="s">
        <v>136</v>
      </c>
      <c r="S201">
        <v>0</v>
      </c>
      <c r="T201">
        <v>0.92</v>
      </c>
      <c r="U201" s="119">
        <f t="shared" si="20"/>
        <v>67.13163333333334</v>
      </c>
    </row>
    <row r="202" spans="1:21" x14ac:dyDescent="0.3">
      <c r="A202" t="s">
        <v>23</v>
      </c>
      <c r="B202" t="s">
        <v>347</v>
      </c>
      <c r="C202">
        <v>15.408300000000001</v>
      </c>
      <c r="D202">
        <v>-91.147199999999998</v>
      </c>
      <c r="E202" t="s">
        <v>1</v>
      </c>
      <c r="F202" t="s">
        <v>2</v>
      </c>
      <c r="G202" t="s">
        <v>351</v>
      </c>
      <c r="H202" s="116">
        <v>72686</v>
      </c>
      <c r="I202" s="119">
        <v>1849.46</v>
      </c>
      <c r="J202" s="119">
        <f t="shared" si="19"/>
        <v>803.92</v>
      </c>
      <c r="M202" s="110"/>
      <c r="P202">
        <v>1.45</v>
      </c>
      <c r="Q202" t="s">
        <v>7</v>
      </c>
      <c r="R202" t="s">
        <v>194</v>
      </c>
      <c r="S202">
        <v>0</v>
      </c>
      <c r="T202">
        <v>0.92</v>
      </c>
      <c r="U202" s="119">
        <f t="shared" si="20"/>
        <v>67.090999999999994</v>
      </c>
    </row>
    <row r="203" spans="1:21" x14ac:dyDescent="0.3">
      <c r="A203" t="s">
        <v>23</v>
      </c>
      <c r="B203" t="s">
        <v>280</v>
      </c>
      <c r="C203">
        <v>14.9269</v>
      </c>
      <c r="D203">
        <v>-90.665000000000006</v>
      </c>
      <c r="E203" t="s">
        <v>1</v>
      </c>
      <c r="F203" t="s">
        <v>2</v>
      </c>
      <c r="G203" t="s">
        <v>351</v>
      </c>
      <c r="H203" s="116">
        <v>8839</v>
      </c>
      <c r="I203" s="119">
        <v>1849.76</v>
      </c>
      <c r="J203" s="119">
        <f t="shared" si="19"/>
        <v>804.05</v>
      </c>
      <c r="M203" s="110"/>
      <c r="P203">
        <v>1.45</v>
      </c>
      <c r="Q203" t="s">
        <v>7</v>
      </c>
      <c r="R203" t="s">
        <v>97</v>
      </c>
      <c r="S203">
        <v>0</v>
      </c>
      <c r="T203">
        <v>0.92</v>
      </c>
      <c r="U203" s="119">
        <f t="shared" si="20"/>
        <v>67.094066666666663</v>
      </c>
    </row>
    <row r="204" spans="1:21" x14ac:dyDescent="0.3">
      <c r="A204" t="s">
        <v>23</v>
      </c>
      <c r="B204" t="s">
        <v>185</v>
      </c>
      <c r="C204">
        <v>14.963900000000001</v>
      </c>
      <c r="D204">
        <v>-91.208100000000002</v>
      </c>
      <c r="E204" t="s">
        <v>1</v>
      </c>
      <c r="F204" t="s">
        <v>2</v>
      </c>
      <c r="G204" t="s">
        <v>351</v>
      </c>
      <c r="H204" s="116">
        <v>6144</v>
      </c>
      <c r="I204" s="119">
        <v>1846.97</v>
      </c>
      <c r="J204" s="119">
        <f t="shared" si="19"/>
        <v>802.84</v>
      </c>
      <c r="M204" s="110"/>
      <c r="P204">
        <v>1.45</v>
      </c>
      <c r="Q204" t="s">
        <v>7</v>
      </c>
      <c r="R204" t="s">
        <v>141</v>
      </c>
      <c r="S204">
        <v>0</v>
      </c>
      <c r="T204">
        <v>0.92</v>
      </c>
      <c r="U204" s="119">
        <f t="shared" si="20"/>
        <v>67.105566666666661</v>
      </c>
    </row>
    <row r="205" spans="1:21" x14ac:dyDescent="0.3">
      <c r="A205" t="s">
        <v>23</v>
      </c>
      <c r="B205" t="s">
        <v>282</v>
      </c>
      <c r="C205">
        <v>15.289199999999999</v>
      </c>
      <c r="D205">
        <v>-91.089200000000005</v>
      </c>
      <c r="E205" t="s">
        <v>1</v>
      </c>
      <c r="F205" t="s">
        <v>2</v>
      </c>
      <c r="G205" t="s">
        <v>351</v>
      </c>
      <c r="H205" s="116">
        <v>52620</v>
      </c>
      <c r="I205" s="119">
        <v>1848.79</v>
      </c>
      <c r="J205" s="119">
        <f t="shared" si="19"/>
        <v>803.63</v>
      </c>
      <c r="M205" s="110"/>
      <c r="P205">
        <v>1.45</v>
      </c>
      <c r="Q205" t="s">
        <v>7</v>
      </c>
      <c r="R205" t="s">
        <v>7</v>
      </c>
      <c r="S205">
        <v>0</v>
      </c>
      <c r="T205">
        <v>0.92</v>
      </c>
      <c r="U205" s="119">
        <f t="shared" si="20"/>
        <v>67.083333333333343</v>
      </c>
    </row>
    <row r="206" spans="1:21" x14ac:dyDescent="0.3">
      <c r="A206" t="s">
        <v>23</v>
      </c>
      <c r="B206" t="s">
        <v>273</v>
      </c>
      <c r="C206">
        <v>15.175599999999999</v>
      </c>
      <c r="D206">
        <v>-90.941699999999997</v>
      </c>
      <c r="E206" t="s">
        <v>1</v>
      </c>
      <c r="F206" t="s">
        <v>2</v>
      </c>
      <c r="G206" t="s">
        <v>351</v>
      </c>
      <c r="H206" s="116">
        <v>24981</v>
      </c>
      <c r="I206" s="119">
        <v>1848.15</v>
      </c>
      <c r="J206" s="119">
        <f t="shared" si="19"/>
        <v>803.35</v>
      </c>
      <c r="M206" s="110"/>
      <c r="P206">
        <v>1.45</v>
      </c>
      <c r="Q206" t="s">
        <v>7</v>
      </c>
      <c r="R206" t="s">
        <v>133</v>
      </c>
      <c r="S206">
        <v>0</v>
      </c>
      <c r="T206">
        <v>0.92</v>
      </c>
      <c r="U206" s="119">
        <f t="shared" si="20"/>
        <v>61.506600000000006</v>
      </c>
    </row>
    <row r="207" spans="1:21" x14ac:dyDescent="0.3">
      <c r="A207" t="s">
        <v>23</v>
      </c>
      <c r="B207" t="s">
        <v>276</v>
      </c>
      <c r="C207">
        <v>15.054399999999999</v>
      </c>
      <c r="D207">
        <v>-91.2286</v>
      </c>
      <c r="E207" t="s">
        <v>1</v>
      </c>
      <c r="F207" t="s">
        <v>2</v>
      </c>
      <c r="G207" t="s">
        <v>351</v>
      </c>
      <c r="H207" s="116">
        <v>25590</v>
      </c>
      <c r="I207" s="119">
        <v>1847.48</v>
      </c>
      <c r="J207" s="119">
        <f t="shared" si="19"/>
        <v>803.06</v>
      </c>
      <c r="M207" s="110"/>
      <c r="P207">
        <v>1.45</v>
      </c>
      <c r="Q207" t="s">
        <v>7</v>
      </c>
      <c r="R207" t="s">
        <v>268</v>
      </c>
      <c r="S207">
        <v>0</v>
      </c>
      <c r="T207">
        <v>0.92</v>
      </c>
      <c r="U207" s="119">
        <f t="shared" si="20"/>
        <v>67.11630000000001</v>
      </c>
    </row>
    <row r="208" spans="1:21" x14ac:dyDescent="0.3">
      <c r="A208" t="s">
        <v>23</v>
      </c>
      <c r="B208" t="s">
        <v>266</v>
      </c>
      <c r="C208">
        <v>15.1928</v>
      </c>
      <c r="D208">
        <v>-91.077500000000001</v>
      </c>
      <c r="E208" t="s">
        <v>1</v>
      </c>
      <c r="F208" t="s">
        <v>2</v>
      </c>
      <c r="G208" t="s">
        <v>351</v>
      </c>
      <c r="H208" s="116">
        <v>13568</v>
      </c>
      <c r="I208" s="119">
        <v>1848.25</v>
      </c>
      <c r="J208" s="119">
        <f t="shared" si="19"/>
        <v>803.4</v>
      </c>
      <c r="M208" s="110"/>
      <c r="P208">
        <v>1.45</v>
      </c>
      <c r="Q208" t="s">
        <v>7</v>
      </c>
      <c r="R208" t="s">
        <v>227</v>
      </c>
      <c r="S208">
        <v>0</v>
      </c>
      <c r="T208">
        <v>0.92</v>
      </c>
      <c r="U208" s="119">
        <f t="shared" si="20"/>
        <v>67.104033333333334</v>
      </c>
    </row>
    <row r="209" spans="1:21" x14ac:dyDescent="0.3">
      <c r="A209" t="s">
        <v>23</v>
      </c>
      <c r="B209" t="s">
        <v>261</v>
      </c>
      <c r="C209">
        <v>15.4353</v>
      </c>
      <c r="D209">
        <v>-91.035600000000002</v>
      </c>
      <c r="E209" t="s">
        <v>1</v>
      </c>
      <c r="F209" t="s">
        <v>2</v>
      </c>
      <c r="G209" t="s">
        <v>351</v>
      </c>
      <c r="H209" s="116">
        <v>31532</v>
      </c>
      <c r="I209" s="119">
        <v>1849.61</v>
      </c>
      <c r="J209" s="119">
        <f t="shared" si="19"/>
        <v>803.99</v>
      </c>
      <c r="M209" s="110"/>
      <c r="P209">
        <v>1.45</v>
      </c>
      <c r="Q209" t="s">
        <v>7</v>
      </c>
      <c r="R209" t="s">
        <v>334</v>
      </c>
      <c r="S209">
        <v>0</v>
      </c>
      <c r="T209">
        <v>0.92</v>
      </c>
      <c r="U209" s="119">
        <f t="shared" si="20"/>
        <v>67.090999999999994</v>
      </c>
    </row>
    <row r="210" spans="1:21" x14ac:dyDescent="0.3">
      <c r="A210" t="s">
        <v>23</v>
      </c>
      <c r="B210" t="s">
        <v>345</v>
      </c>
      <c r="C210">
        <v>15.0953</v>
      </c>
      <c r="D210">
        <v>-91.150800000000004</v>
      </c>
      <c r="E210" t="s">
        <v>1</v>
      </c>
      <c r="F210" t="s">
        <v>2</v>
      </c>
      <c r="G210" t="s">
        <v>351</v>
      </c>
      <c r="H210" s="116">
        <v>31950</v>
      </c>
      <c r="I210" s="119">
        <v>1847.7</v>
      </c>
      <c r="J210" s="119">
        <f t="shared" si="19"/>
        <v>803.16</v>
      </c>
      <c r="M210" s="110"/>
      <c r="P210">
        <v>1.45</v>
      </c>
      <c r="Q210" t="s">
        <v>7</v>
      </c>
      <c r="R210" t="s">
        <v>113</v>
      </c>
      <c r="S210">
        <v>0</v>
      </c>
      <c r="T210">
        <v>0.92</v>
      </c>
      <c r="U210" s="119">
        <f t="shared" si="20"/>
        <v>67.081033333333338</v>
      </c>
    </row>
    <row r="211" spans="1:21" x14ac:dyDescent="0.3">
      <c r="A211" t="s">
        <v>23</v>
      </c>
      <c r="B211" t="s">
        <v>86</v>
      </c>
      <c r="C211">
        <v>15.02969</v>
      </c>
      <c r="D211">
        <v>-91.148970000000006</v>
      </c>
      <c r="E211" t="s">
        <v>1</v>
      </c>
      <c r="F211" t="s">
        <v>2</v>
      </c>
      <c r="G211" t="s">
        <v>350</v>
      </c>
      <c r="H211" s="116">
        <v>78279</v>
      </c>
      <c r="I211" s="119">
        <v>1847.34</v>
      </c>
      <c r="J211" s="119">
        <v>803</v>
      </c>
      <c r="K211" s="118">
        <f>J211/I211</f>
        <v>0.4346790520423961</v>
      </c>
      <c r="M211" s="110"/>
      <c r="P211">
        <v>1.45</v>
      </c>
      <c r="Q211" t="s">
        <v>7</v>
      </c>
      <c r="R211" t="s">
        <v>204</v>
      </c>
      <c r="S211">
        <v>0</v>
      </c>
      <c r="T211">
        <v>0.92</v>
      </c>
      <c r="U211" s="119">
        <f t="shared" si="20"/>
        <v>67.088700000000003</v>
      </c>
    </row>
    <row r="212" spans="1:21" x14ac:dyDescent="0.3">
      <c r="A212" t="s">
        <v>23</v>
      </c>
      <c r="B212" t="s">
        <v>77</v>
      </c>
      <c r="C212">
        <v>15.345800000000001</v>
      </c>
      <c r="D212">
        <v>-90.869399999999999</v>
      </c>
      <c r="E212" t="s">
        <v>1</v>
      </c>
      <c r="F212" t="s">
        <v>2</v>
      </c>
      <c r="G212" t="s">
        <v>351</v>
      </c>
      <c r="H212" s="116">
        <v>65872</v>
      </c>
      <c r="I212" s="119">
        <v>1849.11</v>
      </c>
      <c r="J212" s="119">
        <f>ROUND(K$211*I212,2)</f>
        <v>803.77</v>
      </c>
      <c r="M212" s="110"/>
      <c r="P212">
        <v>1.45</v>
      </c>
      <c r="Q212" t="s">
        <v>7</v>
      </c>
      <c r="R212" t="s">
        <v>178</v>
      </c>
      <c r="S212">
        <v>0</v>
      </c>
      <c r="T212">
        <v>0.92</v>
      </c>
      <c r="U212" s="119">
        <f t="shared" si="20"/>
        <v>67.09790000000001</v>
      </c>
    </row>
    <row r="213" spans="1:21" x14ac:dyDescent="0.3">
      <c r="A213" t="s">
        <v>23</v>
      </c>
      <c r="B213" t="s">
        <v>122</v>
      </c>
      <c r="C213">
        <v>15.027200000000001</v>
      </c>
      <c r="D213">
        <v>-90.877799999999993</v>
      </c>
      <c r="E213" t="s">
        <v>1</v>
      </c>
      <c r="F213" t="s">
        <v>2</v>
      </c>
      <c r="G213" t="s">
        <v>351</v>
      </c>
      <c r="H213" s="116">
        <v>32750</v>
      </c>
      <c r="I213" s="119">
        <v>1847.32</v>
      </c>
      <c r="J213" s="119">
        <f>ROUND(K$211*I213,2)</f>
        <v>802.99</v>
      </c>
      <c r="M213" s="110"/>
      <c r="P213">
        <v>1.45</v>
      </c>
      <c r="Q213" t="s">
        <v>7</v>
      </c>
      <c r="R213" t="s">
        <v>175</v>
      </c>
      <c r="S213">
        <v>0</v>
      </c>
      <c r="T213">
        <v>0.92</v>
      </c>
      <c r="U213" s="119">
        <f t="shared" si="20"/>
        <v>67.120133333333328</v>
      </c>
    </row>
    <row r="214" spans="1:21" x14ac:dyDescent="0.3">
      <c r="A214" t="s">
        <v>82</v>
      </c>
      <c r="B214" t="s">
        <v>87</v>
      </c>
      <c r="C214">
        <v>14.292999999999999</v>
      </c>
      <c r="D214">
        <v>-91.914000000000001</v>
      </c>
      <c r="E214" t="s">
        <v>1</v>
      </c>
      <c r="F214" t="s">
        <v>2</v>
      </c>
      <c r="G214" t="s">
        <v>351</v>
      </c>
      <c r="H214" s="116">
        <v>32815</v>
      </c>
      <c r="I214" s="119">
        <v>2019.51</v>
      </c>
      <c r="J214" s="119">
        <f>ROUND(K$217*I214,2)</f>
        <v>877.29</v>
      </c>
      <c r="M214" s="110"/>
      <c r="P214">
        <v>1.45</v>
      </c>
      <c r="Q214" t="s">
        <v>7</v>
      </c>
      <c r="R214" t="s">
        <v>158</v>
      </c>
      <c r="S214">
        <v>0</v>
      </c>
      <c r="T214">
        <v>0.92</v>
      </c>
      <c r="U214" s="119">
        <f t="shared" si="20"/>
        <v>61.488199999999999</v>
      </c>
    </row>
    <row r="215" spans="1:21" x14ac:dyDescent="0.3">
      <c r="A215" t="s">
        <v>82</v>
      </c>
      <c r="B215" t="s">
        <v>222</v>
      </c>
      <c r="C215">
        <v>14.6</v>
      </c>
      <c r="D215">
        <v>-91.7333</v>
      </c>
      <c r="E215" t="s">
        <v>1</v>
      </c>
      <c r="F215" t="s">
        <v>2</v>
      </c>
      <c r="G215" t="s">
        <v>351</v>
      </c>
      <c r="H215" s="116">
        <v>36882</v>
      </c>
      <c r="I215" s="119">
        <v>2012.4</v>
      </c>
      <c r="J215" s="119">
        <f>ROUND(K$217*I215,2)</f>
        <v>874.2</v>
      </c>
      <c r="M215" s="110"/>
      <c r="P215">
        <v>1.45</v>
      </c>
      <c r="Q215" t="s">
        <v>23</v>
      </c>
      <c r="R215" t="s">
        <v>172</v>
      </c>
      <c r="S215">
        <v>0</v>
      </c>
      <c r="T215">
        <v>0.92</v>
      </c>
      <c r="U215" s="119">
        <f t="shared" si="20"/>
        <v>61.588633333333341</v>
      </c>
    </row>
    <row r="216" spans="1:21" x14ac:dyDescent="0.3">
      <c r="A216" t="s">
        <v>82</v>
      </c>
      <c r="B216" t="s">
        <v>231</v>
      </c>
      <c r="C216">
        <v>14.593299999999999</v>
      </c>
      <c r="D216">
        <v>-91.693600000000004</v>
      </c>
      <c r="E216" t="s">
        <v>1</v>
      </c>
      <c r="F216" t="s">
        <v>2</v>
      </c>
      <c r="G216" t="s">
        <v>351</v>
      </c>
      <c r="H216" s="116">
        <v>39565</v>
      </c>
      <c r="I216" s="119">
        <v>2012.34</v>
      </c>
      <c r="J216" s="119">
        <f>ROUND(K$217*I216,2)</f>
        <v>874.17</v>
      </c>
      <c r="M216" s="110"/>
      <c r="P216">
        <v>1.45</v>
      </c>
      <c r="Q216" t="s">
        <v>23</v>
      </c>
      <c r="R216" t="s">
        <v>96</v>
      </c>
      <c r="S216">
        <v>0</v>
      </c>
      <c r="T216">
        <v>0.92</v>
      </c>
      <c r="U216" s="119">
        <f t="shared" si="20"/>
        <v>61.648433333333344</v>
      </c>
    </row>
    <row r="217" spans="1:21" x14ac:dyDescent="0.3">
      <c r="A217" t="s">
        <v>82</v>
      </c>
      <c r="B217" t="s">
        <v>82</v>
      </c>
      <c r="C217">
        <v>14.533300000000001</v>
      </c>
      <c r="D217">
        <v>-91.683300000000003</v>
      </c>
      <c r="E217" t="s">
        <v>1</v>
      </c>
      <c r="F217" t="s">
        <v>2</v>
      </c>
      <c r="G217" t="s">
        <v>350</v>
      </c>
      <c r="H217" s="116">
        <v>90505</v>
      </c>
      <c r="I217" s="119">
        <v>2011.94</v>
      </c>
      <c r="J217" s="119">
        <v>874</v>
      </c>
      <c r="K217" s="118">
        <f>J217/I217</f>
        <v>0.43440659264192766</v>
      </c>
      <c r="M217" s="110"/>
      <c r="P217">
        <v>1.45</v>
      </c>
      <c r="Q217" t="s">
        <v>23</v>
      </c>
      <c r="R217" t="s">
        <v>310</v>
      </c>
      <c r="S217">
        <v>0</v>
      </c>
      <c r="T217">
        <v>0.92</v>
      </c>
      <c r="U217" s="119">
        <f t="shared" si="20"/>
        <v>61.622366666666672</v>
      </c>
    </row>
    <row r="218" spans="1:21" x14ac:dyDescent="0.3">
      <c r="A218" t="s">
        <v>82</v>
      </c>
      <c r="B218" t="s">
        <v>123</v>
      </c>
      <c r="C218">
        <v>14.566700000000001</v>
      </c>
      <c r="D218">
        <v>-91.583299999999994</v>
      </c>
      <c r="E218" t="s">
        <v>1</v>
      </c>
      <c r="F218" t="s">
        <v>2</v>
      </c>
      <c r="G218" t="s">
        <v>351</v>
      </c>
      <c r="H218" s="116">
        <v>47820</v>
      </c>
      <c r="I218" s="119">
        <v>2012.19</v>
      </c>
      <c r="J218" s="119">
        <f>ROUND(K$217*I218,2)</f>
        <v>874.11</v>
      </c>
      <c r="M218" s="110"/>
      <c r="P218">
        <v>1.45</v>
      </c>
      <c r="Q218" t="s">
        <v>23</v>
      </c>
      <c r="R218" t="s">
        <v>237</v>
      </c>
      <c r="S218">
        <v>0</v>
      </c>
      <c r="T218">
        <v>0.92</v>
      </c>
      <c r="U218" s="119">
        <f t="shared" si="20"/>
        <v>61.559500000000007</v>
      </c>
    </row>
    <row r="219" spans="1:21" x14ac:dyDescent="0.3">
      <c r="A219" t="s">
        <v>82</v>
      </c>
      <c r="B219" t="s">
        <v>135</v>
      </c>
      <c r="C219">
        <v>14.6206</v>
      </c>
      <c r="D219">
        <v>-91.596100000000007</v>
      </c>
      <c r="E219" t="s">
        <v>1</v>
      </c>
      <c r="F219" t="s">
        <v>2</v>
      </c>
      <c r="G219" t="s">
        <v>351</v>
      </c>
      <c r="H219" s="116">
        <v>24446</v>
      </c>
      <c r="I219" s="119">
        <v>2012.52</v>
      </c>
      <c r="J219" s="119">
        <f>ROUND(K$217*I219,2)</f>
        <v>874.25</v>
      </c>
      <c r="M219" s="110"/>
      <c r="P219">
        <v>1.45</v>
      </c>
      <c r="Q219" t="s">
        <v>23</v>
      </c>
      <c r="R219" t="s">
        <v>735</v>
      </c>
      <c r="S219">
        <v>0</v>
      </c>
      <c r="T219">
        <v>0.92</v>
      </c>
      <c r="U219" s="119">
        <f t="shared" si="20"/>
        <v>61.547233333333331</v>
      </c>
    </row>
    <row r="220" spans="1:21" x14ac:dyDescent="0.3">
      <c r="A220" t="s">
        <v>82</v>
      </c>
      <c r="B220" t="s">
        <v>200</v>
      </c>
      <c r="C220">
        <v>14.6</v>
      </c>
      <c r="D220">
        <v>-91.6</v>
      </c>
      <c r="E220" t="s">
        <v>1</v>
      </c>
      <c r="F220" t="s">
        <v>2</v>
      </c>
      <c r="G220" t="s">
        <v>351</v>
      </c>
      <c r="H220" s="116">
        <v>12083</v>
      </c>
      <c r="I220" s="119">
        <v>2012.39</v>
      </c>
      <c r="J220" s="119">
        <f>ROUND(K$217*I220,2)</f>
        <v>874.2</v>
      </c>
      <c r="M220" s="110"/>
      <c r="P220">
        <v>1.45</v>
      </c>
      <c r="Q220" t="s">
        <v>23</v>
      </c>
      <c r="R220" t="s">
        <v>174</v>
      </c>
      <c r="S220">
        <v>0</v>
      </c>
      <c r="T220">
        <v>0.92</v>
      </c>
      <c r="U220" s="119">
        <f t="shared" si="20"/>
        <v>61.565633333333338</v>
      </c>
    </row>
    <row r="221" spans="1:21" x14ac:dyDescent="0.3">
      <c r="A221" t="s">
        <v>82</v>
      </c>
      <c r="B221" t="s">
        <v>199</v>
      </c>
      <c r="C221">
        <v>14.566700000000001</v>
      </c>
      <c r="D221">
        <v>-91.65</v>
      </c>
      <c r="E221" t="s">
        <v>1</v>
      </c>
      <c r="F221" t="s">
        <v>2</v>
      </c>
      <c r="G221" t="s">
        <v>351</v>
      </c>
      <c r="H221" s="116">
        <v>29167</v>
      </c>
      <c r="I221" s="119">
        <v>2012.16</v>
      </c>
      <c r="J221" s="119">
        <f>ROUND(K$217*I221,2)</f>
        <v>874.1</v>
      </c>
      <c r="M221" s="110"/>
      <c r="P221">
        <v>1.45</v>
      </c>
      <c r="Q221" t="s">
        <v>23</v>
      </c>
      <c r="R221" t="s">
        <v>264</v>
      </c>
      <c r="S221">
        <v>0</v>
      </c>
      <c r="T221">
        <v>0.92</v>
      </c>
      <c r="U221" s="119">
        <f t="shared" si="20"/>
        <v>61.620833333333337</v>
      </c>
    </row>
    <row r="222" spans="1:21" x14ac:dyDescent="0.3">
      <c r="A222" t="s">
        <v>82</v>
      </c>
      <c r="B222" t="s">
        <v>289</v>
      </c>
      <c r="C222">
        <v>14.58174</v>
      </c>
      <c r="D222">
        <v>-91.624009999999998</v>
      </c>
      <c r="E222" t="s">
        <v>1</v>
      </c>
      <c r="F222" t="s">
        <v>2</v>
      </c>
      <c r="G222" t="s">
        <v>351</v>
      </c>
      <c r="H222" s="116">
        <v>13545</v>
      </c>
      <c r="I222" s="119">
        <v>2012.27</v>
      </c>
      <c r="J222" s="119">
        <f>ROUND(K$217*I222,2)</f>
        <v>874.14</v>
      </c>
      <c r="M222" s="110"/>
      <c r="P222">
        <v>1.45</v>
      </c>
      <c r="Q222" t="s">
        <v>23</v>
      </c>
      <c r="R222" t="s">
        <v>348</v>
      </c>
      <c r="S222">
        <v>0</v>
      </c>
      <c r="T222">
        <v>0.92</v>
      </c>
      <c r="U222" s="119">
        <f t="shared" si="20"/>
        <v>62.465699999999998</v>
      </c>
    </row>
    <row r="223" spans="1:21" x14ac:dyDescent="0.3">
      <c r="A223" t="s">
        <v>52</v>
      </c>
      <c r="B223" t="s">
        <v>134</v>
      </c>
      <c r="C223">
        <v>14.4878</v>
      </c>
      <c r="D223">
        <v>-90.805800000000005</v>
      </c>
      <c r="E223" t="s">
        <v>1</v>
      </c>
      <c r="F223" t="s">
        <v>2</v>
      </c>
      <c r="G223" t="s">
        <v>351</v>
      </c>
      <c r="H223" s="116">
        <v>23986</v>
      </c>
      <c r="I223" s="119">
        <v>1995.31</v>
      </c>
      <c r="J223" s="119">
        <f>ROUND(K$224*I223,2)</f>
        <v>867.48</v>
      </c>
      <c r="M223" s="110">
        <v>0.14000000000000001</v>
      </c>
      <c r="P223">
        <v>1.45</v>
      </c>
      <c r="Q223" t="s">
        <v>23</v>
      </c>
      <c r="R223" t="s">
        <v>346</v>
      </c>
      <c r="S223">
        <v>0</v>
      </c>
      <c r="T223">
        <v>0.92</v>
      </c>
      <c r="U223" s="119">
        <f t="shared" si="20"/>
        <v>61.556433333333331</v>
      </c>
    </row>
    <row r="224" spans="1:21" x14ac:dyDescent="0.3">
      <c r="A224" t="s">
        <v>52</v>
      </c>
      <c r="B224" t="s">
        <v>51</v>
      </c>
      <c r="C224">
        <v>14.556699999999999</v>
      </c>
      <c r="D224">
        <v>-90.733699999999999</v>
      </c>
      <c r="E224" t="s">
        <v>1</v>
      </c>
      <c r="F224" t="s">
        <v>2</v>
      </c>
      <c r="G224" t="s">
        <v>350</v>
      </c>
      <c r="H224" s="116">
        <v>46054</v>
      </c>
      <c r="I224" s="119">
        <v>1844.7</v>
      </c>
      <c r="J224" s="119">
        <v>802</v>
      </c>
      <c r="K224" s="118">
        <f>J224/I224</f>
        <v>0.43475903941020216</v>
      </c>
      <c r="M224" s="110">
        <v>0.1</v>
      </c>
      <c r="P224">
        <v>1.45</v>
      </c>
      <c r="Q224" t="s">
        <v>23</v>
      </c>
      <c r="R224" t="s">
        <v>347</v>
      </c>
      <c r="S224">
        <v>0</v>
      </c>
      <c r="T224">
        <v>0.92</v>
      </c>
      <c r="U224" s="119">
        <f t="shared" si="20"/>
        <v>61.633866666666663</v>
      </c>
    </row>
    <row r="225" spans="1:21" x14ac:dyDescent="0.3">
      <c r="A225" t="s">
        <v>52</v>
      </c>
      <c r="B225" t="s">
        <v>101</v>
      </c>
      <c r="C225">
        <v>14.523300000000001</v>
      </c>
      <c r="D225">
        <v>-90.7667</v>
      </c>
      <c r="E225" t="s">
        <v>1</v>
      </c>
      <c r="F225" t="s">
        <v>2</v>
      </c>
      <c r="G225" t="s">
        <v>351</v>
      </c>
      <c r="H225" s="116">
        <v>33405</v>
      </c>
      <c r="I225" s="119">
        <v>1844.52</v>
      </c>
      <c r="J225" s="119">
        <f t="shared" ref="J225:J238" si="21">ROUND(K$224*I225,2)</f>
        <v>801.92</v>
      </c>
      <c r="M225" s="110">
        <v>0.15</v>
      </c>
      <c r="P225">
        <v>1.45</v>
      </c>
      <c r="Q225" t="s">
        <v>23</v>
      </c>
      <c r="R225" t="s">
        <v>280</v>
      </c>
      <c r="S225">
        <v>0</v>
      </c>
      <c r="T225">
        <v>0.92</v>
      </c>
      <c r="U225" s="119">
        <f t="shared" si="20"/>
        <v>61.643833333333333</v>
      </c>
    </row>
    <row r="226" spans="1:21" x14ac:dyDescent="0.3">
      <c r="A226" t="s">
        <v>52</v>
      </c>
      <c r="B226" t="s">
        <v>196</v>
      </c>
      <c r="C226">
        <v>14.5868</v>
      </c>
      <c r="D226">
        <v>-90.744399999999999</v>
      </c>
      <c r="E226" t="s">
        <v>1</v>
      </c>
      <c r="F226" t="s">
        <v>2</v>
      </c>
      <c r="G226" t="s">
        <v>351</v>
      </c>
      <c r="H226" s="116">
        <v>21657</v>
      </c>
      <c r="I226" s="119">
        <v>1844.87</v>
      </c>
      <c r="J226" s="119">
        <f t="shared" si="21"/>
        <v>802.07</v>
      </c>
      <c r="M226" s="110">
        <v>0.21</v>
      </c>
      <c r="P226">
        <v>1.45</v>
      </c>
      <c r="Q226" t="s">
        <v>23</v>
      </c>
      <c r="R226" t="s">
        <v>185</v>
      </c>
      <c r="S226">
        <v>0</v>
      </c>
      <c r="T226">
        <v>0.92</v>
      </c>
      <c r="U226" s="119">
        <f t="shared" si="20"/>
        <v>61.551066666666671</v>
      </c>
    </row>
    <row r="227" spans="1:21" x14ac:dyDescent="0.3">
      <c r="A227" t="s">
        <v>52</v>
      </c>
      <c r="B227" t="s">
        <v>210</v>
      </c>
      <c r="C227">
        <v>14.545299999999999</v>
      </c>
      <c r="D227">
        <v>-90.675299999999993</v>
      </c>
      <c r="E227" t="s">
        <v>1</v>
      </c>
      <c r="F227" t="s">
        <v>2</v>
      </c>
      <c r="G227" t="s">
        <v>351</v>
      </c>
      <c r="H227" s="116">
        <v>11856</v>
      </c>
      <c r="I227" s="119">
        <v>1844.64</v>
      </c>
      <c r="J227" s="119">
        <f t="shared" si="21"/>
        <v>801.97</v>
      </c>
      <c r="M227" s="110">
        <v>0.09</v>
      </c>
      <c r="P227">
        <v>1.45</v>
      </c>
      <c r="Q227" t="s">
        <v>23</v>
      </c>
      <c r="R227" t="s">
        <v>282</v>
      </c>
      <c r="S227">
        <v>0</v>
      </c>
      <c r="T227">
        <v>0.92</v>
      </c>
      <c r="U227" s="119">
        <f t="shared" si="20"/>
        <v>61.611633333333337</v>
      </c>
    </row>
    <row r="228" spans="1:21" x14ac:dyDescent="0.3">
      <c r="A228" t="s">
        <v>52</v>
      </c>
      <c r="B228" t="s">
        <v>152</v>
      </c>
      <c r="C228">
        <v>14.59</v>
      </c>
      <c r="D228">
        <v>-90.75</v>
      </c>
      <c r="E228" t="s">
        <v>1</v>
      </c>
      <c r="F228" t="s">
        <v>2</v>
      </c>
      <c r="G228" t="s">
        <v>351</v>
      </c>
      <c r="H228" s="116">
        <v>17814</v>
      </c>
      <c r="I228" s="119">
        <v>1844.89</v>
      </c>
      <c r="J228" s="119">
        <f t="shared" si="21"/>
        <v>802.08</v>
      </c>
      <c r="M228" s="110">
        <v>0.09</v>
      </c>
      <c r="P228">
        <v>1.45</v>
      </c>
      <c r="Q228" t="s">
        <v>23</v>
      </c>
      <c r="R228" t="s">
        <v>273</v>
      </c>
      <c r="S228">
        <v>0</v>
      </c>
      <c r="T228">
        <v>0.92</v>
      </c>
      <c r="U228" s="119">
        <f t="shared" si="20"/>
        <v>61.590166666666676</v>
      </c>
    </row>
    <row r="229" spans="1:21" x14ac:dyDescent="0.3">
      <c r="A229" t="s">
        <v>52</v>
      </c>
      <c r="B229" t="s">
        <v>195</v>
      </c>
      <c r="C229">
        <v>14.533300000000001</v>
      </c>
      <c r="D229">
        <v>-90.7667</v>
      </c>
      <c r="E229" t="s">
        <v>1</v>
      </c>
      <c r="F229" t="s">
        <v>2</v>
      </c>
      <c r="G229" t="s">
        <v>351</v>
      </c>
      <c r="H229" s="116">
        <v>11347</v>
      </c>
      <c r="I229" s="119">
        <v>1844.58</v>
      </c>
      <c r="J229" s="119">
        <f t="shared" si="21"/>
        <v>801.95</v>
      </c>
      <c r="M229" s="110">
        <v>0.08</v>
      </c>
      <c r="P229">
        <v>1.45</v>
      </c>
      <c r="Q229" t="s">
        <v>23</v>
      </c>
      <c r="R229" t="s">
        <v>276</v>
      </c>
      <c r="S229">
        <v>0</v>
      </c>
      <c r="T229">
        <v>0.92</v>
      </c>
      <c r="U229" s="119">
        <f t="shared" si="20"/>
        <v>61.567933333333336</v>
      </c>
    </row>
    <row r="230" spans="1:21" x14ac:dyDescent="0.3">
      <c r="A230" t="s">
        <v>52</v>
      </c>
      <c r="B230" t="s">
        <v>201</v>
      </c>
      <c r="C230">
        <v>14.6046</v>
      </c>
      <c r="D230">
        <v>-90.68</v>
      </c>
      <c r="E230" t="s">
        <v>1</v>
      </c>
      <c r="F230" t="s">
        <v>2</v>
      </c>
      <c r="G230" t="s">
        <v>351</v>
      </c>
      <c r="H230" s="116">
        <v>7816</v>
      </c>
      <c r="I230" s="119">
        <v>1844.97</v>
      </c>
      <c r="J230" s="119">
        <f t="shared" si="21"/>
        <v>802.12</v>
      </c>
      <c r="M230" s="110">
        <v>0.1</v>
      </c>
      <c r="P230">
        <v>1.45</v>
      </c>
      <c r="Q230" t="s">
        <v>23</v>
      </c>
      <c r="R230" t="s">
        <v>266</v>
      </c>
      <c r="S230">
        <v>0</v>
      </c>
      <c r="T230">
        <v>0.92</v>
      </c>
      <c r="U230" s="119">
        <f t="shared" si="20"/>
        <v>61.594000000000008</v>
      </c>
    </row>
    <row r="231" spans="1:21" x14ac:dyDescent="0.3">
      <c r="A231" t="s">
        <v>52</v>
      </c>
      <c r="B231" t="s">
        <v>111</v>
      </c>
      <c r="C231">
        <v>14.609500000000001</v>
      </c>
      <c r="D231">
        <v>-90.656800000000004</v>
      </c>
      <c r="E231" t="s">
        <v>1</v>
      </c>
      <c r="F231" t="s">
        <v>2</v>
      </c>
      <c r="G231" t="s">
        <v>351</v>
      </c>
      <c r="H231" s="116">
        <v>23369</v>
      </c>
      <c r="I231" s="119">
        <v>1845</v>
      </c>
      <c r="J231" s="119">
        <f t="shared" si="21"/>
        <v>802.13</v>
      </c>
      <c r="M231" s="110">
        <v>0.08</v>
      </c>
      <c r="P231">
        <v>1.45</v>
      </c>
      <c r="Q231" t="s">
        <v>23</v>
      </c>
      <c r="R231" t="s">
        <v>261</v>
      </c>
      <c r="S231">
        <v>0</v>
      </c>
      <c r="T231">
        <v>0.92</v>
      </c>
      <c r="U231" s="119">
        <f t="shared" si="20"/>
        <v>61.639233333333337</v>
      </c>
    </row>
    <row r="232" spans="1:21" x14ac:dyDescent="0.3">
      <c r="A232" t="s">
        <v>52</v>
      </c>
      <c r="B232" t="s">
        <v>238</v>
      </c>
      <c r="C232">
        <v>14.5167</v>
      </c>
      <c r="D232">
        <v>-90.8</v>
      </c>
      <c r="E232" t="s">
        <v>1</v>
      </c>
      <c r="F232" t="s">
        <v>2</v>
      </c>
      <c r="G232" t="s">
        <v>351</v>
      </c>
      <c r="H232" s="116">
        <v>12696</v>
      </c>
      <c r="I232" s="119">
        <v>1844.47</v>
      </c>
      <c r="J232" s="119">
        <f t="shared" si="21"/>
        <v>801.9</v>
      </c>
      <c r="M232" s="110">
        <v>0.21</v>
      </c>
      <c r="P232">
        <v>1.45</v>
      </c>
      <c r="Q232" t="s">
        <v>23</v>
      </c>
      <c r="R232" t="s">
        <v>345</v>
      </c>
      <c r="S232">
        <v>0</v>
      </c>
      <c r="T232">
        <v>0.92</v>
      </c>
      <c r="U232" s="119">
        <f t="shared" si="20"/>
        <v>61.575599999999994</v>
      </c>
    </row>
    <row r="233" spans="1:21" x14ac:dyDescent="0.3">
      <c r="A233" t="s">
        <v>52</v>
      </c>
      <c r="B233" t="s">
        <v>206</v>
      </c>
      <c r="C233">
        <v>14.55</v>
      </c>
      <c r="D233">
        <v>-90.783299999999997</v>
      </c>
      <c r="E233" t="s">
        <v>1</v>
      </c>
      <c r="F233" t="s">
        <v>2</v>
      </c>
      <c r="G233" t="s">
        <v>351</v>
      </c>
      <c r="H233" s="116">
        <v>4061</v>
      </c>
      <c r="I233" s="119">
        <v>1844.66</v>
      </c>
      <c r="J233" s="119">
        <f t="shared" si="21"/>
        <v>801.98</v>
      </c>
      <c r="M233" s="110">
        <v>0.12</v>
      </c>
      <c r="P233">
        <v>1.45</v>
      </c>
      <c r="Q233" t="s">
        <v>23</v>
      </c>
      <c r="R233" t="s">
        <v>86</v>
      </c>
      <c r="S233">
        <v>0</v>
      </c>
      <c r="T233">
        <v>0.92</v>
      </c>
      <c r="U233" s="119">
        <f t="shared" si="20"/>
        <v>61.56333333333334</v>
      </c>
    </row>
    <row r="234" spans="1:21" x14ac:dyDescent="0.3">
      <c r="A234" t="s">
        <v>52</v>
      </c>
      <c r="B234" t="s">
        <v>203</v>
      </c>
      <c r="C234">
        <v>14.575699999999999</v>
      </c>
      <c r="D234">
        <v>-90.677999999999997</v>
      </c>
      <c r="E234" t="s">
        <v>1</v>
      </c>
      <c r="F234" t="s">
        <v>2</v>
      </c>
      <c r="G234" t="s">
        <v>351</v>
      </c>
      <c r="H234" s="116">
        <v>15570</v>
      </c>
      <c r="I234" s="119">
        <v>1844.81</v>
      </c>
      <c r="J234" s="119">
        <f t="shared" si="21"/>
        <v>802.05</v>
      </c>
      <c r="M234" s="110">
        <v>0.11</v>
      </c>
      <c r="P234">
        <v>1.45</v>
      </c>
      <c r="Q234" t="s">
        <v>23</v>
      </c>
      <c r="R234" t="s">
        <v>77</v>
      </c>
      <c r="S234">
        <v>0</v>
      </c>
      <c r="T234">
        <v>0.92</v>
      </c>
      <c r="U234" s="119">
        <f t="shared" si="20"/>
        <v>61.622366666666672</v>
      </c>
    </row>
    <row r="235" spans="1:21" x14ac:dyDescent="0.3">
      <c r="A235" t="s">
        <v>52</v>
      </c>
      <c r="B235" t="s">
        <v>146</v>
      </c>
      <c r="C235">
        <v>14.4933</v>
      </c>
      <c r="D235">
        <v>-90.709400000000002</v>
      </c>
      <c r="E235" t="s">
        <v>1</v>
      </c>
      <c r="F235" t="s">
        <v>2</v>
      </c>
      <c r="G235" t="s">
        <v>351</v>
      </c>
      <c r="H235" s="116">
        <v>21938</v>
      </c>
      <c r="I235" s="119">
        <v>1995.35</v>
      </c>
      <c r="J235" s="119">
        <f t="shared" si="21"/>
        <v>867.5</v>
      </c>
      <c r="M235" s="110">
        <v>0.08</v>
      </c>
      <c r="P235">
        <v>1.45</v>
      </c>
      <c r="Q235" t="s">
        <v>23</v>
      </c>
      <c r="R235" t="s">
        <v>122</v>
      </c>
      <c r="S235">
        <v>0</v>
      </c>
      <c r="T235">
        <v>0.92</v>
      </c>
      <c r="U235" s="119">
        <f t="shared" si="20"/>
        <v>61.562566666666676</v>
      </c>
    </row>
    <row r="236" spans="1:21" x14ac:dyDescent="0.3">
      <c r="A236" t="s">
        <v>52</v>
      </c>
      <c r="B236" t="s">
        <v>100</v>
      </c>
      <c r="C236">
        <v>14.653</v>
      </c>
      <c r="D236">
        <v>-90.6524</v>
      </c>
      <c r="E236" t="s">
        <v>1</v>
      </c>
      <c r="F236" t="s">
        <v>2</v>
      </c>
      <c r="G236" t="s">
        <v>351</v>
      </c>
      <c r="H236" s="116">
        <v>29238</v>
      </c>
      <c r="I236" s="119">
        <v>1845.24</v>
      </c>
      <c r="J236" s="119">
        <f t="shared" si="21"/>
        <v>802.23</v>
      </c>
      <c r="M236" s="110">
        <v>0.1</v>
      </c>
      <c r="P236">
        <v>1.45</v>
      </c>
      <c r="Q236" t="s">
        <v>82</v>
      </c>
      <c r="R236" t="s">
        <v>87</v>
      </c>
      <c r="S236">
        <v>0</v>
      </c>
      <c r="T236">
        <v>0.92</v>
      </c>
      <c r="U236" s="119">
        <f t="shared" si="20"/>
        <v>67.258900000000011</v>
      </c>
    </row>
    <row r="237" spans="1:21" x14ac:dyDescent="0.3">
      <c r="A237" t="s">
        <v>52</v>
      </c>
      <c r="B237" t="s">
        <v>230</v>
      </c>
      <c r="C237">
        <v>14.6822</v>
      </c>
      <c r="D237">
        <v>-90.706599999999995</v>
      </c>
      <c r="E237" t="s">
        <v>1</v>
      </c>
      <c r="F237" t="s">
        <v>2</v>
      </c>
      <c r="G237" t="s">
        <v>351</v>
      </c>
      <c r="H237" s="116">
        <v>12402</v>
      </c>
      <c r="I237" s="119">
        <v>1845.4</v>
      </c>
      <c r="J237" s="119">
        <f t="shared" si="21"/>
        <v>802.3</v>
      </c>
      <c r="M237" s="113">
        <v>0</v>
      </c>
      <c r="N237">
        <v>50</v>
      </c>
      <c r="O237" s="116" t="s">
        <v>733</v>
      </c>
      <c r="P237">
        <v>1.45</v>
      </c>
      <c r="Q237" t="s">
        <v>82</v>
      </c>
      <c r="R237" t="s">
        <v>222</v>
      </c>
      <c r="S237">
        <v>0</v>
      </c>
      <c r="T237">
        <v>0.92</v>
      </c>
      <c r="U237" s="119">
        <f t="shared" si="20"/>
        <v>67.022000000000006</v>
      </c>
    </row>
    <row r="238" spans="1:21" x14ac:dyDescent="0.3">
      <c r="A238" t="s">
        <v>52</v>
      </c>
      <c r="B238" t="s">
        <v>209</v>
      </c>
      <c r="C238">
        <v>14.6478</v>
      </c>
      <c r="D238">
        <v>-90.734800000000007</v>
      </c>
      <c r="E238" t="s">
        <v>1</v>
      </c>
      <c r="F238" t="s">
        <v>2</v>
      </c>
      <c r="G238" t="s">
        <v>351</v>
      </c>
      <c r="H238" s="116">
        <v>37260</v>
      </c>
      <c r="I238" s="119">
        <v>1845.21</v>
      </c>
      <c r="J238" s="119">
        <f t="shared" si="21"/>
        <v>802.22</v>
      </c>
      <c r="M238" s="110">
        <v>0.1</v>
      </c>
      <c r="P238">
        <v>1.45</v>
      </c>
      <c r="Q238" t="s">
        <v>82</v>
      </c>
      <c r="R238" t="s">
        <v>231</v>
      </c>
      <c r="S238">
        <v>0</v>
      </c>
      <c r="T238">
        <v>0.92</v>
      </c>
      <c r="U238" s="119">
        <f t="shared" si="20"/>
        <v>67.0197</v>
      </c>
    </row>
    <row r="239" spans="1:21" x14ac:dyDescent="0.3">
      <c r="A239" t="s">
        <v>25</v>
      </c>
      <c r="B239" t="s">
        <v>335</v>
      </c>
      <c r="C239">
        <v>14.683299999999999</v>
      </c>
      <c r="D239">
        <v>-92.133300000000006</v>
      </c>
      <c r="E239" t="s">
        <v>1</v>
      </c>
      <c r="F239" t="s">
        <v>2</v>
      </c>
      <c r="G239" t="s">
        <v>351</v>
      </c>
      <c r="H239" s="116">
        <v>37049</v>
      </c>
      <c r="I239" s="119">
        <v>2012.94</v>
      </c>
      <c r="J239" s="119">
        <f t="shared" ref="J239:J258" si="22">ROUND(K$259*I239,2)</f>
        <v>874.18</v>
      </c>
      <c r="M239" s="110"/>
      <c r="P239">
        <v>1.45</v>
      </c>
      <c r="Q239" t="s">
        <v>82</v>
      </c>
      <c r="R239" t="s">
        <v>82</v>
      </c>
      <c r="S239">
        <v>0</v>
      </c>
      <c r="T239">
        <v>0.92</v>
      </c>
      <c r="U239" s="119">
        <f t="shared" si="20"/>
        <v>67.006666666666661</v>
      </c>
    </row>
    <row r="240" spans="1:21" x14ac:dyDescent="0.3">
      <c r="A240" t="s">
        <v>25</v>
      </c>
      <c r="B240" t="s">
        <v>221</v>
      </c>
      <c r="C240">
        <v>14.8535</v>
      </c>
      <c r="D240">
        <v>-92.076800000000006</v>
      </c>
      <c r="E240" t="s">
        <v>1</v>
      </c>
      <c r="F240" t="s">
        <v>2</v>
      </c>
      <c r="G240" t="s">
        <v>351</v>
      </c>
      <c r="H240" s="116">
        <v>30014</v>
      </c>
      <c r="I240" s="119">
        <v>2014.07</v>
      </c>
      <c r="J240" s="119">
        <f t="shared" si="22"/>
        <v>874.67</v>
      </c>
      <c r="M240" s="110"/>
      <c r="P240">
        <v>1.45</v>
      </c>
      <c r="Q240" t="s">
        <v>82</v>
      </c>
      <c r="R240" t="s">
        <v>123</v>
      </c>
      <c r="S240">
        <v>0</v>
      </c>
      <c r="T240">
        <v>0.92</v>
      </c>
      <c r="U240" s="119">
        <f t="shared" si="20"/>
        <v>67.015100000000004</v>
      </c>
    </row>
    <row r="241" spans="1:21" x14ac:dyDescent="0.3">
      <c r="A241" t="s">
        <v>25</v>
      </c>
      <c r="B241" t="s">
        <v>50</v>
      </c>
      <c r="C241">
        <v>15.0906</v>
      </c>
      <c r="D241">
        <v>-91.748599999999996</v>
      </c>
      <c r="E241" t="s">
        <v>1</v>
      </c>
      <c r="F241" t="s">
        <v>2</v>
      </c>
      <c r="G241" t="s">
        <v>351</v>
      </c>
      <c r="H241" s="116">
        <v>59489</v>
      </c>
      <c r="I241" s="119">
        <v>2015.66</v>
      </c>
      <c r="J241" s="119">
        <f t="shared" si="22"/>
        <v>875.36</v>
      </c>
      <c r="M241" s="110"/>
      <c r="P241">
        <v>1.45</v>
      </c>
      <c r="Q241" t="s">
        <v>82</v>
      </c>
      <c r="R241" t="s">
        <v>135</v>
      </c>
      <c r="S241">
        <v>0</v>
      </c>
      <c r="T241">
        <v>0.92</v>
      </c>
      <c r="U241" s="119">
        <f t="shared" si="20"/>
        <v>67.025833333333338</v>
      </c>
    </row>
    <row r="242" spans="1:21" x14ac:dyDescent="0.3">
      <c r="A242" t="s">
        <v>25</v>
      </c>
      <c r="B242" t="s">
        <v>53</v>
      </c>
      <c r="C242">
        <v>15.283300000000001</v>
      </c>
      <c r="D242">
        <v>-91.783299999999997</v>
      </c>
      <c r="E242" t="s">
        <v>1</v>
      </c>
      <c r="F242" t="s">
        <v>2</v>
      </c>
      <c r="G242" t="s">
        <v>351</v>
      </c>
      <c r="H242" s="116">
        <v>68148</v>
      </c>
      <c r="I242" s="119">
        <v>2016.93</v>
      </c>
      <c r="J242" s="119">
        <f t="shared" si="22"/>
        <v>875.92</v>
      </c>
      <c r="M242" s="110"/>
      <c r="P242">
        <v>1.45</v>
      </c>
      <c r="Q242" t="s">
        <v>82</v>
      </c>
      <c r="R242" t="s">
        <v>200</v>
      </c>
      <c r="S242">
        <v>0</v>
      </c>
      <c r="T242">
        <v>0.92</v>
      </c>
      <c r="U242" s="119">
        <f t="shared" si="20"/>
        <v>67.022000000000006</v>
      </c>
    </row>
    <row r="243" spans="1:21" x14ac:dyDescent="0.3">
      <c r="A243" t="s">
        <v>25</v>
      </c>
      <c r="B243" t="s">
        <v>130</v>
      </c>
      <c r="C243">
        <v>14.7667</v>
      </c>
      <c r="D243">
        <v>-91.816699999999997</v>
      </c>
      <c r="E243" t="s">
        <v>1</v>
      </c>
      <c r="F243" t="s">
        <v>2</v>
      </c>
      <c r="G243" t="s">
        <v>351</v>
      </c>
      <c r="H243" s="116">
        <v>23511</v>
      </c>
      <c r="I243" s="119">
        <v>2013.5</v>
      </c>
      <c r="J243" s="119">
        <f t="shared" si="22"/>
        <v>874.43</v>
      </c>
      <c r="M243" s="110"/>
      <c r="P243">
        <v>1.45</v>
      </c>
      <c r="Q243" t="s">
        <v>82</v>
      </c>
      <c r="R243" t="s">
        <v>199</v>
      </c>
      <c r="S243">
        <v>0</v>
      </c>
      <c r="T243">
        <v>0.92</v>
      </c>
      <c r="U243" s="119">
        <f t="shared" si="20"/>
        <v>67.01433333333334</v>
      </c>
    </row>
    <row r="244" spans="1:21" x14ac:dyDescent="0.3">
      <c r="A244" t="s">
        <v>25</v>
      </c>
      <c r="B244" t="s">
        <v>78</v>
      </c>
      <c r="C244">
        <v>14.8667</v>
      </c>
      <c r="D244">
        <v>-91.933300000000003</v>
      </c>
      <c r="E244" t="s">
        <v>1</v>
      </c>
      <c r="F244" t="s">
        <v>2</v>
      </c>
      <c r="G244" t="s">
        <v>351</v>
      </c>
      <c r="H244" s="116">
        <v>44395</v>
      </c>
      <c r="I244" s="119">
        <v>2016.16</v>
      </c>
      <c r="J244" s="119">
        <f t="shared" si="22"/>
        <v>875.58</v>
      </c>
      <c r="M244" s="110"/>
      <c r="P244">
        <v>1.45</v>
      </c>
      <c r="Q244" t="s">
        <v>82</v>
      </c>
      <c r="R244" t="s">
        <v>289</v>
      </c>
      <c r="S244">
        <v>0</v>
      </c>
      <c r="T244">
        <v>0.92</v>
      </c>
      <c r="U244" s="119">
        <f t="shared" si="20"/>
        <v>67.017399999999995</v>
      </c>
    </row>
    <row r="245" spans="1:21" x14ac:dyDescent="0.3">
      <c r="A245" t="s">
        <v>25</v>
      </c>
      <c r="B245" t="s">
        <v>164</v>
      </c>
      <c r="C245">
        <v>14.933299999999999</v>
      </c>
      <c r="D245">
        <v>-91.816699999999997</v>
      </c>
      <c r="E245" t="s">
        <v>1</v>
      </c>
      <c r="F245" t="s">
        <v>2</v>
      </c>
      <c r="G245" t="s">
        <v>351</v>
      </c>
      <c r="H245" s="116">
        <v>12892</v>
      </c>
      <c r="I245" s="119">
        <v>2014.61</v>
      </c>
      <c r="J245" s="119">
        <f t="shared" si="22"/>
        <v>874.91</v>
      </c>
      <c r="M245" s="110"/>
      <c r="P245">
        <v>1.45</v>
      </c>
      <c r="Q245" t="s">
        <v>52</v>
      </c>
      <c r="R245" t="s">
        <v>134</v>
      </c>
      <c r="S245">
        <v>0</v>
      </c>
      <c r="T245">
        <v>0.92</v>
      </c>
      <c r="U245" s="119">
        <f t="shared" si="20"/>
        <v>66.506800000000013</v>
      </c>
    </row>
    <row r="246" spans="1:21" x14ac:dyDescent="0.3">
      <c r="A246" t="s">
        <v>25</v>
      </c>
      <c r="B246" t="s">
        <v>106</v>
      </c>
      <c r="C246">
        <v>15.164199999999999</v>
      </c>
      <c r="D246">
        <v>-91.933300000000003</v>
      </c>
      <c r="E246" t="s">
        <v>1</v>
      </c>
      <c r="F246" t="s">
        <v>2</v>
      </c>
      <c r="G246" t="s">
        <v>351</v>
      </c>
      <c r="H246" s="116">
        <v>22375</v>
      </c>
      <c r="I246" s="119">
        <v>2016.15</v>
      </c>
      <c r="J246" s="119">
        <f t="shared" si="22"/>
        <v>875.58</v>
      </c>
      <c r="M246" s="110"/>
      <c r="P246">
        <v>1.45</v>
      </c>
      <c r="Q246" t="s">
        <v>52</v>
      </c>
      <c r="R246" t="s">
        <v>51</v>
      </c>
      <c r="S246">
        <v>0</v>
      </c>
      <c r="T246">
        <v>0.92</v>
      </c>
      <c r="U246" s="119">
        <f t="shared" si="20"/>
        <v>61.486666666666665</v>
      </c>
    </row>
    <row r="247" spans="1:21" x14ac:dyDescent="0.3">
      <c r="A247" t="s">
        <v>25</v>
      </c>
      <c r="B247" t="s">
        <v>112</v>
      </c>
      <c r="C247">
        <v>14.5791</v>
      </c>
      <c r="D247">
        <v>-92.141400000000004</v>
      </c>
      <c r="E247" t="s">
        <v>1</v>
      </c>
      <c r="F247" t="s">
        <v>2</v>
      </c>
      <c r="G247" t="s">
        <v>351</v>
      </c>
      <c r="H247" s="116">
        <v>29112</v>
      </c>
      <c r="I247" s="119">
        <v>2012.25</v>
      </c>
      <c r="J247" s="119">
        <f t="shared" si="22"/>
        <v>873.88</v>
      </c>
      <c r="M247" s="110"/>
      <c r="P247">
        <v>1.45</v>
      </c>
      <c r="Q247" t="s">
        <v>52</v>
      </c>
      <c r="R247" t="s">
        <v>101</v>
      </c>
      <c r="S247">
        <v>0</v>
      </c>
      <c r="T247">
        <v>0.92</v>
      </c>
      <c r="U247" s="119">
        <f t="shared" si="20"/>
        <v>61.480533333333334</v>
      </c>
    </row>
    <row r="248" spans="1:21" x14ac:dyDescent="0.3">
      <c r="A248" t="s">
        <v>25</v>
      </c>
      <c r="B248" t="s">
        <v>250</v>
      </c>
      <c r="C248">
        <v>14.801</v>
      </c>
      <c r="D248">
        <v>-91.822299999999998</v>
      </c>
      <c r="E248" t="s">
        <v>1</v>
      </c>
      <c r="F248" t="s">
        <v>2</v>
      </c>
      <c r="G248" t="s">
        <v>351</v>
      </c>
      <c r="H248" s="116">
        <v>17918</v>
      </c>
      <c r="I248" s="119">
        <v>2013.73</v>
      </c>
      <c r="J248" s="119">
        <f t="shared" si="22"/>
        <v>874.53</v>
      </c>
      <c r="M248" s="110"/>
      <c r="P248">
        <v>1.45</v>
      </c>
      <c r="Q248" t="s">
        <v>52</v>
      </c>
      <c r="R248" t="s">
        <v>196</v>
      </c>
      <c r="S248">
        <v>0</v>
      </c>
      <c r="T248">
        <v>0.92</v>
      </c>
      <c r="U248" s="119">
        <f t="shared" si="20"/>
        <v>61.492033333333339</v>
      </c>
    </row>
    <row r="249" spans="1:21" x14ac:dyDescent="0.3">
      <c r="A249" t="s">
        <v>25</v>
      </c>
      <c r="B249" t="s">
        <v>24</v>
      </c>
      <c r="C249">
        <v>14.912100000000001</v>
      </c>
      <c r="D249">
        <v>-92.060599999999994</v>
      </c>
      <c r="E249" t="s">
        <v>1</v>
      </c>
      <c r="F249" t="s">
        <v>2</v>
      </c>
      <c r="G249" t="s">
        <v>351</v>
      </c>
      <c r="H249" s="116">
        <v>92816</v>
      </c>
      <c r="I249" s="119">
        <v>2014.47</v>
      </c>
      <c r="J249" s="119">
        <f t="shared" si="22"/>
        <v>874.85</v>
      </c>
      <c r="M249" s="110"/>
      <c r="P249">
        <v>1.45</v>
      </c>
      <c r="Q249" t="s">
        <v>52</v>
      </c>
      <c r="R249" t="s">
        <v>210</v>
      </c>
      <c r="S249">
        <v>0</v>
      </c>
      <c r="T249">
        <v>0.92</v>
      </c>
      <c r="U249" s="119">
        <f t="shared" si="20"/>
        <v>61.484366666666666</v>
      </c>
    </row>
    <row r="250" spans="1:21" x14ac:dyDescent="0.3">
      <c r="A250" t="s">
        <v>25</v>
      </c>
      <c r="B250" t="s">
        <v>232</v>
      </c>
      <c r="C250">
        <v>14.791700000000001</v>
      </c>
      <c r="D250">
        <v>-91.919499999999999</v>
      </c>
      <c r="E250" t="s">
        <v>1</v>
      </c>
      <c r="F250" t="s">
        <v>2</v>
      </c>
      <c r="G250" t="s">
        <v>351</v>
      </c>
      <c r="H250" s="116">
        <v>30067</v>
      </c>
      <c r="I250" s="119">
        <v>2013.66</v>
      </c>
      <c r="J250" s="119">
        <f t="shared" si="22"/>
        <v>874.5</v>
      </c>
      <c r="M250" s="110"/>
      <c r="P250">
        <v>1.45</v>
      </c>
      <c r="Q250" t="s">
        <v>52</v>
      </c>
      <c r="R250" t="s">
        <v>152</v>
      </c>
      <c r="S250">
        <v>0</v>
      </c>
      <c r="T250">
        <v>0.92</v>
      </c>
      <c r="U250" s="119">
        <f t="shared" si="20"/>
        <v>61.492800000000003</v>
      </c>
    </row>
    <row r="251" spans="1:21" x14ac:dyDescent="0.3">
      <c r="A251" t="s">
        <v>25</v>
      </c>
      <c r="B251" t="s">
        <v>126</v>
      </c>
      <c r="C251">
        <v>14.5138</v>
      </c>
      <c r="D251">
        <v>-92.190899999999999</v>
      </c>
      <c r="E251" t="s">
        <v>1</v>
      </c>
      <c r="F251" t="s">
        <v>2</v>
      </c>
      <c r="G251" t="s">
        <v>351</v>
      </c>
      <c r="H251" s="116">
        <v>10841</v>
      </c>
      <c r="I251" s="119">
        <v>2011.81</v>
      </c>
      <c r="J251" s="119">
        <f t="shared" si="22"/>
        <v>873.69</v>
      </c>
      <c r="M251" s="110"/>
      <c r="P251">
        <v>1.45</v>
      </c>
      <c r="Q251" t="s">
        <v>52</v>
      </c>
      <c r="R251" t="s">
        <v>195</v>
      </c>
      <c r="S251">
        <v>0</v>
      </c>
      <c r="T251">
        <v>0.92</v>
      </c>
      <c r="U251" s="119">
        <f t="shared" si="20"/>
        <v>61.482833333333332</v>
      </c>
    </row>
    <row r="252" spans="1:21" x14ac:dyDescent="0.3">
      <c r="A252" t="s">
        <v>25</v>
      </c>
      <c r="B252" t="s">
        <v>139</v>
      </c>
      <c r="C252">
        <v>14.724299999999999</v>
      </c>
      <c r="D252">
        <v>-92.0334</v>
      </c>
      <c r="E252" t="s">
        <v>1</v>
      </c>
      <c r="F252" t="s">
        <v>2</v>
      </c>
      <c r="G252" t="s">
        <v>351</v>
      </c>
      <c r="H252" s="116">
        <v>21725</v>
      </c>
      <c r="I252" s="119">
        <v>2013.21</v>
      </c>
      <c r="J252" s="119">
        <f t="shared" si="22"/>
        <v>874.3</v>
      </c>
      <c r="M252" s="110"/>
      <c r="P252">
        <v>1.45</v>
      </c>
      <c r="Q252" t="s">
        <v>52</v>
      </c>
      <c r="R252" t="s">
        <v>201</v>
      </c>
      <c r="S252">
        <v>0</v>
      </c>
      <c r="T252">
        <v>0.92</v>
      </c>
      <c r="U252" s="119">
        <f t="shared" si="20"/>
        <v>61.495866666666672</v>
      </c>
    </row>
    <row r="253" spans="1:21" x14ac:dyDescent="0.3">
      <c r="A253" t="s">
        <v>25</v>
      </c>
      <c r="B253" t="s">
        <v>262</v>
      </c>
      <c r="C253">
        <v>15.0382</v>
      </c>
      <c r="D253">
        <v>-91.684600000000003</v>
      </c>
      <c r="E253" t="s">
        <v>1</v>
      </c>
      <c r="F253" t="s">
        <v>2</v>
      </c>
      <c r="G253" t="s">
        <v>351</v>
      </c>
      <c r="H253" s="116">
        <v>5318</v>
      </c>
      <c r="I253" s="119">
        <v>2015.31</v>
      </c>
      <c r="J253" s="119">
        <f t="shared" si="22"/>
        <v>875.21</v>
      </c>
      <c r="M253" s="110"/>
      <c r="P253">
        <v>1.45</v>
      </c>
      <c r="Q253" t="s">
        <v>52</v>
      </c>
      <c r="R253" t="s">
        <v>111</v>
      </c>
      <c r="S253">
        <v>0</v>
      </c>
      <c r="T253">
        <v>0.92</v>
      </c>
      <c r="U253" s="119">
        <f t="shared" si="20"/>
        <v>61.496633333333335</v>
      </c>
    </row>
    <row r="254" spans="1:21" x14ac:dyDescent="0.3">
      <c r="A254" t="s">
        <v>25</v>
      </c>
      <c r="B254" t="s">
        <v>129</v>
      </c>
      <c r="C254">
        <v>14.966699999999999</v>
      </c>
      <c r="D254">
        <v>-91.7333</v>
      </c>
      <c r="E254" t="s">
        <v>1</v>
      </c>
      <c r="F254" t="s">
        <v>2</v>
      </c>
      <c r="G254" t="s">
        <v>351</v>
      </c>
      <c r="H254" s="116">
        <v>19100</v>
      </c>
      <c r="I254" s="119">
        <v>2014.82</v>
      </c>
      <c r="J254" s="119">
        <f t="shared" si="22"/>
        <v>875</v>
      </c>
      <c r="M254" s="110"/>
      <c r="P254">
        <v>1.45</v>
      </c>
      <c r="Q254" t="s">
        <v>52</v>
      </c>
      <c r="R254" t="s">
        <v>238</v>
      </c>
      <c r="S254">
        <v>0</v>
      </c>
      <c r="T254">
        <v>0.92</v>
      </c>
      <c r="U254" s="119">
        <f t="shared" si="20"/>
        <v>61.479000000000006</v>
      </c>
    </row>
    <row r="255" spans="1:21" x14ac:dyDescent="0.3">
      <c r="A255" t="s">
        <v>25</v>
      </c>
      <c r="B255" t="s">
        <v>143</v>
      </c>
      <c r="C255">
        <v>14.9</v>
      </c>
      <c r="D255">
        <v>-91.783299999999997</v>
      </c>
      <c r="E255" t="s">
        <v>1</v>
      </c>
      <c r="F255" t="s">
        <v>2</v>
      </c>
      <c r="G255" t="s">
        <v>351</v>
      </c>
      <c r="H255" s="116">
        <v>16619</v>
      </c>
      <c r="I255" s="119">
        <v>2014.39</v>
      </c>
      <c r="J255" s="119">
        <f t="shared" si="22"/>
        <v>874.81</v>
      </c>
      <c r="M255" s="110"/>
      <c r="P255">
        <v>1.45</v>
      </c>
      <c r="Q255" t="s">
        <v>52</v>
      </c>
      <c r="R255" t="s">
        <v>206</v>
      </c>
      <c r="S255">
        <v>0</v>
      </c>
      <c r="T255">
        <v>0.92</v>
      </c>
      <c r="U255" s="119">
        <f t="shared" si="20"/>
        <v>61.48513333333333</v>
      </c>
    </row>
    <row r="256" spans="1:21" x14ac:dyDescent="0.3">
      <c r="A256" t="s">
        <v>25</v>
      </c>
      <c r="B256" t="s">
        <v>336</v>
      </c>
      <c r="C256">
        <v>14.9145</v>
      </c>
      <c r="D256">
        <v>-91.976299999999995</v>
      </c>
      <c r="E256" t="s">
        <v>1</v>
      </c>
      <c r="F256" t="s">
        <v>2</v>
      </c>
      <c r="G256" t="s">
        <v>351</v>
      </c>
      <c r="H256" s="116">
        <v>17881</v>
      </c>
      <c r="I256" s="119">
        <v>2014.48</v>
      </c>
      <c r="J256" s="119">
        <f t="shared" si="22"/>
        <v>874.85</v>
      </c>
      <c r="M256" s="110"/>
      <c r="P256">
        <v>1.45</v>
      </c>
      <c r="Q256" t="s">
        <v>52</v>
      </c>
      <c r="R256" t="s">
        <v>203</v>
      </c>
      <c r="S256">
        <v>0</v>
      </c>
      <c r="T256">
        <v>0.92</v>
      </c>
      <c r="U256" s="119">
        <f t="shared" si="20"/>
        <v>61.490499999999997</v>
      </c>
    </row>
    <row r="257" spans="1:21" x14ac:dyDescent="0.3">
      <c r="A257" t="s">
        <v>25</v>
      </c>
      <c r="B257" t="s">
        <v>128</v>
      </c>
      <c r="C257">
        <v>15.216699999999999</v>
      </c>
      <c r="D257">
        <v>-91.966700000000003</v>
      </c>
      <c r="E257" t="s">
        <v>1</v>
      </c>
      <c r="F257" t="s">
        <v>2</v>
      </c>
      <c r="G257" t="s">
        <v>351</v>
      </c>
      <c r="H257" s="116">
        <v>19009</v>
      </c>
      <c r="I257" s="119">
        <v>2016.52</v>
      </c>
      <c r="J257" s="119">
        <f t="shared" si="22"/>
        <v>875.74</v>
      </c>
      <c r="M257" s="110"/>
      <c r="P257">
        <v>1.45</v>
      </c>
      <c r="Q257" t="s">
        <v>52</v>
      </c>
      <c r="R257" t="s">
        <v>146</v>
      </c>
      <c r="S257">
        <v>0</v>
      </c>
      <c r="T257">
        <v>0.92</v>
      </c>
      <c r="U257" s="119">
        <f t="shared" si="20"/>
        <v>66.50833333333334</v>
      </c>
    </row>
    <row r="258" spans="1:21" x14ac:dyDescent="0.3">
      <c r="A258" t="s">
        <v>25</v>
      </c>
      <c r="B258" t="s">
        <v>235</v>
      </c>
      <c r="C258">
        <v>15.030900000000001</v>
      </c>
      <c r="D258">
        <v>-91.735299999999995</v>
      </c>
      <c r="E258" t="s">
        <v>1</v>
      </c>
      <c r="F258" t="s">
        <v>2</v>
      </c>
      <c r="G258" t="s">
        <v>351</v>
      </c>
      <c r="H258" s="116">
        <v>13125</v>
      </c>
      <c r="I258" s="119">
        <v>2015.26</v>
      </c>
      <c r="J258" s="119">
        <f t="shared" si="22"/>
        <v>875.19</v>
      </c>
      <c r="M258" s="110"/>
      <c r="P258">
        <v>1.45</v>
      </c>
      <c r="Q258" t="s">
        <v>52</v>
      </c>
      <c r="R258" t="s">
        <v>100</v>
      </c>
      <c r="S258">
        <v>0</v>
      </c>
      <c r="T258">
        <v>0.92</v>
      </c>
      <c r="U258" s="119">
        <f t="shared" si="20"/>
        <v>61.504300000000008</v>
      </c>
    </row>
    <row r="259" spans="1:21" x14ac:dyDescent="0.3">
      <c r="A259" t="s">
        <v>25</v>
      </c>
      <c r="B259" t="s">
        <v>25</v>
      </c>
      <c r="C259">
        <v>14.965299999999999</v>
      </c>
      <c r="D259">
        <v>-91.7958</v>
      </c>
      <c r="E259" t="s">
        <v>1</v>
      </c>
      <c r="F259" t="s">
        <v>2</v>
      </c>
      <c r="G259" t="s">
        <v>350</v>
      </c>
      <c r="H259" s="116">
        <v>47063</v>
      </c>
      <c r="I259" s="119">
        <v>2014.82</v>
      </c>
      <c r="J259" s="119">
        <v>875</v>
      </c>
      <c r="K259" s="118">
        <f>J259/I259</f>
        <v>0.43428197059786977</v>
      </c>
      <c r="M259" s="110"/>
      <c r="P259">
        <v>1.45</v>
      </c>
      <c r="Q259" t="s">
        <v>52</v>
      </c>
      <c r="R259" t="s">
        <v>230</v>
      </c>
      <c r="S259">
        <v>0</v>
      </c>
      <c r="T259">
        <v>0.92</v>
      </c>
      <c r="U259" s="119">
        <f t="shared" ref="U259:U322" si="23">SUMIFS($J$2:$J$341,$A$2:$A$341,Q259,$B$2:$B$341,R259)/12*T259</f>
        <v>61.509666666666668</v>
      </c>
    </row>
    <row r="260" spans="1:21" x14ac:dyDescent="0.3">
      <c r="A260" t="s">
        <v>25</v>
      </c>
      <c r="B260" t="s">
        <v>85</v>
      </c>
      <c r="C260">
        <v>15.25</v>
      </c>
      <c r="D260">
        <v>-91.75</v>
      </c>
      <c r="E260" t="s">
        <v>1</v>
      </c>
      <c r="F260" t="s">
        <v>2</v>
      </c>
      <c r="G260" t="s">
        <v>351</v>
      </c>
      <c r="H260" s="116">
        <v>47301</v>
      </c>
      <c r="I260" s="119">
        <v>2016.69</v>
      </c>
      <c r="J260" s="119">
        <f t="shared" ref="J260:J268" si="24">ROUND(K$259*I260,2)</f>
        <v>875.81</v>
      </c>
      <c r="M260" s="110"/>
      <c r="P260">
        <v>1.45</v>
      </c>
      <c r="Q260" t="s">
        <v>52</v>
      </c>
      <c r="R260" t="s">
        <v>209</v>
      </c>
      <c r="S260">
        <v>0</v>
      </c>
      <c r="T260">
        <v>0.92</v>
      </c>
      <c r="U260" s="119">
        <f t="shared" si="23"/>
        <v>61.503533333333344</v>
      </c>
    </row>
    <row r="261" spans="1:21" x14ac:dyDescent="0.3">
      <c r="A261" t="s">
        <v>25</v>
      </c>
      <c r="B261" t="s">
        <v>225</v>
      </c>
      <c r="C261">
        <v>14.932700000000001</v>
      </c>
      <c r="D261">
        <v>-92.004099999999994</v>
      </c>
      <c r="E261" t="s">
        <v>1</v>
      </c>
      <c r="F261" t="s">
        <v>2</v>
      </c>
      <c r="G261" t="s">
        <v>351</v>
      </c>
      <c r="H261" s="116">
        <v>48937</v>
      </c>
      <c r="I261" s="119">
        <v>2014.6</v>
      </c>
      <c r="J261" s="119">
        <f t="shared" si="24"/>
        <v>874.9</v>
      </c>
      <c r="M261" s="110"/>
      <c r="P261">
        <v>1.45</v>
      </c>
      <c r="Q261" t="s">
        <v>25</v>
      </c>
      <c r="R261" t="s">
        <v>335</v>
      </c>
      <c r="S261">
        <v>0</v>
      </c>
      <c r="T261">
        <v>0.92</v>
      </c>
      <c r="U261" s="119">
        <f t="shared" si="23"/>
        <v>67.020466666666664</v>
      </c>
    </row>
    <row r="262" spans="1:21" x14ac:dyDescent="0.3">
      <c r="A262" t="s">
        <v>25</v>
      </c>
      <c r="B262" t="s">
        <v>36</v>
      </c>
      <c r="C262">
        <v>14.9664</v>
      </c>
      <c r="D262">
        <v>-91.777500000000003</v>
      </c>
      <c r="E262" t="s">
        <v>1</v>
      </c>
      <c r="F262" t="s">
        <v>2</v>
      </c>
      <c r="G262" t="s">
        <v>351</v>
      </c>
      <c r="H262" s="116">
        <v>79158</v>
      </c>
      <c r="I262" s="119">
        <v>2014.83</v>
      </c>
      <c r="J262" s="119">
        <f t="shared" si="24"/>
        <v>875</v>
      </c>
      <c r="M262" s="110"/>
      <c r="P262">
        <v>1.45</v>
      </c>
      <c r="Q262" t="s">
        <v>25</v>
      </c>
      <c r="R262" t="s">
        <v>221</v>
      </c>
      <c r="S262">
        <v>0</v>
      </c>
      <c r="T262">
        <v>0.92</v>
      </c>
      <c r="U262" s="119">
        <f t="shared" si="23"/>
        <v>67.058033333333341</v>
      </c>
    </row>
    <row r="263" spans="1:21" x14ac:dyDescent="0.3">
      <c r="A263" t="s">
        <v>25</v>
      </c>
      <c r="B263" t="s">
        <v>148</v>
      </c>
      <c r="C263">
        <v>14.933299999999999</v>
      </c>
      <c r="D263">
        <v>-91.916700000000006</v>
      </c>
      <c r="E263" t="s">
        <v>1</v>
      </c>
      <c r="F263" t="s">
        <v>2</v>
      </c>
      <c r="G263" t="s">
        <v>351</v>
      </c>
      <c r="H263" s="116">
        <v>17139</v>
      </c>
      <c r="I263" s="119">
        <v>2014.6</v>
      </c>
      <c r="J263" s="119">
        <f t="shared" si="24"/>
        <v>874.9</v>
      </c>
      <c r="M263" s="110"/>
      <c r="P263">
        <v>1.45</v>
      </c>
      <c r="Q263" t="s">
        <v>25</v>
      </c>
      <c r="R263" t="s">
        <v>50</v>
      </c>
      <c r="S263">
        <v>0</v>
      </c>
      <c r="T263">
        <v>0.92</v>
      </c>
      <c r="U263" s="119">
        <f t="shared" si="23"/>
        <v>67.110933333333335</v>
      </c>
    </row>
    <row r="264" spans="1:21" x14ac:dyDescent="0.3">
      <c r="A264" t="s">
        <v>25</v>
      </c>
      <c r="B264" t="s">
        <v>107</v>
      </c>
      <c r="C264">
        <v>15.1333</v>
      </c>
      <c r="D264">
        <v>-92.05</v>
      </c>
      <c r="E264" t="s">
        <v>1</v>
      </c>
      <c r="F264" t="s">
        <v>2</v>
      </c>
      <c r="G264" t="s">
        <v>351</v>
      </c>
      <c r="H264" s="116">
        <v>15733</v>
      </c>
      <c r="I264" s="119">
        <v>2015.95</v>
      </c>
      <c r="J264" s="119">
        <f t="shared" si="24"/>
        <v>875.49</v>
      </c>
      <c r="M264" s="110"/>
      <c r="P264">
        <v>1.45</v>
      </c>
      <c r="Q264" t="s">
        <v>25</v>
      </c>
      <c r="R264" t="s">
        <v>53</v>
      </c>
      <c r="S264">
        <v>0</v>
      </c>
      <c r="T264">
        <v>0.92</v>
      </c>
      <c r="U264" s="119">
        <f t="shared" si="23"/>
        <v>67.153866666666659</v>
      </c>
    </row>
    <row r="265" spans="1:21" x14ac:dyDescent="0.3">
      <c r="A265" t="s">
        <v>25</v>
      </c>
      <c r="B265" t="s">
        <v>132</v>
      </c>
      <c r="C265">
        <v>15.2128</v>
      </c>
      <c r="D265">
        <v>-91.634200000000007</v>
      </c>
      <c r="E265" t="s">
        <v>1</v>
      </c>
      <c r="F265" t="s">
        <v>2</v>
      </c>
      <c r="G265" t="s">
        <v>351</v>
      </c>
      <c r="H265" s="116">
        <v>20178</v>
      </c>
      <c r="I265" s="119">
        <v>2016.48</v>
      </c>
      <c r="J265" s="119">
        <f t="shared" si="24"/>
        <v>875.72</v>
      </c>
      <c r="M265" s="110"/>
      <c r="P265">
        <v>1.45</v>
      </c>
      <c r="Q265" t="s">
        <v>25</v>
      </c>
      <c r="R265" t="s">
        <v>130</v>
      </c>
      <c r="S265">
        <v>0</v>
      </c>
      <c r="T265">
        <v>0.92</v>
      </c>
      <c r="U265" s="119">
        <f t="shared" si="23"/>
        <v>67.039633333333327</v>
      </c>
    </row>
    <row r="266" spans="1:21" x14ac:dyDescent="0.3">
      <c r="A266" t="s">
        <v>25</v>
      </c>
      <c r="B266" t="s">
        <v>29</v>
      </c>
      <c r="C266">
        <v>15.2415</v>
      </c>
      <c r="D266">
        <v>-92.068399999999997</v>
      </c>
      <c r="E266" t="s">
        <v>1</v>
      </c>
      <c r="F266" t="s">
        <v>2</v>
      </c>
      <c r="G266" t="s">
        <v>351</v>
      </c>
      <c r="H266" s="116">
        <v>75788</v>
      </c>
      <c r="I266" s="119">
        <v>2016.67</v>
      </c>
      <c r="J266" s="119">
        <f t="shared" si="24"/>
        <v>875.8</v>
      </c>
      <c r="M266" s="110"/>
      <c r="P266">
        <v>1.45</v>
      </c>
      <c r="Q266" t="s">
        <v>25</v>
      </c>
      <c r="R266" t="s">
        <v>78</v>
      </c>
      <c r="S266">
        <v>0</v>
      </c>
      <c r="T266">
        <v>0.92</v>
      </c>
      <c r="U266" s="119">
        <f t="shared" si="23"/>
        <v>67.127800000000008</v>
      </c>
    </row>
    <row r="267" spans="1:21" x14ac:dyDescent="0.3">
      <c r="A267" t="s">
        <v>25</v>
      </c>
      <c r="B267" t="s">
        <v>63</v>
      </c>
      <c r="C267">
        <v>15.083640000000001</v>
      </c>
      <c r="D267">
        <v>-91.92295</v>
      </c>
      <c r="E267" t="s">
        <v>1</v>
      </c>
      <c r="F267" t="s">
        <v>2</v>
      </c>
      <c r="G267" t="s">
        <v>351</v>
      </c>
      <c r="H267" s="116">
        <v>50907</v>
      </c>
      <c r="I267" s="119">
        <v>2015.61</v>
      </c>
      <c r="J267" s="119">
        <f t="shared" si="24"/>
        <v>875.34</v>
      </c>
      <c r="M267" s="110"/>
      <c r="P267">
        <v>1.45</v>
      </c>
      <c r="Q267" t="s">
        <v>25</v>
      </c>
      <c r="R267" t="s">
        <v>164</v>
      </c>
      <c r="S267">
        <v>0</v>
      </c>
      <c r="T267">
        <v>0.92</v>
      </c>
      <c r="U267" s="119">
        <f t="shared" si="23"/>
        <v>67.076433333333327</v>
      </c>
    </row>
    <row r="268" spans="1:21" x14ac:dyDescent="0.3">
      <c r="A268" t="s">
        <v>25</v>
      </c>
      <c r="B268" t="s">
        <v>246</v>
      </c>
      <c r="C268">
        <v>15.1225</v>
      </c>
      <c r="D268">
        <v>-91.806399999999996</v>
      </c>
      <c r="E268" t="s">
        <v>1</v>
      </c>
      <c r="F268" t="s">
        <v>2</v>
      </c>
      <c r="G268" t="s">
        <v>351</v>
      </c>
      <c r="H268" s="116">
        <v>38669</v>
      </c>
      <c r="I268" s="119">
        <v>2015.87</v>
      </c>
      <c r="J268" s="119">
        <f t="shared" si="24"/>
        <v>875.46</v>
      </c>
      <c r="M268" s="110"/>
      <c r="P268">
        <v>1.45</v>
      </c>
      <c r="Q268" t="s">
        <v>25</v>
      </c>
      <c r="R268" t="s">
        <v>106</v>
      </c>
      <c r="S268">
        <v>0</v>
      </c>
      <c r="T268">
        <v>0.92</v>
      </c>
      <c r="U268" s="119">
        <f t="shared" si="23"/>
        <v>67.127800000000008</v>
      </c>
    </row>
    <row r="269" spans="1:21" x14ac:dyDescent="0.3">
      <c r="A269" t="s">
        <v>99</v>
      </c>
      <c r="B269" t="s">
        <v>236</v>
      </c>
      <c r="C269">
        <v>14.316700000000001</v>
      </c>
      <c r="D269">
        <v>-90.366699999999994</v>
      </c>
      <c r="E269" t="s">
        <v>1</v>
      </c>
      <c r="F269" t="s">
        <v>2</v>
      </c>
      <c r="G269" t="s">
        <v>351</v>
      </c>
      <c r="H269" s="116">
        <v>58276</v>
      </c>
      <c r="I269" s="119">
        <v>2038.02</v>
      </c>
      <c r="J269" s="119">
        <f>ROUND(K$272*I269,2)</f>
        <v>885.12</v>
      </c>
      <c r="M269" s="110"/>
      <c r="P269">
        <v>1.45</v>
      </c>
      <c r="Q269" t="s">
        <v>25</v>
      </c>
      <c r="R269" t="s">
        <v>112</v>
      </c>
      <c r="S269">
        <v>0</v>
      </c>
      <c r="T269">
        <v>0.92</v>
      </c>
      <c r="U269" s="119">
        <f t="shared" si="23"/>
        <v>66.997466666666668</v>
      </c>
    </row>
    <row r="270" spans="1:21" x14ac:dyDescent="0.3">
      <c r="A270" t="s">
        <v>99</v>
      </c>
      <c r="B270" t="s">
        <v>281</v>
      </c>
      <c r="C270">
        <v>14.4171</v>
      </c>
      <c r="D270">
        <v>-90.244200000000006</v>
      </c>
      <c r="E270" t="s">
        <v>1</v>
      </c>
      <c r="F270" t="s">
        <v>2</v>
      </c>
      <c r="G270" t="s">
        <v>351</v>
      </c>
      <c r="H270" s="116">
        <v>24956</v>
      </c>
      <c r="I270" s="119">
        <v>2038.68</v>
      </c>
      <c r="J270" s="119">
        <f>ROUND(K$272*I270,2)</f>
        <v>885.41</v>
      </c>
      <c r="M270" s="110"/>
      <c r="P270">
        <v>1.45</v>
      </c>
      <c r="Q270" t="s">
        <v>25</v>
      </c>
      <c r="R270" t="s">
        <v>250</v>
      </c>
      <c r="S270">
        <v>0</v>
      </c>
      <c r="T270">
        <v>0.92</v>
      </c>
      <c r="U270" s="119">
        <f t="shared" si="23"/>
        <v>67.047300000000007</v>
      </c>
    </row>
    <row r="271" spans="1:21" x14ac:dyDescent="0.3">
      <c r="A271" t="s">
        <v>99</v>
      </c>
      <c r="B271" t="s">
        <v>157</v>
      </c>
      <c r="C271">
        <v>14.085800000000001</v>
      </c>
      <c r="D271">
        <v>-90.382199999999997</v>
      </c>
      <c r="E271" t="s">
        <v>1</v>
      </c>
      <c r="F271" t="s">
        <v>2</v>
      </c>
      <c r="G271" t="s">
        <v>351</v>
      </c>
      <c r="H271" s="116">
        <v>53727</v>
      </c>
      <c r="I271" s="119">
        <v>2036.44</v>
      </c>
      <c r="J271" s="119">
        <f>ROUND(K$272*I271,2)</f>
        <v>884.44</v>
      </c>
      <c r="M271" s="110"/>
      <c r="P271">
        <v>1.45</v>
      </c>
      <c r="Q271" t="s">
        <v>25</v>
      </c>
      <c r="R271" t="s">
        <v>24</v>
      </c>
      <c r="S271">
        <v>0</v>
      </c>
      <c r="T271">
        <v>0.92</v>
      </c>
      <c r="U271" s="119">
        <f t="shared" si="23"/>
        <v>67.071833333333345</v>
      </c>
    </row>
    <row r="272" spans="1:21" x14ac:dyDescent="0.3">
      <c r="A272" t="s">
        <v>99</v>
      </c>
      <c r="B272" t="s">
        <v>98</v>
      </c>
      <c r="C272">
        <v>14.2783</v>
      </c>
      <c r="D272">
        <v>-90.299199999999999</v>
      </c>
      <c r="E272" t="s">
        <v>1</v>
      </c>
      <c r="F272" t="s">
        <v>2</v>
      </c>
      <c r="G272" t="s">
        <v>350</v>
      </c>
      <c r="H272" s="116">
        <v>41359</v>
      </c>
      <c r="I272" s="119">
        <v>2037.74</v>
      </c>
      <c r="J272" s="119">
        <v>885</v>
      </c>
      <c r="K272" s="118">
        <f>J272/I272</f>
        <v>0.43430467086085567</v>
      </c>
      <c r="M272" s="110"/>
      <c r="P272">
        <v>1.45</v>
      </c>
      <c r="Q272" t="s">
        <v>25</v>
      </c>
      <c r="R272" t="s">
        <v>232</v>
      </c>
      <c r="S272">
        <v>0</v>
      </c>
      <c r="T272">
        <v>0.92</v>
      </c>
      <c r="U272" s="119">
        <f t="shared" si="23"/>
        <v>67.045000000000002</v>
      </c>
    </row>
    <row r="273" spans="1:21" x14ac:dyDescent="0.3">
      <c r="A273" t="s">
        <v>99</v>
      </c>
      <c r="B273" t="s">
        <v>151</v>
      </c>
      <c r="C273">
        <v>14.075100000000001</v>
      </c>
      <c r="D273">
        <v>-90.4161</v>
      </c>
      <c r="E273" t="s">
        <v>1</v>
      </c>
      <c r="F273" t="s">
        <v>2</v>
      </c>
      <c r="G273" t="s">
        <v>351</v>
      </c>
      <c r="H273" s="116">
        <v>18855</v>
      </c>
      <c r="I273" s="119">
        <v>2036.37</v>
      </c>
      <c r="J273" s="119">
        <f t="shared" ref="J273:J282" si="25">ROUND(K$272*I273,2)</f>
        <v>884.41</v>
      </c>
      <c r="M273" s="110"/>
      <c r="P273">
        <v>1.45</v>
      </c>
      <c r="Q273" t="s">
        <v>25</v>
      </c>
      <c r="R273" t="s">
        <v>126</v>
      </c>
      <c r="S273">
        <v>0</v>
      </c>
      <c r="T273">
        <v>0.92</v>
      </c>
      <c r="U273" s="119">
        <f t="shared" si="23"/>
        <v>66.982900000000001</v>
      </c>
    </row>
    <row r="274" spans="1:21" x14ac:dyDescent="0.3">
      <c r="A274" t="s">
        <v>99</v>
      </c>
      <c r="B274" t="s">
        <v>240</v>
      </c>
      <c r="C274">
        <v>14.3811</v>
      </c>
      <c r="D274">
        <v>-90.2761</v>
      </c>
      <c r="E274" t="s">
        <v>1</v>
      </c>
      <c r="F274" t="s">
        <v>2</v>
      </c>
      <c r="G274" t="s">
        <v>351</v>
      </c>
      <c r="H274" s="116">
        <v>36454</v>
      </c>
      <c r="I274" s="119">
        <v>2038.44</v>
      </c>
      <c r="J274" s="119">
        <f t="shared" si="25"/>
        <v>885.3</v>
      </c>
      <c r="M274" s="110"/>
      <c r="P274">
        <v>1.45</v>
      </c>
      <c r="Q274" t="s">
        <v>25</v>
      </c>
      <c r="R274" t="s">
        <v>139</v>
      </c>
      <c r="S274">
        <v>0</v>
      </c>
      <c r="T274">
        <v>0.92</v>
      </c>
      <c r="U274" s="119">
        <f t="shared" si="23"/>
        <v>67.029666666666671</v>
      </c>
    </row>
    <row r="275" spans="1:21" x14ac:dyDescent="0.3">
      <c r="A275" t="s">
        <v>99</v>
      </c>
      <c r="B275" t="s">
        <v>305</v>
      </c>
      <c r="C275">
        <v>14.2281</v>
      </c>
      <c r="D275">
        <v>-90.175799999999995</v>
      </c>
      <c r="E275" t="s">
        <v>1</v>
      </c>
      <c r="F275" t="s">
        <v>2</v>
      </c>
      <c r="G275" t="s">
        <v>351</v>
      </c>
      <c r="H275" s="116">
        <v>24954</v>
      </c>
      <c r="I275" s="119">
        <v>2037.42</v>
      </c>
      <c r="J275" s="119">
        <f t="shared" si="25"/>
        <v>884.86</v>
      </c>
      <c r="M275" s="110"/>
      <c r="P275">
        <v>1.45</v>
      </c>
      <c r="Q275" t="s">
        <v>25</v>
      </c>
      <c r="R275" t="s">
        <v>262</v>
      </c>
      <c r="S275">
        <v>0</v>
      </c>
      <c r="T275">
        <v>0.92</v>
      </c>
      <c r="U275" s="119">
        <f t="shared" si="23"/>
        <v>67.099433333333337</v>
      </c>
    </row>
    <row r="276" spans="1:21" x14ac:dyDescent="0.3">
      <c r="A276" t="s">
        <v>99</v>
      </c>
      <c r="B276" t="s">
        <v>292</v>
      </c>
      <c r="C276">
        <v>14.2333</v>
      </c>
      <c r="D276">
        <v>-90.466700000000003</v>
      </c>
      <c r="E276" t="s">
        <v>1</v>
      </c>
      <c r="F276" t="s">
        <v>2</v>
      </c>
      <c r="G276" t="s">
        <v>351</v>
      </c>
      <c r="H276" s="116">
        <v>25529</v>
      </c>
      <c r="I276" s="119">
        <v>2037.45</v>
      </c>
      <c r="J276" s="119">
        <f t="shared" si="25"/>
        <v>884.87</v>
      </c>
      <c r="M276" s="110"/>
      <c r="P276">
        <v>1.45</v>
      </c>
      <c r="Q276" t="s">
        <v>25</v>
      </c>
      <c r="R276" t="s">
        <v>129</v>
      </c>
      <c r="S276">
        <v>0</v>
      </c>
      <c r="T276">
        <v>0.92</v>
      </c>
      <c r="U276" s="119">
        <f t="shared" si="23"/>
        <v>67.083333333333343</v>
      </c>
    </row>
    <row r="277" spans="1:21" x14ac:dyDescent="0.3">
      <c r="A277" t="s">
        <v>99</v>
      </c>
      <c r="B277" t="s">
        <v>286</v>
      </c>
      <c r="C277">
        <v>14.083600000000001</v>
      </c>
      <c r="D277">
        <v>-90.266400000000004</v>
      </c>
      <c r="E277" t="s">
        <v>1</v>
      </c>
      <c r="F277" t="s">
        <v>2</v>
      </c>
      <c r="G277" t="s">
        <v>351</v>
      </c>
      <c r="H277" s="116">
        <v>10122</v>
      </c>
      <c r="I277" s="119">
        <v>2036.43</v>
      </c>
      <c r="J277" s="119">
        <f t="shared" si="25"/>
        <v>884.43</v>
      </c>
      <c r="M277" s="110"/>
      <c r="P277">
        <v>1.45</v>
      </c>
      <c r="Q277" t="s">
        <v>25</v>
      </c>
      <c r="R277" t="s">
        <v>143</v>
      </c>
      <c r="S277">
        <v>0</v>
      </c>
      <c r="T277">
        <v>0.92</v>
      </c>
      <c r="U277" s="119">
        <f t="shared" si="23"/>
        <v>67.068766666666662</v>
      </c>
    </row>
    <row r="278" spans="1:21" x14ac:dyDescent="0.3">
      <c r="A278" t="s">
        <v>99</v>
      </c>
      <c r="B278" t="s">
        <v>277</v>
      </c>
      <c r="C278">
        <v>14.481400000000001</v>
      </c>
      <c r="D278">
        <v>-90.173299999999998</v>
      </c>
      <c r="E278" t="s">
        <v>1</v>
      </c>
      <c r="F278" t="s">
        <v>2</v>
      </c>
      <c r="G278" t="s">
        <v>351</v>
      </c>
      <c r="H278" s="116">
        <v>12641</v>
      </c>
      <c r="I278" s="119">
        <v>2039.12</v>
      </c>
      <c r="J278" s="119">
        <f t="shared" si="25"/>
        <v>885.6</v>
      </c>
      <c r="M278" s="110"/>
      <c r="P278">
        <v>1.45</v>
      </c>
      <c r="Q278" t="s">
        <v>25</v>
      </c>
      <c r="R278" t="s">
        <v>336</v>
      </c>
      <c r="S278">
        <v>0</v>
      </c>
      <c r="T278">
        <v>0.92</v>
      </c>
      <c r="U278" s="119">
        <f t="shared" si="23"/>
        <v>67.071833333333345</v>
      </c>
    </row>
    <row r="279" spans="1:21" x14ac:dyDescent="0.3">
      <c r="A279" t="s">
        <v>99</v>
      </c>
      <c r="B279" t="s">
        <v>251</v>
      </c>
      <c r="C279">
        <v>14.3833</v>
      </c>
      <c r="D279">
        <v>-90.366699999999994</v>
      </c>
      <c r="E279" t="s">
        <v>1</v>
      </c>
      <c r="F279" t="s">
        <v>2</v>
      </c>
      <c r="G279" t="s">
        <v>351</v>
      </c>
      <c r="H279" s="116">
        <v>16385</v>
      </c>
      <c r="I279" s="119">
        <v>2038.45</v>
      </c>
      <c r="J279" s="119">
        <f t="shared" si="25"/>
        <v>885.31</v>
      </c>
      <c r="M279" s="110"/>
      <c r="P279">
        <v>1.45</v>
      </c>
      <c r="Q279" t="s">
        <v>25</v>
      </c>
      <c r="R279" t="s">
        <v>128</v>
      </c>
      <c r="S279">
        <v>0</v>
      </c>
      <c r="T279">
        <v>0.92</v>
      </c>
      <c r="U279" s="119">
        <f t="shared" si="23"/>
        <v>67.140066666666669</v>
      </c>
    </row>
    <row r="280" spans="1:21" x14ac:dyDescent="0.3">
      <c r="A280" t="s">
        <v>99</v>
      </c>
      <c r="B280" t="s">
        <v>278</v>
      </c>
      <c r="C280">
        <v>14.18988</v>
      </c>
      <c r="D280">
        <v>-90.276979999999995</v>
      </c>
      <c r="E280" t="s">
        <v>1</v>
      </c>
      <c r="F280" t="s">
        <v>2</v>
      </c>
      <c r="G280" t="s">
        <v>351</v>
      </c>
      <c r="H280" s="116">
        <v>23801</v>
      </c>
      <c r="I280" s="119">
        <v>2037.15</v>
      </c>
      <c r="J280" s="119">
        <f t="shared" si="25"/>
        <v>884.74</v>
      </c>
      <c r="M280" s="110"/>
      <c r="P280">
        <v>1.45</v>
      </c>
      <c r="Q280" t="s">
        <v>25</v>
      </c>
      <c r="R280" t="s">
        <v>235</v>
      </c>
      <c r="S280">
        <v>0</v>
      </c>
      <c r="T280">
        <v>0.92</v>
      </c>
      <c r="U280" s="119">
        <f t="shared" si="23"/>
        <v>67.09790000000001</v>
      </c>
    </row>
    <row r="281" spans="1:21" x14ac:dyDescent="0.3">
      <c r="A281" t="s">
        <v>99</v>
      </c>
      <c r="B281" t="s">
        <v>284</v>
      </c>
      <c r="C281">
        <v>14.3881</v>
      </c>
      <c r="D281">
        <v>-90.295599999999993</v>
      </c>
      <c r="E281" t="s">
        <v>1</v>
      </c>
      <c r="F281" t="s">
        <v>2</v>
      </c>
      <c r="G281" t="s">
        <v>351</v>
      </c>
      <c r="H281" s="116">
        <v>19702</v>
      </c>
      <c r="I281" s="119">
        <v>2038.49</v>
      </c>
      <c r="J281" s="119">
        <f t="shared" si="25"/>
        <v>885.33</v>
      </c>
      <c r="M281" s="110"/>
      <c r="P281">
        <v>1.45</v>
      </c>
      <c r="Q281" t="s">
        <v>25</v>
      </c>
      <c r="R281" t="s">
        <v>25</v>
      </c>
      <c r="S281">
        <v>0</v>
      </c>
      <c r="T281">
        <v>0.92</v>
      </c>
      <c r="U281" s="119">
        <f t="shared" si="23"/>
        <v>67.083333333333343</v>
      </c>
    </row>
    <row r="282" spans="1:21" x14ac:dyDescent="0.3">
      <c r="A282" t="s">
        <v>99</v>
      </c>
      <c r="B282" t="s">
        <v>120</v>
      </c>
      <c r="C282">
        <v>14.0716</v>
      </c>
      <c r="D282">
        <v>-90.464500000000001</v>
      </c>
      <c r="E282" t="s">
        <v>1</v>
      </c>
      <c r="F282" t="s">
        <v>2</v>
      </c>
      <c r="G282" t="s">
        <v>351</v>
      </c>
      <c r="H282" s="116">
        <v>29846</v>
      </c>
      <c r="I282" s="119">
        <v>2036.35</v>
      </c>
      <c r="J282" s="119">
        <f t="shared" si="25"/>
        <v>884.4</v>
      </c>
      <c r="M282" s="110"/>
      <c r="P282">
        <v>1.45</v>
      </c>
      <c r="Q282" t="s">
        <v>25</v>
      </c>
      <c r="R282" t="s">
        <v>85</v>
      </c>
      <c r="S282">
        <v>0</v>
      </c>
      <c r="T282">
        <v>0.92</v>
      </c>
      <c r="U282" s="119">
        <f t="shared" si="23"/>
        <v>67.14543333333333</v>
      </c>
    </row>
    <row r="283" spans="1:21" x14ac:dyDescent="0.3">
      <c r="A283" t="s">
        <v>40</v>
      </c>
      <c r="B283" t="s">
        <v>187</v>
      </c>
      <c r="C283">
        <v>14.783300000000001</v>
      </c>
      <c r="D283">
        <v>-91.15</v>
      </c>
      <c r="E283" t="s">
        <v>1</v>
      </c>
      <c r="F283" t="s">
        <v>2</v>
      </c>
      <c r="G283" t="s">
        <v>351</v>
      </c>
      <c r="H283" s="116">
        <v>6601</v>
      </c>
      <c r="I283" s="119">
        <v>1845.96</v>
      </c>
      <c r="J283" s="119">
        <f t="shared" ref="J283:J300" si="26">ROUND(K$301*I283,2)</f>
        <v>802.04</v>
      </c>
      <c r="M283" s="110"/>
      <c r="P283">
        <v>1.45</v>
      </c>
      <c r="Q283" t="s">
        <v>25</v>
      </c>
      <c r="R283" t="s">
        <v>225</v>
      </c>
      <c r="S283">
        <v>0</v>
      </c>
      <c r="T283">
        <v>0.92</v>
      </c>
      <c r="U283" s="119">
        <f t="shared" si="23"/>
        <v>67.075666666666663</v>
      </c>
    </row>
    <row r="284" spans="1:21" x14ac:dyDescent="0.3">
      <c r="A284" t="s">
        <v>40</v>
      </c>
      <c r="B284" t="s">
        <v>45</v>
      </c>
      <c r="C284">
        <v>14.8429</v>
      </c>
      <c r="D284">
        <v>-91.316999999999993</v>
      </c>
      <c r="E284" t="s">
        <v>1</v>
      </c>
      <c r="F284" t="s">
        <v>2</v>
      </c>
      <c r="G284" t="s">
        <v>351</v>
      </c>
      <c r="H284" s="116">
        <v>75430</v>
      </c>
      <c r="I284" s="119">
        <v>1846.29</v>
      </c>
      <c r="J284" s="119">
        <f t="shared" si="26"/>
        <v>802.18</v>
      </c>
      <c r="M284" s="110"/>
      <c r="P284">
        <v>1.45</v>
      </c>
      <c r="Q284" t="s">
        <v>25</v>
      </c>
      <c r="R284" t="s">
        <v>36</v>
      </c>
      <c r="S284">
        <v>0</v>
      </c>
      <c r="T284">
        <v>0.92</v>
      </c>
      <c r="U284" s="119">
        <f t="shared" si="23"/>
        <v>67.083333333333343</v>
      </c>
    </row>
    <row r="285" spans="1:21" x14ac:dyDescent="0.3">
      <c r="A285" t="s">
        <v>40</v>
      </c>
      <c r="B285" t="s">
        <v>163</v>
      </c>
      <c r="C285">
        <v>14.7361</v>
      </c>
      <c r="D285">
        <v>-91.155799999999999</v>
      </c>
      <c r="E285" t="s">
        <v>1</v>
      </c>
      <c r="F285" t="s">
        <v>2</v>
      </c>
      <c r="G285" t="s">
        <v>351</v>
      </c>
      <c r="H285" s="116">
        <v>15077</v>
      </c>
      <c r="I285" s="119">
        <v>1845.7</v>
      </c>
      <c r="J285" s="119">
        <f t="shared" si="26"/>
        <v>801.93</v>
      </c>
      <c r="M285" s="110"/>
      <c r="P285">
        <v>1.45</v>
      </c>
      <c r="Q285" t="s">
        <v>25</v>
      </c>
      <c r="R285" t="s">
        <v>148</v>
      </c>
      <c r="S285">
        <v>0</v>
      </c>
      <c r="T285">
        <v>0.92</v>
      </c>
      <c r="U285" s="119">
        <f t="shared" si="23"/>
        <v>67.075666666666663</v>
      </c>
    </row>
    <row r="286" spans="1:21" x14ac:dyDescent="0.3">
      <c r="A286" t="s">
        <v>40</v>
      </c>
      <c r="B286" t="s">
        <v>186</v>
      </c>
      <c r="C286">
        <v>14.744999999999999</v>
      </c>
      <c r="D286">
        <v>-91.135000000000005</v>
      </c>
      <c r="E286" t="s">
        <v>1</v>
      </c>
      <c r="F286" t="s">
        <v>2</v>
      </c>
      <c r="G286" t="s">
        <v>351</v>
      </c>
      <c r="H286" s="116">
        <v>13142</v>
      </c>
      <c r="I286" s="119">
        <v>1845.75</v>
      </c>
      <c r="J286" s="119">
        <f t="shared" si="26"/>
        <v>801.95</v>
      </c>
      <c r="M286" s="110"/>
      <c r="P286">
        <v>1.45</v>
      </c>
      <c r="Q286" t="s">
        <v>25</v>
      </c>
      <c r="R286" t="s">
        <v>107</v>
      </c>
      <c r="S286">
        <v>0</v>
      </c>
      <c r="T286">
        <v>0.92</v>
      </c>
      <c r="U286" s="119">
        <f t="shared" si="23"/>
        <v>67.120900000000006</v>
      </c>
    </row>
    <row r="287" spans="1:21" x14ac:dyDescent="0.3">
      <c r="A287" t="s">
        <v>40</v>
      </c>
      <c r="B287" t="s">
        <v>161</v>
      </c>
      <c r="C287">
        <v>14.7</v>
      </c>
      <c r="D287">
        <v>-91.116699999999994</v>
      </c>
      <c r="E287" t="s">
        <v>1</v>
      </c>
      <c r="F287" t="s">
        <v>2</v>
      </c>
      <c r="G287" t="s">
        <v>351</v>
      </c>
      <c r="H287" s="116">
        <v>14437</v>
      </c>
      <c r="I287" s="119">
        <v>1845.54</v>
      </c>
      <c r="J287" s="119">
        <f t="shared" si="26"/>
        <v>801.86</v>
      </c>
      <c r="M287" s="110"/>
      <c r="P287">
        <v>1.45</v>
      </c>
      <c r="Q287" t="s">
        <v>25</v>
      </c>
      <c r="R287" t="s">
        <v>132</v>
      </c>
      <c r="S287">
        <v>0</v>
      </c>
      <c r="T287">
        <v>0.92</v>
      </c>
      <c r="U287" s="119">
        <f t="shared" si="23"/>
        <v>67.138533333333342</v>
      </c>
    </row>
    <row r="288" spans="1:21" x14ac:dyDescent="0.3">
      <c r="A288" t="s">
        <v>40</v>
      </c>
      <c r="B288" t="s">
        <v>190</v>
      </c>
      <c r="C288">
        <v>14.7667</v>
      </c>
      <c r="D288">
        <v>-91.216700000000003</v>
      </c>
      <c r="E288" t="s">
        <v>1</v>
      </c>
      <c r="F288" t="s">
        <v>2</v>
      </c>
      <c r="G288" t="s">
        <v>351</v>
      </c>
      <c r="H288" s="116">
        <v>4068</v>
      </c>
      <c r="I288" s="119">
        <v>1845.86</v>
      </c>
      <c r="J288" s="119">
        <f t="shared" si="26"/>
        <v>802</v>
      </c>
      <c r="M288" s="110"/>
      <c r="P288">
        <v>1.45</v>
      </c>
      <c r="Q288" t="s">
        <v>25</v>
      </c>
      <c r="R288" t="s">
        <v>29</v>
      </c>
      <c r="S288">
        <v>0</v>
      </c>
      <c r="T288">
        <v>0.92</v>
      </c>
      <c r="U288" s="119">
        <f t="shared" si="23"/>
        <v>67.144666666666666</v>
      </c>
    </row>
    <row r="289" spans="1:21" x14ac:dyDescent="0.3">
      <c r="A289" t="s">
        <v>40</v>
      </c>
      <c r="B289" t="s">
        <v>168</v>
      </c>
      <c r="C289">
        <v>14.69453</v>
      </c>
      <c r="D289">
        <v>-91.287400000000005</v>
      </c>
      <c r="E289" t="s">
        <v>1</v>
      </c>
      <c r="F289" t="s">
        <v>2</v>
      </c>
      <c r="G289" t="s">
        <v>351</v>
      </c>
      <c r="H289" s="116">
        <v>12162</v>
      </c>
      <c r="I289" s="119">
        <v>1845.47</v>
      </c>
      <c r="J289" s="119">
        <f t="shared" si="26"/>
        <v>801.83</v>
      </c>
      <c r="M289" s="110"/>
      <c r="P289">
        <v>1.45</v>
      </c>
      <c r="Q289" t="s">
        <v>25</v>
      </c>
      <c r="R289" t="s">
        <v>63</v>
      </c>
      <c r="S289">
        <v>0</v>
      </c>
      <c r="T289">
        <v>0.92</v>
      </c>
      <c r="U289" s="119">
        <f t="shared" si="23"/>
        <v>67.109400000000008</v>
      </c>
    </row>
    <row r="290" spans="1:21" x14ac:dyDescent="0.3">
      <c r="A290" t="s">
        <v>40</v>
      </c>
      <c r="B290" t="s">
        <v>110</v>
      </c>
      <c r="C290">
        <v>14.6333</v>
      </c>
      <c r="D290">
        <v>-91.133300000000006</v>
      </c>
      <c r="E290" t="s">
        <v>1</v>
      </c>
      <c r="F290" t="s">
        <v>2</v>
      </c>
      <c r="G290" t="s">
        <v>351</v>
      </c>
      <c r="H290" s="116">
        <v>29772</v>
      </c>
      <c r="I290" s="119">
        <v>1845.12</v>
      </c>
      <c r="J290" s="119">
        <f t="shared" si="26"/>
        <v>801.67</v>
      </c>
      <c r="M290" s="110"/>
      <c r="P290">
        <v>1.45</v>
      </c>
      <c r="Q290" t="s">
        <v>25</v>
      </c>
      <c r="R290" t="s">
        <v>246</v>
      </c>
      <c r="S290">
        <v>0</v>
      </c>
      <c r="T290">
        <v>0.92</v>
      </c>
      <c r="U290" s="119">
        <f t="shared" si="23"/>
        <v>67.118600000000001</v>
      </c>
    </row>
    <row r="291" spans="1:21" x14ac:dyDescent="0.3">
      <c r="A291" t="s">
        <v>40</v>
      </c>
      <c r="B291" t="s">
        <v>191</v>
      </c>
      <c r="C291">
        <v>14.7248</v>
      </c>
      <c r="D291">
        <v>-91.258899999999997</v>
      </c>
      <c r="E291" t="s">
        <v>1</v>
      </c>
      <c r="F291" t="s">
        <v>2</v>
      </c>
      <c r="G291" t="s">
        <v>351</v>
      </c>
      <c r="H291" s="116">
        <v>2617</v>
      </c>
      <c r="I291" s="119">
        <v>1845.64</v>
      </c>
      <c r="J291" s="119">
        <f t="shared" si="26"/>
        <v>801.9</v>
      </c>
      <c r="M291" s="110"/>
      <c r="P291">
        <v>1.45</v>
      </c>
      <c r="Q291" t="s">
        <v>99</v>
      </c>
      <c r="R291" t="s">
        <v>236</v>
      </c>
      <c r="S291">
        <v>0</v>
      </c>
      <c r="T291">
        <v>0.92</v>
      </c>
      <c r="U291" s="119">
        <f t="shared" si="23"/>
        <v>67.859200000000001</v>
      </c>
    </row>
    <row r="292" spans="1:21" x14ac:dyDescent="0.3">
      <c r="A292" t="s">
        <v>40</v>
      </c>
      <c r="B292" t="s">
        <v>197</v>
      </c>
      <c r="C292">
        <v>14.721109999999999</v>
      </c>
      <c r="D292">
        <v>-91.272099999999995</v>
      </c>
      <c r="E292" t="s">
        <v>1</v>
      </c>
      <c r="F292" t="s">
        <v>2</v>
      </c>
      <c r="G292" t="s">
        <v>351</v>
      </c>
      <c r="H292" s="116">
        <v>7299</v>
      </c>
      <c r="I292" s="119">
        <v>1845.62</v>
      </c>
      <c r="J292" s="119">
        <f t="shared" si="26"/>
        <v>801.89</v>
      </c>
      <c r="M292" s="110"/>
      <c r="P292">
        <v>1.45</v>
      </c>
      <c r="Q292" t="s">
        <v>99</v>
      </c>
      <c r="R292" t="s">
        <v>281</v>
      </c>
      <c r="S292">
        <v>0</v>
      </c>
      <c r="T292">
        <v>0.92</v>
      </c>
      <c r="U292" s="119">
        <f t="shared" si="23"/>
        <v>67.881433333333334</v>
      </c>
    </row>
    <row r="293" spans="1:21" x14ac:dyDescent="0.3">
      <c r="A293" t="s">
        <v>40</v>
      </c>
      <c r="B293" t="s">
        <v>169</v>
      </c>
      <c r="C293">
        <v>14.691800000000001</v>
      </c>
      <c r="D293">
        <v>-91.272999999999996</v>
      </c>
      <c r="E293" t="s">
        <v>1</v>
      </c>
      <c r="F293" t="s">
        <v>2</v>
      </c>
      <c r="G293" t="s">
        <v>351</v>
      </c>
      <c r="H293" s="116">
        <v>10705</v>
      </c>
      <c r="I293" s="119">
        <v>1845.45</v>
      </c>
      <c r="J293" s="119">
        <f t="shared" si="26"/>
        <v>801.82</v>
      </c>
      <c r="M293" s="110"/>
      <c r="P293">
        <v>1.45</v>
      </c>
      <c r="Q293" t="s">
        <v>99</v>
      </c>
      <c r="R293" t="s">
        <v>157</v>
      </c>
      <c r="S293">
        <v>0</v>
      </c>
      <c r="T293">
        <v>0.92</v>
      </c>
      <c r="U293" s="119">
        <f t="shared" si="23"/>
        <v>67.807066666666671</v>
      </c>
    </row>
    <row r="294" spans="1:21" x14ac:dyDescent="0.3">
      <c r="A294" t="s">
        <v>40</v>
      </c>
      <c r="B294" t="s">
        <v>67</v>
      </c>
      <c r="C294">
        <v>14.8</v>
      </c>
      <c r="D294">
        <v>-91.366699999999994</v>
      </c>
      <c r="E294" t="s">
        <v>1</v>
      </c>
      <c r="F294" t="s">
        <v>2</v>
      </c>
      <c r="G294" t="s">
        <v>351</v>
      </c>
      <c r="H294" s="116">
        <v>56981</v>
      </c>
      <c r="I294" s="119">
        <v>1846.04</v>
      </c>
      <c r="J294" s="119">
        <f t="shared" si="26"/>
        <v>802.07</v>
      </c>
      <c r="M294" s="110"/>
      <c r="P294">
        <v>1.45</v>
      </c>
      <c r="Q294" t="s">
        <v>99</v>
      </c>
      <c r="R294" t="s">
        <v>98</v>
      </c>
      <c r="S294">
        <v>0</v>
      </c>
      <c r="T294">
        <v>0.92</v>
      </c>
      <c r="U294" s="119">
        <f t="shared" si="23"/>
        <v>67.850000000000009</v>
      </c>
    </row>
    <row r="295" spans="1:21" x14ac:dyDescent="0.3">
      <c r="A295" t="s">
        <v>40</v>
      </c>
      <c r="B295" t="s">
        <v>189</v>
      </c>
      <c r="C295">
        <v>14.716699999999999</v>
      </c>
      <c r="D295">
        <v>-91.133300000000006</v>
      </c>
      <c r="E295" t="s">
        <v>1</v>
      </c>
      <c r="F295" t="s">
        <v>2</v>
      </c>
      <c r="G295" t="s">
        <v>351</v>
      </c>
      <c r="H295" s="116">
        <v>3924</v>
      </c>
      <c r="I295" s="119">
        <v>1845.59</v>
      </c>
      <c r="J295" s="119">
        <f t="shared" si="26"/>
        <v>801.88</v>
      </c>
      <c r="M295" s="110"/>
      <c r="P295">
        <v>1.45</v>
      </c>
      <c r="Q295" t="s">
        <v>99</v>
      </c>
      <c r="R295" t="s">
        <v>151</v>
      </c>
      <c r="S295">
        <v>0</v>
      </c>
      <c r="T295">
        <v>0.92</v>
      </c>
      <c r="U295" s="119">
        <f t="shared" si="23"/>
        <v>67.804766666666666</v>
      </c>
    </row>
    <row r="296" spans="1:21" x14ac:dyDescent="0.3">
      <c r="A296" t="s">
        <v>40</v>
      </c>
      <c r="B296" t="s">
        <v>171</v>
      </c>
      <c r="C296">
        <v>14.716699999999999</v>
      </c>
      <c r="D296">
        <v>-91.3</v>
      </c>
      <c r="E296" t="s">
        <v>1</v>
      </c>
      <c r="F296" t="s">
        <v>2</v>
      </c>
      <c r="G296" t="s">
        <v>351</v>
      </c>
      <c r="H296" s="116">
        <v>9405</v>
      </c>
      <c r="I296" s="119">
        <v>1845.59</v>
      </c>
      <c r="J296" s="119">
        <f t="shared" si="26"/>
        <v>801.88</v>
      </c>
      <c r="M296" s="110"/>
      <c r="P296">
        <v>1.45</v>
      </c>
      <c r="Q296" t="s">
        <v>99</v>
      </c>
      <c r="R296" t="s">
        <v>240</v>
      </c>
      <c r="S296">
        <v>0</v>
      </c>
      <c r="T296">
        <v>0.92</v>
      </c>
      <c r="U296" s="119">
        <f t="shared" si="23"/>
        <v>67.87299999999999</v>
      </c>
    </row>
    <row r="297" spans="1:21" x14ac:dyDescent="0.3">
      <c r="A297" t="s">
        <v>40</v>
      </c>
      <c r="B297" t="s">
        <v>211</v>
      </c>
      <c r="C297">
        <v>14.7445</v>
      </c>
      <c r="D297">
        <v>-91.206999999999994</v>
      </c>
      <c r="E297" t="s">
        <v>1</v>
      </c>
      <c r="F297" t="s">
        <v>2</v>
      </c>
      <c r="G297" t="s">
        <v>351</v>
      </c>
      <c r="H297" s="116">
        <v>5820</v>
      </c>
      <c r="I297" s="119">
        <v>1845.74</v>
      </c>
      <c r="J297" s="119">
        <f t="shared" si="26"/>
        <v>801.94</v>
      </c>
      <c r="M297" s="110"/>
      <c r="P297">
        <v>1.45</v>
      </c>
      <c r="Q297" t="s">
        <v>99</v>
      </c>
      <c r="R297" t="s">
        <v>305</v>
      </c>
      <c r="S297">
        <v>0</v>
      </c>
      <c r="T297">
        <v>0.92</v>
      </c>
      <c r="U297" s="119">
        <f t="shared" si="23"/>
        <v>67.83926666666666</v>
      </c>
    </row>
    <row r="298" spans="1:21" x14ac:dyDescent="0.3">
      <c r="A298" t="s">
        <v>40</v>
      </c>
      <c r="B298" t="s">
        <v>117</v>
      </c>
      <c r="C298">
        <v>14.7667</v>
      </c>
      <c r="D298">
        <v>-91.2667</v>
      </c>
      <c r="E298" t="s">
        <v>1</v>
      </c>
      <c r="F298" t="s">
        <v>2</v>
      </c>
      <c r="G298" t="s">
        <v>351</v>
      </c>
      <c r="H298" s="116">
        <v>21284</v>
      </c>
      <c r="I298" s="119">
        <v>1845.87</v>
      </c>
      <c r="J298" s="119">
        <f t="shared" si="26"/>
        <v>802</v>
      </c>
      <c r="M298" s="110"/>
      <c r="P298">
        <v>1.45</v>
      </c>
      <c r="Q298" t="s">
        <v>99</v>
      </c>
      <c r="R298" t="s">
        <v>292</v>
      </c>
      <c r="S298">
        <v>0</v>
      </c>
      <c r="T298">
        <v>0.92</v>
      </c>
      <c r="U298" s="119">
        <f t="shared" si="23"/>
        <v>67.840033333333338</v>
      </c>
    </row>
    <row r="299" spans="1:21" x14ac:dyDescent="0.3">
      <c r="A299" t="s">
        <v>40</v>
      </c>
      <c r="B299" t="s">
        <v>188</v>
      </c>
      <c r="C299">
        <v>14.716699999999999</v>
      </c>
      <c r="D299">
        <v>-91.316699999999997</v>
      </c>
      <c r="E299" t="s">
        <v>1</v>
      </c>
      <c r="F299" t="s">
        <v>2</v>
      </c>
      <c r="G299" t="s">
        <v>351</v>
      </c>
      <c r="H299" s="116">
        <v>2370</v>
      </c>
      <c r="I299" s="119">
        <v>1845.59</v>
      </c>
      <c r="J299" s="119">
        <f t="shared" si="26"/>
        <v>801.88</v>
      </c>
      <c r="M299" s="110"/>
      <c r="P299">
        <v>1.45</v>
      </c>
      <c r="Q299" t="s">
        <v>99</v>
      </c>
      <c r="R299" t="s">
        <v>286</v>
      </c>
      <c r="S299">
        <v>0</v>
      </c>
      <c r="T299">
        <v>0.92</v>
      </c>
      <c r="U299" s="119">
        <f t="shared" si="23"/>
        <v>67.806300000000007</v>
      </c>
    </row>
    <row r="300" spans="1:21" x14ac:dyDescent="0.3">
      <c r="A300" t="s">
        <v>40</v>
      </c>
      <c r="B300" t="s">
        <v>72</v>
      </c>
      <c r="C300">
        <v>14.6386</v>
      </c>
      <c r="D300">
        <v>-91.229900000000001</v>
      </c>
      <c r="E300" t="s">
        <v>1</v>
      </c>
      <c r="F300" t="s">
        <v>2</v>
      </c>
      <c r="G300" t="s">
        <v>351</v>
      </c>
      <c r="H300" s="116">
        <v>41877</v>
      </c>
      <c r="I300" s="119">
        <v>1845.16</v>
      </c>
      <c r="J300" s="119">
        <f t="shared" si="26"/>
        <v>801.69</v>
      </c>
      <c r="M300" s="110"/>
      <c r="P300">
        <v>1.45</v>
      </c>
      <c r="Q300" t="s">
        <v>99</v>
      </c>
      <c r="R300" t="s">
        <v>277</v>
      </c>
      <c r="S300">
        <v>0</v>
      </c>
      <c r="T300">
        <v>0.92</v>
      </c>
      <c r="U300" s="119">
        <f t="shared" si="23"/>
        <v>67.896000000000001</v>
      </c>
    </row>
    <row r="301" spans="1:21" x14ac:dyDescent="0.3">
      <c r="A301" t="s">
        <v>40</v>
      </c>
      <c r="B301" t="s">
        <v>40</v>
      </c>
      <c r="C301">
        <v>14.7667</v>
      </c>
      <c r="D301">
        <v>-91.183300000000003</v>
      </c>
      <c r="E301" t="s">
        <v>1</v>
      </c>
      <c r="F301" t="s">
        <v>2</v>
      </c>
      <c r="G301" t="s">
        <v>350</v>
      </c>
      <c r="H301" s="116">
        <v>88612</v>
      </c>
      <c r="I301" s="119">
        <v>1845.87</v>
      </c>
      <c r="J301" s="119">
        <v>802</v>
      </c>
      <c r="K301" s="118">
        <f>J301/I301</f>
        <v>0.43448346849994857</v>
      </c>
      <c r="M301" s="110"/>
      <c r="P301">
        <v>1.45</v>
      </c>
      <c r="Q301" t="s">
        <v>99</v>
      </c>
      <c r="R301" t="s">
        <v>251</v>
      </c>
      <c r="S301">
        <v>0</v>
      </c>
      <c r="T301">
        <v>0.92</v>
      </c>
      <c r="U301" s="119">
        <f t="shared" si="23"/>
        <v>67.873766666666654</v>
      </c>
    </row>
    <row r="302" spans="1:21" x14ac:dyDescent="0.3">
      <c r="A302" t="s">
        <v>27</v>
      </c>
      <c r="B302" t="s">
        <v>249</v>
      </c>
      <c r="C302">
        <v>14.5428</v>
      </c>
      <c r="D302">
        <v>-91.328800000000001</v>
      </c>
      <c r="E302" t="s">
        <v>1</v>
      </c>
      <c r="F302" t="s">
        <v>2</v>
      </c>
      <c r="G302" t="s">
        <v>351</v>
      </c>
      <c r="H302" s="116">
        <v>60735</v>
      </c>
      <c r="I302" s="119">
        <v>1844.62</v>
      </c>
      <c r="J302" s="119">
        <f>ROUND(K$304*I302,2)</f>
        <v>801.32</v>
      </c>
      <c r="M302" s="110"/>
      <c r="P302">
        <v>1.45</v>
      </c>
      <c r="Q302" t="s">
        <v>99</v>
      </c>
      <c r="R302" t="s">
        <v>278</v>
      </c>
      <c r="S302">
        <v>0</v>
      </c>
      <c r="T302">
        <v>0.92</v>
      </c>
      <c r="U302" s="119">
        <f t="shared" si="23"/>
        <v>67.830066666666681</v>
      </c>
    </row>
    <row r="303" spans="1:21" x14ac:dyDescent="0.3">
      <c r="A303" t="s">
        <v>27</v>
      </c>
      <c r="B303" t="s">
        <v>64</v>
      </c>
      <c r="C303">
        <v>14.5421</v>
      </c>
      <c r="D303">
        <v>-91.572299999999998</v>
      </c>
      <c r="E303" t="s">
        <v>1</v>
      </c>
      <c r="F303" t="s">
        <v>2</v>
      </c>
      <c r="G303" t="s">
        <v>351</v>
      </c>
      <c r="H303" s="116">
        <v>33436</v>
      </c>
      <c r="I303" s="119">
        <v>2012</v>
      </c>
      <c r="J303" s="119">
        <f>ROUND(K$304*I303,2)</f>
        <v>874.03</v>
      </c>
      <c r="M303" s="110"/>
      <c r="P303">
        <v>1.45</v>
      </c>
      <c r="Q303" t="s">
        <v>99</v>
      </c>
      <c r="R303" t="s">
        <v>284</v>
      </c>
      <c r="S303">
        <v>0</v>
      </c>
      <c r="T303">
        <v>0.92</v>
      </c>
      <c r="U303" s="119">
        <f t="shared" si="23"/>
        <v>67.87530000000001</v>
      </c>
    </row>
    <row r="304" spans="1:21" x14ac:dyDescent="0.3">
      <c r="A304" t="s">
        <v>27</v>
      </c>
      <c r="B304" t="s">
        <v>26</v>
      </c>
      <c r="C304">
        <v>14.533300000000001</v>
      </c>
      <c r="D304">
        <v>-91.5</v>
      </c>
      <c r="E304" t="s">
        <v>1</v>
      </c>
      <c r="F304" t="s">
        <v>2</v>
      </c>
      <c r="G304" t="s">
        <v>350</v>
      </c>
      <c r="H304" s="116">
        <v>77431</v>
      </c>
      <c r="I304" s="119">
        <v>2011.94</v>
      </c>
      <c r="J304" s="119">
        <v>874</v>
      </c>
      <c r="K304" s="118">
        <f>J304/I304</f>
        <v>0.43440659264192766</v>
      </c>
      <c r="M304" s="110"/>
      <c r="P304">
        <v>1.45</v>
      </c>
      <c r="Q304" t="s">
        <v>99</v>
      </c>
      <c r="R304" t="s">
        <v>120</v>
      </c>
      <c r="S304">
        <v>0</v>
      </c>
      <c r="T304">
        <v>0.92</v>
      </c>
      <c r="U304" s="119">
        <f t="shared" si="23"/>
        <v>67.804000000000002</v>
      </c>
    </row>
    <row r="305" spans="1:21" x14ac:dyDescent="0.3">
      <c r="A305" t="s">
        <v>27</v>
      </c>
      <c r="B305" t="s">
        <v>260</v>
      </c>
      <c r="C305">
        <v>14.416700000000001</v>
      </c>
      <c r="D305">
        <v>-91.166700000000006</v>
      </c>
      <c r="E305" t="s">
        <v>1</v>
      </c>
      <c r="F305" t="s">
        <v>2</v>
      </c>
      <c r="G305" t="s">
        <v>351</v>
      </c>
      <c r="H305" s="116">
        <v>40683</v>
      </c>
      <c r="I305" s="119">
        <v>1994.86</v>
      </c>
      <c r="J305" s="119">
        <f>ROUND(K$304*I305,2)</f>
        <v>866.58</v>
      </c>
      <c r="M305" s="110"/>
      <c r="P305">
        <v>1.45</v>
      </c>
      <c r="Q305" t="s">
        <v>40</v>
      </c>
      <c r="R305" t="s">
        <v>187</v>
      </c>
      <c r="S305">
        <v>0</v>
      </c>
      <c r="T305">
        <v>0.92</v>
      </c>
      <c r="U305" s="119">
        <f t="shared" si="23"/>
        <v>61.489733333333326</v>
      </c>
    </row>
    <row r="306" spans="1:21" x14ac:dyDescent="0.3">
      <c r="A306" t="s">
        <v>27</v>
      </c>
      <c r="B306" t="s">
        <v>217</v>
      </c>
      <c r="C306">
        <v>14.6471</v>
      </c>
      <c r="D306">
        <v>-91.539500000000004</v>
      </c>
      <c r="E306" t="s">
        <v>1</v>
      </c>
      <c r="F306" t="s">
        <v>2</v>
      </c>
      <c r="G306" t="s">
        <v>351</v>
      </c>
      <c r="H306" s="116">
        <v>11315</v>
      </c>
      <c r="I306" s="119">
        <v>2012.7</v>
      </c>
      <c r="J306" s="119">
        <f t="shared" ref="J306:J321" si="27">ROUND(K$304*I306,2)</f>
        <v>874.33</v>
      </c>
      <c r="M306" s="110"/>
      <c r="P306">
        <v>1.45</v>
      </c>
      <c r="Q306" t="s">
        <v>40</v>
      </c>
      <c r="R306" t="s">
        <v>45</v>
      </c>
      <c r="S306">
        <v>0</v>
      </c>
      <c r="T306">
        <v>0.92</v>
      </c>
      <c r="U306" s="119">
        <f t="shared" si="23"/>
        <v>61.500466666666668</v>
      </c>
    </row>
    <row r="307" spans="1:21" x14ac:dyDescent="0.3">
      <c r="A307" t="s">
        <v>27</v>
      </c>
      <c r="B307" t="s">
        <v>279</v>
      </c>
      <c r="C307">
        <v>14.4</v>
      </c>
      <c r="D307">
        <v>-91.316699999999997</v>
      </c>
      <c r="E307" t="s">
        <v>1</v>
      </c>
      <c r="F307" t="s">
        <v>2</v>
      </c>
      <c r="G307" t="s">
        <v>351</v>
      </c>
      <c r="H307" s="116">
        <v>27606</v>
      </c>
      <c r="I307" s="119">
        <v>1994.72</v>
      </c>
      <c r="J307" s="119">
        <f t="shared" si="27"/>
        <v>866.52</v>
      </c>
      <c r="M307" s="110"/>
      <c r="P307">
        <v>1.45</v>
      </c>
      <c r="Q307" t="s">
        <v>40</v>
      </c>
      <c r="R307" t="s">
        <v>163</v>
      </c>
      <c r="S307">
        <v>0</v>
      </c>
      <c r="T307">
        <v>0.92</v>
      </c>
      <c r="U307" s="119">
        <f t="shared" si="23"/>
        <v>61.481300000000005</v>
      </c>
    </row>
    <row r="308" spans="1:21" x14ac:dyDescent="0.3">
      <c r="A308" t="s">
        <v>27</v>
      </c>
      <c r="B308" t="s">
        <v>213</v>
      </c>
      <c r="C308">
        <v>14.582100000000001</v>
      </c>
      <c r="D308">
        <v>-91.460999999999999</v>
      </c>
      <c r="E308" t="s">
        <v>1</v>
      </c>
      <c r="F308" t="s">
        <v>2</v>
      </c>
      <c r="G308" t="s">
        <v>351</v>
      </c>
      <c r="H308" s="116">
        <v>24790</v>
      </c>
      <c r="I308" s="119">
        <v>1844.84</v>
      </c>
      <c r="J308" s="119">
        <f t="shared" si="27"/>
        <v>801.41</v>
      </c>
      <c r="M308" s="110"/>
      <c r="P308">
        <v>1.45</v>
      </c>
      <c r="Q308" t="s">
        <v>40</v>
      </c>
      <c r="R308" t="s">
        <v>186</v>
      </c>
      <c r="S308">
        <v>0</v>
      </c>
      <c r="T308">
        <v>0.92</v>
      </c>
      <c r="U308" s="119">
        <f t="shared" si="23"/>
        <v>61.482833333333332</v>
      </c>
    </row>
    <row r="309" spans="1:21" x14ac:dyDescent="0.3">
      <c r="A309" t="s">
        <v>27</v>
      </c>
      <c r="B309" t="s">
        <v>207</v>
      </c>
      <c r="C309">
        <v>14.533300000000001</v>
      </c>
      <c r="D309">
        <v>-91.416700000000006</v>
      </c>
      <c r="E309" t="s">
        <v>1</v>
      </c>
      <c r="F309" t="s">
        <v>2</v>
      </c>
      <c r="G309" t="s">
        <v>351</v>
      </c>
      <c r="H309" s="116">
        <v>59184</v>
      </c>
      <c r="I309" s="119">
        <v>1844.57</v>
      </c>
      <c r="J309" s="119">
        <f t="shared" si="27"/>
        <v>801.29</v>
      </c>
      <c r="M309" s="110"/>
      <c r="P309">
        <v>1.45</v>
      </c>
      <c r="Q309" t="s">
        <v>40</v>
      </c>
      <c r="R309" t="s">
        <v>161</v>
      </c>
      <c r="S309">
        <v>0</v>
      </c>
      <c r="T309">
        <v>0.92</v>
      </c>
      <c r="U309" s="119">
        <f t="shared" si="23"/>
        <v>61.475933333333344</v>
      </c>
    </row>
    <row r="310" spans="1:21" x14ac:dyDescent="0.3">
      <c r="A310" t="s">
        <v>27</v>
      </c>
      <c r="B310" t="s">
        <v>202</v>
      </c>
      <c r="C310">
        <v>14.540609999999999</v>
      </c>
      <c r="D310">
        <v>-91.460390000000004</v>
      </c>
      <c r="E310" t="s">
        <v>1</v>
      </c>
      <c r="F310" t="s">
        <v>2</v>
      </c>
      <c r="G310" t="s">
        <v>351</v>
      </c>
      <c r="H310" s="116">
        <v>15849</v>
      </c>
      <c r="I310" s="119">
        <v>1844.61</v>
      </c>
      <c r="J310" s="119">
        <f t="shared" si="27"/>
        <v>801.31</v>
      </c>
      <c r="M310" s="110"/>
      <c r="P310">
        <v>1.45</v>
      </c>
      <c r="Q310" t="s">
        <v>40</v>
      </c>
      <c r="R310" t="s">
        <v>190</v>
      </c>
      <c r="S310">
        <v>0</v>
      </c>
      <c r="T310">
        <v>0.92</v>
      </c>
      <c r="U310" s="119">
        <f t="shared" si="23"/>
        <v>61.486666666666665</v>
      </c>
    </row>
    <row r="311" spans="1:21" x14ac:dyDescent="0.3">
      <c r="A311" t="s">
        <v>27</v>
      </c>
      <c r="B311" t="s">
        <v>198</v>
      </c>
      <c r="C311">
        <v>14.583299999999999</v>
      </c>
      <c r="D311">
        <v>-91.5167</v>
      </c>
      <c r="E311" t="s">
        <v>1</v>
      </c>
      <c r="F311" t="s">
        <v>2</v>
      </c>
      <c r="G311" t="s">
        <v>351</v>
      </c>
      <c r="H311" s="116">
        <v>22533</v>
      </c>
      <c r="I311" s="119">
        <v>2012.28</v>
      </c>
      <c r="J311" s="119">
        <f t="shared" si="27"/>
        <v>874.15</v>
      </c>
      <c r="M311" s="110"/>
      <c r="P311">
        <v>1.45</v>
      </c>
      <c r="Q311" t="s">
        <v>40</v>
      </c>
      <c r="R311" t="s">
        <v>168</v>
      </c>
      <c r="S311">
        <v>0</v>
      </c>
      <c r="T311">
        <v>0.92</v>
      </c>
      <c r="U311" s="119">
        <f t="shared" si="23"/>
        <v>61.473633333333346</v>
      </c>
    </row>
    <row r="312" spans="1:21" x14ac:dyDescent="0.3">
      <c r="A312" t="s">
        <v>27</v>
      </c>
      <c r="B312" t="s">
        <v>224</v>
      </c>
      <c r="C312">
        <v>14.5108</v>
      </c>
      <c r="D312">
        <v>-91.507499999999993</v>
      </c>
      <c r="E312" t="s">
        <v>1</v>
      </c>
      <c r="F312" t="s">
        <v>2</v>
      </c>
      <c r="G312" t="s">
        <v>351</v>
      </c>
      <c r="H312" s="116">
        <v>7383</v>
      </c>
      <c r="I312" s="119">
        <v>2011.79</v>
      </c>
      <c r="J312" s="119">
        <f t="shared" si="27"/>
        <v>873.93</v>
      </c>
      <c r="M312" s="110"/>
      <c r="P312">
        <v>1.45</v>
      </c>
      <c r="Q312" t="s">
        <v>40</v>
      </c>
      <c r="R312" t="s">
        <v>110</v>
      </c>
      <c r="S312">
        <v>0</v>
      </c>
      <c r="T312">
        <v>0.92</v>
      </c>
      <c r="U312" s="119">
        <f t="shared" si="23"/>
        <v>61.461366666666663</v>
      </c>
    </row>
    <row r="313" spans="1:21" x14ac:dyDescent="0.3">
      <c r="A313" t="s">
        <v>27</v>
      </c>
      <c r="B313" t="s">
        <v>291</v>
      </c>
      <c r="C313">
        <v>14.4481</v>
      </c>
      <c r="D313">
        <v>-91.422579999999996</v>
      </c>
      <c r="E313" t="s">
        <v>1</v>
      </c>
      <c r="F313" t="s">
        <v>2</v>
      </c>
      <c r="G313" t="s">
        <v>351</v>
      </c>
      <c r="H313" s="116">
        <v>10212</v>
      </c>
      <c r="I313" s="119">
        <v>1995.05</v>
      </c>
      <c r="J313" s="119">
        <f t="shared" si="27"/>
        <v>866.66</v>
      </c>
      <c r="M313" s="110"/>
      <c r="P313">
        <v>1.45</v>
      </c>
      <c r="Q313" t="s">
        <v>40</v>
      </c>
      <c r="R313" t="s">
        <v>191</v>
      </c>
      <c r="S313">
        <v>0</v>
      </c>
      <c r="T313">
        <v>0.92</v>
      </c>
      <c r="U313" s="119">
        <f t="shared" si="23"/>
        <v>61.479000000000006</v>
      </c>
    </row>
    <row r="314" spans="1:21" x14ac:dyDescent="0.3">
      <c r="A314" t="s">
        <v>27</v>
      </c>
      <c r="B314" t="s">
        <v>337</v>
      </c>
      <c r="C314">
        <v>14.302099999999999</v>
      </c>
      <c r="D314">
        <v>-91.5655</v>
      </c>
      <c r="E314" t="s">
        <v>1</v>
      </c>
      <c r="F314" t="s">
        <v>2</v>
      </c>
      <c r="G314" t="s">
        <v>351</v>
      </c>
      <c r="H314" s="116">
        <v>23062</v>
      </c>
      <c r="I314" s="119">
        <v>2019.57</v>
      </c>
      <c r="J314" s="119">
        <f t="shared" si="27"/>
        <v>877.31</v>
      </c>
      <c r="M314" s="110"/>
      <c r="P314">
        <v>1.45</v>
      </c>
      <c r="Q314" t="s">
        <v>40</v>
      </c>
      <c r="R314" t="s">
        <v>197</v>
      </c>
      <c r="S314">
        <v>0</v>
      </c>
      <c r="T314">
        <v>0.92</v>
      </c>
      <c r="U314" s="119">
        <f t="shared" si="23"/>
        <v>61.478233333333343</v>
      </c>
    </row>
    <row r="315" spans="1:21" x14ac:dyDescent="0.3">
      <c r="A315" t="s">
        <v>27</v>
      </c>
      <c r="B315" t="s">
        <v>245</v>
      </c>
      <c r="C315">
        <v>14.416700000000001</v>
      </c>
      <c r="D315">
        <v>-91.183300000000003</v>
      </c>
      <c r="E315" t="s">
        <v>1</v>
      </c>
      <c r="F315" t="s">
        <v>2</v>
      </c>
      <c r="G315" t="s">
        <v>351</v>
      </c>
      <c r="H315" s="116">
        <v>7826</v>
      </c>
      <c r="I315" s="119">
        <v>1994.85</v>
      </c>
      <c r="J315" s="119">
        <f t="shared" si="27"/>
        <v>866.58</v>
      </c>
      <c r="M315" s="110"/>
      <c r="P315">
        <v>1.45</v>
      </c>
      <c r="Q315" t="s">
        <v>40</v>
      </c>
      <c r="R315" t="s">
        <v>169</v>
      </c>
      <c r="S315">
        <v>0</v>
      </c>
      <c r="T315">
        <v>0.92</v>
      </c>
      <c r="U315" s="119">
        <f t="shared" si="23"/>
        <v>61.472866666666675</v>
      </c>
    </row>
    <row r="316" spans="1:21" x14ac:dyDescent="0.3">
      <c r="A316" t="s">
        <v>27</v>
      </c>
      <c r="B316" t="s">
        <v>235</v>
      </c>
      <c r="C316">
        <v>14.4861</v>
      </c>
      <c r="D316">
        <v>-91.512600000000006</v>
      </c>
      <c r="E316" t="s">
        <v>1</v>
      </c>
      <c r="F316" t="s">
        <v>2</v>
      </c>
      <c r="G316" t="s">
        <v>351</v>
      </c>
      <c r="H316" s="116">
        <v>13282</v>
      </c>
      <c r="I316" s="119">
        <v>2020.81</v>
      </c>
      <c r="J316" s="119">
        <f t="shared" si="27"/>
        <v>877.85</v>
      </c>
      <c r="M316" s="110"/>
      <c r="P316">
        <v>1.45</v>
      </c>
      <c r="Q316" t="s">
        <v>40</v>
      </c>
      <c r="R316" t="s">
        <v>67</v>
      </c>
      <c r="S316">
        <v>0</v>
      </c>
      <c r="T316">
        <v>0.92</v>
      </c>
      <c r="U316" s="119">
        <f t="shared" si="23"/>
        <v>61.492033333333339</v>
      </c>
    </row>
    <row r="317" spans="1:21" x14ac:dyDescent="0.3">
      <c r="A317" t="s">
        <v>27</v>
      </c>
      <c r="B317" t="s">
        <v>183</v>
      </c>
      <c r="C317">
        <v>14.52838</v>
      </c>
      <c r="D317">
        <v>-91.367450000000005</v>
      </c>
      <c r="E317" t="s">
        <v>1</v>
      </c>
      <c r="F317" t="s">
        <v>2</v>
      </c>
      <c r="G317" t="s">
        <v>351</v>
      </c>
      <c r="H317" s="116">
        <v>10320</v>
      </c>
      <c r="I317" s="119">
        <v>1844.56</v>
      </c>
      <c r="J317" s="119">
        <f t="shared" si="27"/>
        <v>801.29</v>
      </c>
      <c r="M317" s="110"/>
      <c r="P317">
        <v>1.45</v>
      </c>
      <c r="Q317" t="s">
        <v>40</v>
      </c>
      <c r="R317" t="s">
        <v>189</v>
      </c>
      <c r="S317">
        <v>0</v>
      </c>
      <c r="T317">
        <v>0.92</v>
      </c>
      <c r="U317" s="119">
        <f t="shared" si="23"/>
        <v>61.477466666666672</v>
      </c>
    </row>
    <row r="318" spans="1:21" x14ac:dyDescent="0.3">
      <c r="A318" t="s">
        <v>27</v>
      </c>
      <c r="B318" t="s">
        <v>212</v>
      </c>
      <c r="C318">
        <v>14.587569999999999</v>
      </c>
      <c r="D318">
        <v>-91.453999999999994</v>
      </c>
      <c r="E318" t="s">
        <v>1</v>
      </c>
      <c r="F318" t="s">
        <v>2</v>
      </c>
      <c r="G318" t="s">
        <v>351</v>
      </c>
      <c r="H318" s="116">
        <v>20433</v>
      </c>
      <c r="I318" s="119">
        <v>1844.56</v>
      </c>
      <c r="J318" s="119">
        <f t="shared" si="27"/>
        <v>801.29</v>
      </c>
      <c r="M318" s="110"/>
      <c r="P318">
        <v>1.45</v>
      </c>
      <c r="Q318" t="s">
        <v>40</v>
      </c>
      <c r="R318" t="s">
        <v>171</v>
      </c>
      <c r="S318">
        <v>0</v>
      </c>
      <c r="T318">
        <v>0.92</v>
      </c>
      <c r="U318" s="119">
        <f t="shared" si="23"/>
        <v>61.477466666666672</v>
      </c>
    </row>
    <row r="319" spans="1:21" x14ac:dyDescent="0.3">
      <c r="A319" t="s">
        <v>27</v>
      </c>
      <c r="B319" t="s">
        <v>275</v>
      </c>
      <c r="C319">
        <v>14.433299999999999</v>
      </c>
      <c r="D319">
        <v>-91.2333</v>
      </c>
      <c r="E319" t="s">
        <v>1</v>
      </c>
      <c r="F319" t="s">
        <v>2</v>
      </c>
      <c r="G319" t="s">
        <v>351</v>
      </c>
      <c r="H319" s="116">
        <v>26346</v>
      </c>
      <c r="I319" s="119">
        <v>1994.95</v>
      </c>
      <c r="J319" s="119">
        <f t="shared" si="27"/>
        <v>866.62</v>
      </c>
      <c r="M319" s="110"/>
      <c r="P319">
        <v>1.45</v>
      </c>
      <c r="Q319" t="s">
        <v>40</v>
      </c>
      <c r="R319" t="s">
        <v>211</v>
      </c>
      <c r="S319">
        <v>0</v>
      </c>
      <c r="T319">
        <v>0.92</v>
      </c>
      <c r="U319" s="119">
        <f t="shared" si="23"/>
        <v>61.482066666666668</v>
      </c>
    </row>
    <row r="320" spans="1:21" x14ac:dyDescent="0.3">
      <c r="A320" t="s">
        <v>27</v>
      </c>
      <c r="B320" t="s">
        <v>94</v>
      </c>
      <c r="C320">
        <v>14.477880000000001</v>
      </c>
      <c r="D320">
        <v>-91.483369999999994</v>
      </c>
      <c r="E320" t="s">
        <v>1</v>
      </c>
      <c r="F320" t="s">
        <v>2</v>
      </c>
      <c r="G320" t="s">
        <v>351</v>
      </c>
      <c r="H320" s="116">
        <v>42291</v>
      </c>
      <c r="I320" s="119">
        <v>1995.25</v>
      </c>
      <c r="J320" s="119">
        <f t="shared" si="27"/>
        <v>866.75</v>
      </c>
      <c r="M320" s="110"/>
      <c r="P320">
        <v>1.45</v>
      </c>
      <c r="Q320" t="s">
        <v>40</v>
      </c>
      <c r="R320" t="s">
        <v>117</v>
      </c>
      <c r="S320">
        <v>0</v>
      </c>
      <c r="T320">
        <v>0.92</v>
      </c>
      <c r="U320" s="119">
        <f t="shared" si="23"/>
        <v>61.486666666666665</v>
      </c>
    </row>
    <row r="321" spans="1:21" x14ac:dyDescent="0.3">
      <c r="A321" t="s">
        <v>27</v>
      </c>
      <c r="B321" t="s">
        <v>205</v>
      </c>
      <c r="C321">
        <v>14.632009999999999</v>
      </c>
      <c r="D321">
        <v>-91.411609999999996</v>
      </c>
      <c r="E321" t="s">
        <v>1</v>
      </c>
      <c r="F321" t="s">
        <v>2</v>
      </c>
      <c r="G321" t="s">
        <v>351</v>
      </c>
      <c r="H321" s="116">
        <v>11698</v>
      </c>
      <c r="I321" s="119">
        <v>1845.12</v>
      </c>
      <c r="J321" s="119">
        <f t="shared" si="27"/>
        <v>801.53</v>
      </c>
      <c r="M321" s="110"/>
      <c r="P321">
        <v>1.45</v>
      </c>
      <c r="Q321" t="s">
        <v>40</v>
      </c>
      <c r="R321" t="s">
        <v>188</v>
      </c>
      <c r="S321">
        <v>0</v>
      </c>
      <c r="T321">
        <v>0.92</v>
      </c>
      <c r="U321" s="119">
        <f t="shared" si="23"/>
        <v>61.477466666666672</v>
      </c>
    </row>
    <row r="322" spans="1:21" x14ac:dyDescent="0.3">
      <c r="A322" t="s">
        <v>27</v>
      </c>
      <c r="B322" t="s">
        <v>252</v>
      </c>
      <c r="C322">
        <v>14.61182</v>
      </c>
      <c r="D322">
        <v>-91.511259999999993</v>
      </c>
      <c r="E322" t="s">
        <v>1</v>
      </c>
      <c r="F322" t="s">
        <v>2</v>
      </c>
      <c r="G322" t="s">
        <v>351</v>
      </c>
      <c r="H322" s="116">
        <v>8280</v>
      </c>
      <c r="I322" s="119">
        <v>2012.47</v>
      </c>
      <c r="J322" s="119">
        <f>ROUND(K$304*I322,2)</f>
        <v>874.23</v>
      </c>
      <c r="M322" s="110"/>
      <c r="P322">
        <v>1.45</v>
      </c>
      <c r="Q322" t="s">
        <v>40</v>
      </c>
      <c r="R322" t="s">
        <v>72</v>
      </c>
      <c r="S322">
        <v>0</v>
      </c>
      <c r="T322">
        <v>0.92</v>
      </c>
      <c r="U322" s="119">
        <f t="shared" si="23"/>
        <v>61.462900000000005</v>
      </c>
    </row>
    <row r="323" spans="1:21" x14ac:dyDescent="0.3">
      <c r="A323" t="s">
        <v>14</v>
      </c>
      <c r="B323" t="s">
        <v>13</v>
      </c>
      <c r="C323">
        <v>15.0444</v>
      </c>
      <c r="D323">
        <v>-91.408299999999997</v>
      </c>
      <c r="E323" t="s">
        <v>1</v>
      </c>
      <c r="F323" t="s">
        <v>2</v>
      </c>
      <c r="G323" t="s">
        <v>351</v>
      </c>
      <c r="H323" s="116">
        <v>105617</v>
      </c>
      <c r="I323" s="119">
        <v>1847.42</v>
      </c>
      <c r="J323" s="119">
        <f>ROUND(K$330*I323,2)</f>
        <v>802.33</v>
      </c>
      <c r="M323" s="110"/>
      <c r="P323">
        <v>1.45</v>
      </c>
      <c r="Q323" t="s">
        <v>40</v>
      </c>
      <c r="R323" t="s">
        <v>40</v>
      </c>
      <c r="S323">
        <v>0</v>
      </c>
      <c r="T323">
        <v>0.92</v>
      </c>
      <c r="U323" s="119">
        <f t="shared" ref="U323:U363" si="28">SUMIFS($J$2:$J$341,$A$2:$A$341,Q323,$B$2:$B$341,R323)/12*T323</f>
        <v>61.486666666666665</v>
      </c>
    </row>
    <row r="324" spans="1:21" x14ac:dyDescent="0.3">
      <c r="A324" t="s">
        <v>14</v>
      </c>
      <c r="B324" t="s">
        <v>103</v>
      </c>
      <c r="C324">
        <v>14.9</v>
      </c>
      <c r="D324">
        <v>-91.4833</v>
      </c>
      <c r="E324" t="s">
        <v>1</v>
      </c>
      <c r="F324" t="s">
        <v>2</v>
      </c>
      <c r="G324" t="s">
        <v>351</v>
      </c>
      <c r="H324" s="116">
        <v>26984</v>
      </c>
      <c r="I324" s="119">
        <v>1846.61</v>
      </c>
      <c r="J324" s="119">
        <f t="shared" ref="J324:J329" si="29">ROUND(K$330*I324,2)</f>
        <v>801.97</v>
      </c>
      <c r="M324" s="110"/>
      <c r="P324">
        <v>1.45</v>
      </c>
      <c r="Q324" t="s">
        <v>27</v>
      </c>
      <c r="R324" t="s">
        <v>249</v>
      </c>
      <c r="S324">
        <v>0</v>
      </c>
      <c r="T324">
        <v>0.92</v>
      </c>
      <c r="U324" s="119">
        <f t="shared" si="28"/>
        <v>61.434533333333341</v>
      </c>
    </row>
    <row r="325" spans="1:21" x14ac:dyDescent="0.3">
      <c r="A325" t="s">
        <v>14</v>
      </c>
      <c r="B325" t="s">
        <v>338</v>
      </c>
      <c r="C325">
        <v>15.0844</v>
      </c>
      <c r="D325">
        <v>-91.455799999999996</v>
      </c>
      <c r="E325" t="s">
        <v>1</v>
      </c>
      <c r="F325" t="s">
        <v>2</v>
      </c>
      <c r="G325" t="s">
        <v>351</v>
      </c>
      <c r="H325" s="116">
        <v>10612</v>
      </c>
      <c r="I325" s="119">
        <v>1847.64</v>
      </c>
      <c r="J325" s="119">
        <f t="shared" si="29"/>
        <v>802.42</v>
      </c>
      <c r="M325" s="110"/>
      <c r="P325">
        <v>1.45</v>
      </c>
      <c r="Q325" t="s">
        <v>27</v>
      </c>
      <c r="R325" t="s">
        <v>64</v>
      </c>
      <c r="S325">
        <v>0</v>
      </c>
      <c r="T325">
        <v>0.92</v>
      </c>
      <c r="U325" s="119">
        <f t="shared" si="28"/>
        <v>67.008966666666666</v>
      </c>
    </row>
    <row r="326" spans="1:21" x14ac:dyDescent="0.3">
      <c r="A326" t="s">
        <v>14</v>
      </c>
      <c r="B326" t="s">
        <v>76</v>
      </c>
      <c r="C326">
        <v>14.919700000000001</v>
      </c>
      <c r="D326">
        <v>-91.44</v>
      </c>
      <c r="E326" t="s">
        <v>1</v>
      </c>
      <c r="F326" t="s">
        <v>2</v>
      </c>
      <c r="G326" t="s">
        <v>351</v>
      </c>
      <c r="H326" s="116">
        <v>36119</v>
      </c>
      <c r="I326" s="119">
        <v>1846.73</v>
      </c>
      <c r="J326" s="119">
        <f t="shared" si="29"/>
        <v>802.03</v>
      </c>
      <c r="M326" s="110"/>
      <c r="P326">
        <v>1.45</v>
      </c>
      <c r="Q326" t="s">
        <v>27</v>
      </c>
      <c r="R326" t="s">
        <v>26</v>
      </c>
      <c r="S326">
        <v>0</v>
      </c>
      <c r="T326">
        <v>0.92</v>
      </c>
      <c r="U326" s="119">
        <f t="shared" si="28"/>
        <v>67.006666666666661</v>
      </c>
    </row>
    <row r="327" spans="1:21" x14ac:dyDescent="0.3">
      <c r="A327" t="s">
        <v>14</v>
      </c>
      <c r="B327" t="s">
        <v>38</v>
      </c>
      <c r="C327">
        <v>14.95</v>
      </c>
      <c r="D327">
        <v>-91.45</v>
      </c>
      <c r="E327" t="s">
        <v>1</v>
      </c>
      <c r="F327" t="s">
        <v>2</v>
      </c>
      <c r="G327" t="s">
        <v>351</v>
      </c>
      <c r="H327" s="116">
        <v>57894</v>
      </c>
      <c r="I327" s="119">
        <v>1846.9</v>
      </c>
      <c r="J327" s="119">
        <f t="shared" si="29"/>
        <v>802.1</v>
      </c>
      <c r="M327" s="110"/>
      <c r="P327">
        <v>1.45</v>
      </c>
      <c r="Q327" t="s">
        <v>27</v>
      </c>
      <c r="R327" t="s">
        <v>260</v>
      </c>
      <c r="S327">
        <v>0</v>
      </c>
      <c r="T327">
        <v>0.92</v>
      </c>
      <c r="U327" s="119">
        <f t="shared" si="28"/>
        <v>66.43780000000001</v>
      </c>
    </row>
    <row r="328" spans="1:21" x14ac:dyDescent="0.3">
      <c r="A328" t="s">
        <v>14</v>
      </c>
      <c r="B328" t="s">
        <v>736</v>
      </c>
      <c r="C328">
        <v>15.128159999999999</v>
      </c>
      <c r="D328">
        <v>-91.236369999999994</v>
      </c>
      <c r="E328" t="s">
        <v>1</v>
      </c>
      <c r="F328" t="s">
        <v>2</v>
      </c>
      <c r="G328" t="s">
        <v>351</v>
      </c>
      <c r="H328" s="116">
        <v>22378</v>
      </c>
      <c r="I328" s="119">
        <v>1847.89</v>
      </c>
      <c r="J328" s="119">
        <f t="shared" si="29"/>
        <v>802.53</v>
      </c>
      <c r="M328" s="110"/>
      <c r="P328">
        <v>1.45</v>
      </c>
      <c r="Q328" t="s">
        <v>27</v>
      </c>
      <c r="R328" t="s">
        <v>217</v>
      </c>
      <c r="S328">
        <v>0</v>
      </c>
      <c r="T328">
        <v>0.92</v>
      </c>
      <c r="U328" s="119">
        <f t="shared" si="28"/>
        <v>67.031966666666662</v>
      </c>
    </row>
    <row r="329" spans="1:21" x14ac:dyDescent="0.3">
      <c r="A329" t="s">
        <v>14</v>
      </c>
      <c r="B329" t="s">
        <v>54</v>
      </c>
      <c r="C329">
        <v>15.029199999999999</v>
      </c>
      <c r="D329">
        <v>-91.329400000000007</v>
      </c>
      <c r="E329" t="s">
        <v>1</v>
      </c>
      <c r="F329" t="s">
        <v>2</v>
      </c>
      <c r="G329" t="s">
        <v>351</v>
      </c>
      <c r="H329" s="116">
        <v>55013</v>
      </c>
      <c r="I329" s="119">
        <v>1847.34</v>
      </c>
      <c r="J329" s="119">
        <f t="shared" si="29"/>
        <v>802.29</v>
      </c>
      <c r="M329" s="110"/>
      <c r="P329">
        <v>1.45</v>
      </c>
      <c r="Q329" t="s">
        <v>27</v>
      </c>
      <c r="R329" t="s">
        <v>279</v>
      </c>
      <c r="S329">
        <v>0</v>
      </c>
      <c r="T329">
        <v>0.92</v>
      </c>
      <c r="U329" s="119">
        <f t="shared" si="28"/>
        <v>66.433199999999999</v>
      </c>
    </row>
    <row r="330" spans="1:21" x14ac:dyDescent="0.3">
      <c r="A330" t="s">
        <v>14</v>
      </c>
      <c r="B330" t="s">
        <v>14</v>
      </c>
      <c r="C330">
        <v>14.9108</v>
      </c>
      <c r="D330">
        <v>-91.360600000000005</v>
      </c>
      <c r="E330" t="s">
        <v>1</v>
      </c>
      <c r="F330" t="s">
        <v>2</v>
      </c>
      <c r="G330" t="s">
        <v>350</v>
      </c>
      <c r="H330" s="116">
        <v>103952</v>
      </c>
      <c r="I330" s="119">
        <v>1846.67</v>
      </c>
      <c r="J330" s="119">
        <v>802</v>
      </c>
      <c r="K330" s="118">
        <f>J330/I330</f>
        <v>0.43429524495443145</v>
      </c>
      <c r="M330" s="110"/>
      <c r="P330">
        <v>1.45</v>
      </c>
      <c r="Q330" t="s">
        <v>27</v>
      </c>
      <c r="R330" t="s">
        <v>213</v>
      </c>
      <c r="S330">
        <v>0</v>
      </c>
      <c r="T330">
        <v>0.92</v>
      </c>
      <c r="U330" s="119">
        <f t="shared" si="28"/>
        <v>61.441433333333336</v>
      </c>
    </row>
    <row r="331" spans="1:21" x14ac:dyDescent="0.3">
      <c r="A331" t="s">
        <v>37</v>
      </c>
      <c r="B331" t="s">
        <v>150</v>
      </c>
      <c r="C331">
        <v>14.933299999999999</v>
      </c>
      <c r="D331">
        <v>-89.8</v>
      </c>
      <c r="E331" t="s">
        <v>1</v>
      </c>
      <c r="F331" t="s">
        <v>2</v>
      </c>
      <c r="G331" t="s">
        <v>351</v>
      </c>
      <c r="H331" s="116">
        <v>13641</v>
      </c>
      <c r="I331" s="119">
        <v>1765.85</v>
      </c>
      <c r="J331" s="119">
        <f>ROUND(K$341*I331,2)</f>
        <v>766.93</v>
      </c>
      <c r="M331" s="110"/>
      <c r="P331">
        <v>1.45</v>
      </c>
      <c r="Q331" t="s">
        <v>27</v>
      </c>
      <c r="R331" t="s">
        <v>207</v>
      </c>
      <c r="S331">
        <v>0</v>
      </c>
      <c r="T331">
        <v>0.92</v>
      </c>
      <c r="U331" s="119">
        <f t="shared" si="28"/>
        <v>61.432233333333329</v>
      </c>
    </row>
    <row r="332" spans="1:21" x14ac:dyDescent="0.3">
      <c r="A332" t="s">
        <v>37</v>
      </c>
      <c r="B332" t="s">
        <v>167</v>
      </c>
      <c r="C332">
        <v>14.9979</v>
      </c>
      <c r="D332">
        <v>-89.570499999999996</v>
      </c>
      <c r="E332" t="s">
        <v>1</v>
      </c>
      <c r="F332" t="s">
        <v>2</v>
      </c>
      <c r="G332" t="s">
        <v>351</v>
      </c>
      <c r="H332" s="116">
        <v>9797</v>
      </c>
      <c r="I332" s="119">
        <v>1766.18</v>
      </c>
      <c r="J332" s="119">
        <f t="shared" ref="J332:J340" si="30">ROUND(K$341*I332,2)</f>
        <v>767.07</v>
      </c>
      <c r="M332" s="110"/>
      <c r="P332">
        <v>1.45</v>
      </c>
      <c r="Q332" t="s">
        <v>27</v>
      </c>
      <c r="R332" t="s">
        <v>202</v>
      </c>
      <c r="S332">
        <v>0</v>
      </c>
      <c r="T332">
        <v>0.92</v>
      </c>
      <c r="U332" s="119">
        <f t="shared" si="28"/>
        <v>61.433766666666664</v>
      </c>
    </row>
    <row r="333" spans="1:21" x14ac:dyDescent="0.3">
      <c r="A333" t="s">
        <v>37</v>
      </c>
      <c r="B333" t="s">
        <v>65</v>
      </c>
      <c r="C333">
        <v>15.1333</v>
      </c>
      <c r="D333">
        <v>-89.366699999999994</v>
      </c>
      <c r="E333" t="s">
        <v>1</v>
      </c>
      <c r="F333" t="s">
        <v>2</v>
      </c>
      <c r="G333" t="s">
        <v>351</v>
      </c>
      <c r="H333" s="116">
        <v>45663</v>
      </c>
      <c r="I333" s="119">
        <v>1806.16</v>
      </c>
      <c r="J333" s="119">
        <f t="shared" si="30"/>
        <v>784.43</v>
      </c>
      <c r="M333" s="110"/>
      <c r="P333">
        <v>1.45</v>
      </c>
      <c r="Q333" t="s">
        <v>27</v>
      </c>
      <c r="R333" t="s">
        <v>198</v>
      </c>
      <c r="S333">
        <v>0</v>
      </c>
      <c r="T333">
        <v>0.92</v>
      </c>
      <c r="U333" s="119">
        <f t="shared" si="28"/>
        <v>67.018166666666673</v>
      </c>
    </row>
    <row r="334" spans="1:21" x14ac:dyDescent="0.3">
      <c r="A334" t="s">
        <v>37</v>
      </c>
      <c r="B334" t="s">
        <v>159</v>
      </c>
      <c r="C334">
        <v>14.92975</v>
      </c>
      <c r="D334">
        <v>-89.715190000000007</v>
      </c>
      <c r="E334" t="s">
        <v>1</v>
      </c>
      <c r="F334" t="s">
        <v>2</v>
      </c>
      <c r="G334" t="s">
        <v>351</v>
      </c>
      <c r="H334" s="116">
        <v>11470</v>
      </c>
      <c r="I334" s="119">
        <v>1765.83</v>
      </c>
      <c r="J334" s="119">
        <f t="shared" si="30"/>
        <v>766.92</v>
      </c>
      <c r="M334" s="110"/>
      <c r="P334">
        <v>1.45</v>
      </c>
      <c r="Q334" t="s">
        <v>27</v>
      </c>
      <c r="R334" t="s">
        <v>224</v>
      </c>
      <c r="S334">
        <v>0</v>
      </c>
      <c r="T334">
        <v>0.92</v>
      </c>
      <c r="U334" s="119">
        <f t="shared" si="28"/>
        <v>67.001300000000001</v>
      </c>
    </row>
    <row r="335" spans="1:21" x14ac:dyDescent="0.3">
      <c r="A335" t="s">
        <v>37</v>
      </c>
      <c r="B335" t="s">
        <v>84</v>
      </c>
      <c r="C335">
        <v>14.966699999999999</v>
      </c>
      <c r="D335">
        <v>-89.283299999999997</v>
      </c>
      <c r="E335" t="s">
        <v>1</v>
      </c>
      <c r="F335" t="s">
        <v>2</v>
      </c>
      <c r="G335" t="s">
        <v>351</v>
      </c>
      <c r="H335" s="116">
        <v>33572</v>
      </c>
      <c r="I335" s="119">
        <v>1805.31</v>
      </c>
      <c r="J335" s="119">
        <f t="shared" si="30"/>
        <v>784.06</v>
      </c>
      <c r="M335" s="110"/>
      <c r="P335">
        <v>1.45</v>
      </c>
      <c r="Q335" t="s">
        <v>27</v>
      </c>
      <c r="R335" t="s">
        <v>291</v>
      </c>
      <c r="S335">
        <v>0</v>
      </c>
      <c r="T335">
        <v>0.92</v>
      </c>
      <c r="U335" s="119">
        <f t="shared" si="28"/>
        <v>66.443933333333334</v>
      </c>
    </row>
    <row r="336" spans="1:21" x14ac:dyDescent="0.3">
      <c r="A336" t="s">
        <v>37</v>
      </c>
      <c r="B336" t="s">
        <v>311</v>
      </c>
      <c r="C336">
        <v>15.045</v>
      </c>
      <c r="D336">
        <v>-89.5852</v>
      </c>
      <c r="E336" t="s">
        <v>1</v>
      </c>
      <c r="F336" t="s">
        <v>2</v>
      </c>
      <c r="G336" t="s">
        <v>351</v>
      </c>
      <c r="H336" s="116">
        <v>21434</v>
      </c>
      <c r="I336" s="119">
        <v>1766.42</v>
      </c>
      <c r="J336" s="119">
        <f t="shared" si="30"/>
        <v>767.17</v>
      </c>
      <c r="M336" s="110"/>
      <c r="P336">
        <v>1.45</v>
      </c>
      <c r="Q336" t="s">
        <v>27</v>
      </c>
      <c r="R336" t="s">
        <v>337</v>
      </c>
      <c r="S336">
        <v>0</v>
      </c>
      <c r="T336">
        <v>0.92</v>
      </c>
      <c r="U336" s="119">
        <f t="shared" si="28"/>
        <v>67.260433333333339</v>
      </c>
    </row>
    <row r="337" spans="1:21" x14ac:dyDescent="0.3">
      <c r="A337" t="s">
        <v>37</v>
      </c>
      <c r="B337" t="s">
        <v>177</v>
      </c>
      <c r="C337">
        <v>14.783300000000001</v>
      </c>
      <c r="D337">
        <v>-89.783299999999997</v>
      </c>
      <c r="E337" t="s">
        <v>1</v>
      </c>
      <c r="F337" t="s">
        <v>2</v>
      </c>
      <c r="G337" t="s">
        <v>351</v>
      </c>
      <c r="H337" s="116">
        <v>7235</v>
      </c>
      <c r="I337" s="119">
        <v>1765.09</v>
      </c>
      <c r="J337" s="119">
        <f t="shared" si="30"/>
        <v>766.6</v>
      </c>
      <c r="M337" s="110"/>
      <c r="P337">
        <v>1.45</v>
      </c>
      <c r="Q337" t="s">
        <v>27</v>
      </c>
      <c r="R337" t="s">
        <v>245</v>
      </c>
      <c r="S337">
        <v>0</v>
      </c>
      <c r="T337">
        <v>0.92</v>
      </c>
      <c r="U337" s="119">
        <f t="shared" si="28"/>
        <v>66.43780000000001</v>
      </c>
    </row>
    <row r="338" spans="1:21" x14ac:dyDescent="0.3">
      <c r="A338" t="s">
        <v>37</v>
      </c>
      <c r="B338" t="s">
        <v>154</v>
      </c>
      <c r="C338">
        <v>14.9253</v>
      </c>
      <c r="D338">
        <v>-89.589699999999993</v>
      </c>
      <c r="E338" t="s">
        <v>1</v>
      </c>
      <c r="F338" t="s">
        <v>2</v>
      </c>
      <c r="G338" t="s">
        <v>351</v>
      </c>
      <c r="H338" s="116">
        <v>12304</v>
      </c>
      <c r="I338" s="119">
        <v>1765.81</v>
      </c>
      <c r="J338" s="119">
        <f t="shared" si="30"/>
        <v>766.91</v>
      </c>
      <c r="M338" s="110"/>
      <c r="P338">
        <v>1.45</v>
      </c>
      <c r="Q338" t="s">
        <v>27</v>
      </c>
      <c r="R338" t="s">
        <v>235</v>
      </c>
      <c r="S338">
        <v>0</v>
      </c>
      <c r="T338">
        <v>0.92</v>
      </c>
      <c r="U338" s="119">
        <f t="shared" si="28"/>
        <v>67.301833333333335</v>
      </c>
    </row>
    <row r="339" spans="1:21" x14ac:dyDescent="0.3">
      <c r="A339" t="s">
        <v>37</v>
      </c>
      <c r="B339" t="s">
        <v>125</v>
      </c>
      <c r="C339">
        <v>14.9877</v>
      </c>
      <c r="D339">
        <v>-89.716999999999999</v>
      </c>
      <c r="E339" t="s">
        <v>1</v>
      </c>
      <c r="F339" t="s">
        <v>2</v>
      </c>
      <c r="G339" t="s">
        <v>351</v>
      </c>
      <c r="H339" s="116">
        <v>17602</v>
      </c>
      <c r="I339" s="119">
        <v>1766.13</v>
      </c>
      <c r="J339" s="119">
        <f t="shared" si="30"/>
        <v>767.05</v>
      </c>
      <c r="M339" s="110"/>
      <c r="P339">
        <v>1.45</v>
      </c>
      <c r="Q339" t="s">
        <v>27</v>
      </c>
      <c r="R339" t="s">
        <v>183</v>
      </c>
      <c r="S339">
        <v>0</v>
      </c>
      <c r="T339">
        <v>0.92</v>
      </c>
      <c r="U339" s="119">
        <f t="shared" si="28"/>
        <v>61.432233333333329</v>
      </c>
    </row>
    <row r="340" spans="1:21" x14ac:dyDescent="0.3">
      <c r="A340" t="s">
        <v>37</v>
      </c>
      <c r="B340" t="s">
        <v>155</v>
      </c>
      <c r="C340">
        <v>14.9489</v>
      </c>
      <c r="D340">
        <v>-89.776700000000005</v>
      </c>
      <c r="E340" t="s">
        <v>1</v>
      </c>
      <c r="F340" t="s">
        <v>2</v>
      </c>
      <c r="G340" t="s">
        <v>351</v>
      </c>
      <c r="H340" s="116">
        <v>12232</v>
      </c>
      <c r="I340" s="119">
        <v>1765.93</v>
      </c>
      <c r="J340" s="119">
        <f t="shared" si="30"/>
        <v>766.96</v>
      </c>
      <c r="M340" s="110"/>
      <c r="P340">
        <v>1.45</v>
      </c>
      <c r="Q340" t="s">
        <v>27</v>
      </c>
      <c r="R340" t="s">
        <v>212</v>
      </c>
      <c r="S340">
        <v>0</v>
      </c>
      <c r="T340">
        <v>0.92</v>
      </c>
      <c r="U340" s="119">
        <f t="shared" si="28"/>
        <v>61.432233333333329</v>
      </c>
    </row>
    <row r="341" spans="1:21" x14ac:dyDescent="0.3">
      <c r="A341" t="s">
        <v>37</v>
      </c>
      <c r="B341" t="s">
        <v>37</v>
      </c>
      <c r="C341">
        <v>14.966699999999999</v>
      </c>
      <c r="D341">
        <v>-89.533299999999997</v>
      </c>
      <c r="E341" t="s">
        <v>1</v>
      </c>
      <c r="F341" t="s">
        <v>2</v>
      </c>
      <c r="G341" t="s">
        <v>350</v>
      </c>
      <c r="H341" s="116">
        <v>60424</v>
      </c>
      <c r="I341" s="119">
        <v>1766.02</v>
      </c>
      <c r="J341" s="119">
        <v>767</v>
      </c>
      <c r="K341" s="118">
        <f>J341/I341</f>
        <v>0.43430991721498058</v>
      </c>
      <c r="M341" s="110"/>
      <c r="P341">
        <v>1.45</v>
      </c>
      <c r="Q341" t="s">
        <v>27</v>
      </c>
      <c r="R341" t="s">
        <v>275</v>
      </c>
      <c r="S341">
        <v>0</v>
      </c>
      <c r="T341">
        <v>0.92</v>
      </c>
      <c r="U341" s="119">
        <f t="shared" si="28"/>
        <v>66.440866666666665</v>
      </c>
    </row>
    <row r="342" spans="1:21" ht="15" thickBot="1" x14ac:dyDescent="0.35">
      <c r="Q342" t="s">
        <v>27</v>
      </c>
      <c r="R342" t="s">
        <v>94</v>
      </c>
      <c r="S342">
        <v>0</v>
      </c>
      <c r="T342">
        <v>0.92</v>
      </c>
      <c r="U342" s="119">
        <f t="shared" si="28"/>
        <v>66.450833333333335</v>
      </c>
    </row>
    <row r="343" spans="1:21" x14ac:dyDescent="0.3">
      <c r="A343" s="126" t="s">
        <v>341</v>
      </c>
      <c r="B343" s="126" t="s">
        <v>637</v>
      </c>
      <c r="C343" s="78"/>
      <c r="Q343" t="s">
        <v>27</v>
      </c>
      <c r="R343" t="s">
        <v>205</v>
      </c>
      <c r="S343">
        <v>0</v>
      </c>
      <c r="T343">
        <v>0.92</v>
      </c>
      <c r="U343" s="119">
        <f t="shared" si="28"/>
        <v>61.450633333333336</v>
      </c>
    </row>
    <row r="344" spans="1:21" x14ac:dyDescent="0.3">
      <c r="A344" s="127" t="s">
        <v>5</v>
      </c>
      <c r="B344" s="127" t="s">
        <v>465</v>
      </c>
      <c r="C344" s="79">
        <v>1</v>
      </c>
      <c r="Q344" t="s">
        <v>27</v>
      </c>
      <c r="R344" t="s">
        <v>252</v>
      </c>
      <c r="S344">
        <v>0</v>
      </c>
      <c r="T344">
        <v>0.92</v>
      </c>
      <c r="U344" s="119">
        <f t="shared" si="28"/>
        <v>67.024300000000011</v>
      </c>
    </row>
    <row r="345" spans="1:21" x14ac:dyDescent="0.3">
      <c r="A345" s="127" t="s">
        <v>58</v>
      </c>
      <c r="B345" s="127" t="s">
        <v>605</v>
      </c>
      <c r="C345" s="79">
        <v>2</v>
      </c>
      <c r="Q345" t="s">
        <v>14</v>
      </c>
      <c r="R345" t="s">
        <v>13</v>
      </c>
      <c r="S345">
        <v>0</v>
      </c>
      <c r="T345">
        <v>0.92</v>
      </c>
      <c r="U345" s="119">
        <f t="shared" si="28"/>
        <v>61.511966666666666</v>
      </c>
    </row>
    <row r="346" spans="1:21" x14ac:dyDescent="0.3">
      <c r="A346" s="127" t="s">
        <v>48</v>
      </c>
      <c r="B346" s="127" t="s">
        <v>632</v>
      </c>
      <c r="C346" s="79">
        <v>3</v>
      </c>
      <c r="Q346" t="s">
        <v>14</v>
      </c>
      <c r="R346" t="s">
        <v>103</v>
      </c>
      <c r="S346">
        <v>0</v>
      </c>
      <c r="T346">
        <v>0.92</v>
      </c>
      <c r="U346" s="119">
        <f t="shared" si="28"/>
        <v>61.484366666666666</v>
      </c>
    </row>
    <row r="347" spans="1:21" ht="15" thickBot="1" x14ac:dyDescent="0.35">
      <c r="A347" s="127" t="s">
        <v>30</v>
      </c>
      <c r="B347" s="128" t="s">
        <v>639</v>
      </c>
      <c r="C347" s="80">
        <v>4</v>
      </c>
      <c r="Q347" t="s">
        <v>14</v>
      </c>
      <c r="R347" t="s">
        <v>338</v>
      </c>
      <c r="S347">
        <v>0</v>
      </c>
      <c r="T347">
        <v>0.92</v>
      </c>
      <c r="U347" s="119">
        <f t="shared" si="28"/>
        <v>61.518866666666661</v>
      </c>
    </row>
    <row r="348" spans="1:21" x14ac:dyDescent="0.3">
      <c r="A348" s="76" t="s">
        <v>81</v>
      </c>
      <c r="Q348" t="s">
        <v>14</v>
      </c>
      <c r="R348" t="s">
        <v>76</v>
      </c>
      <c r="S348">
        <v>0</v>
      </c>
      <c r="T348">
        <v>0.92</v>
      </c>
      <c r="U348" s="119">
        <f t="shared" si="28"/>
        <v>61.488966666666663</v>
      </c>
    </row>
    <row r="349" spans="1:21" x14ac:dyDescent="0.3">
      <c r="A349" s="76" t="s">
        <v>17</v>
      </c>
      <c r="B349" t="s">
        <v>465</v>
      </c>
      <c r="Q349" t="s">
        <v>14</v>
      </c>
      <c r="R349" t="s">
        <v>38</v>
      </c>
      <c r="S349">
        <v>0</v>
      </c>
      <c r="T349">
        <v>0.92</v>
      </c>
      <c r="U349" s="119">
        <f t="shared" si="28"/>
        <v>61.494333333333337</v>
      </c>
    </row>
    <row r="350" spans="1:21" x14ac:dyDescent="0.3">
      <c r="A350" s="76" t="s">
        <v>1</v>
      </c>
      <c r="B350" t="s">
        <v>17</v>
      </c>
      <c r="Q350" t="s">
        <v>14</v>
      </c>
      <c r="R350" t="s">
        <v>736</v>
      </c>
      <c r="S350">
        <v>0</v>
      </c>
      <c r="T350">
        <v>0.92</v>
      </c>
      <c r="U350" s="119">
        <f t="shared" si="28"/>
        <v>61.527300000000004</v>
      </c>
    </row>
    <row r="351" spans="1:21" x14ac:dyDescent="0.3">
      <c r="A351" s="76" t="s">
        <v>56</v>
      </c>
      <c r="B351" t="s">
        <v>1</v>
      </c>
      <c r="Q351" t="s">
        <v>14</v>
      </c>
      <c r="R351" t="s">
        <v>54</v>
      </c>
      <c r="S351">
        <v>0</v>
      </c>
      <c r="T351">
        <v>0.92</v>
      </c>
      <c r="U351" s="119">
        <f t="shared" si="28"/>
        <v>61.508900000000004</v>
      </c>
    </row>
    <row r="352" spans="1:21" x14ac:dyDescent="0.3">
      <c r="A352" s="76" t="s">
        <v>22</v>
      </c>
      <c r="B352" t="s">
        <v>52</v>
      </c>
      <c r="Q352" t="s">
        <v>14</v>
      </c>
      <c r="R352" t="s">
        <v>14</v>
      </c>
      <c r="S352">
        <v>0</v>
      </c>
      <c r="T352">
        <v>0.92</v>
      </c>
      <c r="U352" s="119">
        <f t="shared" si="28"/>
        <v>61.486666666666665</v>
      </c>
    </row>
    <row r="353" spans="1:21" x14ac:dyDescent="0.3">
      <c r="A353" s="76" t="s">
        <v>20</v>
      </c>
      <c r="Q353" t="s">
        <v>37</v>
      </c>
      <c r="R353" t="s">
        <v>150</v>
      </c>
      <c r="S353">
        <v>0</v>
      </c>
      <c r="T353">
        <v>0.92</v>
      </c>
      <c r="U353" s="119">
        <f t="shared" si="28"/>
        <v>58.797966666666667</v>
      </c>
    </row>
    <row r="354" spans="1:21" x14ac:dyDescent="0.3">
      <c r="A354" s="76" t="s">
        <v>10</v>
      </c>
      <c r="B354" t="s">
        <v>640</v>
      </c>
      <c r="Q354" t="s">
        <v>37</v>
      </c>
      <c r="R354" t="s">
        <v>167</v>
      </c>
      <c r="S354">
        <v>0</v>
      </c>
      <c r="T354">
        <v>0.92</v>
      </c>
      <c r="U354" s="119">
        <f t="shared" si="28"/>
        <v>58.808700000000009</v>
      </c>
    </row>
    <row r="355" spans="1:21" x14ac:dyDescent="0.3">
      <c r="A355" s="76" t="s">
        <v>12</v>
      </c>
      <c r="B355" t="s">
        <v>48</v>
      </c>
      <c r="Q355" t="s">
        <v>37</v>
      </c>
      <c r="R355" t="s">
        <v>65</v>
      </c>
      <c r="S355">
        <v>0</v>
      </c>
      <c r="T355">
        <v>0.92</v>
      </c>
      <c r="U355" s="119">
        <f t="shared" si="28"/>
        <v>60.139633333333329</v>
      </c>
    </row>
    <row r="356" spans="1:21" x14ac:dyDescent="0.3">
      <c r="A356" s="76" t="s">
        <v>7</v>
      </c>
      <c r="B356" t="s">
        <v>17</v>
      </c>
      <c r="Q356" t="s">
        <v>37</v>
      </c>
      <c r="R356" t="s">
        <v>159</v>
      </c>
      <c r="S356">
        <v>0</v>
      </c>
      <c r="T356">
        <v>0.92</v>
      </c>
      <c r="U356" s="119">
        <f t="shared" si="28"/>
        <v>58.797199999999997</v>
      </c>
    </row>
    <row r="357" spans="1:21" x14ac:dyDescent="0.3">
      <c r="A357" s="76" t="s">
        <v>23</v>
      </c>
      <c r="B357" t="s">
        <v>56</v>
      </c>
      <c r="Q357" t="s">
        <v>37</v>
      </c>
      <c r="R357" t="s">
        <v>84</v>
      </c>
      <c r="S357">
        <v>0</v>
      </c>
      <c r="T357">
        <v>0.92</v>
      </c>
      <c r="U357" s="119">
        <f t="shared" si="28"/>
        <v>60.111266666666658</v>
      </c>
    </row>
    <row r="358" spans="1:21" x14ac:dyDescent="0.3">
      <c r="A358" s="76" t="s">
        <v>82</v>
      </c>
      <c r="B358" t="s">
        <v>7</v>
      </c>
      <c r="Q358" t="s">
        <v>37</v>
      </c>
      <c r="R358" t="s">
        <v>311</v>
      </c>
      <c r="S358">
        <v>0</v>
      </c>
      <c r="T358">
        <v>0.92</v>
      </c>
      <c r="U358" s="119">
        <f t="shared" si="28"/>
        <v>58.816366666666667</v>
      </c>
    </row>
    <row r="359" spans="1:21" x14ac:dyDescent="0.3">
      <c r="A359" s="76" t="s">
        <v>52</v>
      </c>
      <c r="B359" t="s">
        <v>23</v>
      </c>
      <c r="Q359" t="s">
        <v>37</v>
      </c>
      <c r="R359" t="s">
        <v>177</v>
      </c>
      <c r="S359">
        <v>0</v>
      </c>
      <c r="T359">
        <v>0.92</v>
      </c>
      <c r="U359" s="119">
        <f t="shared" si="28"/>
        <v>58.772666666666666</v>
      </c>
    </row>
    <row r="360" spans="1:21" x14ac:dyDescent="0.3">
      <c r="A360" s="76" t="s">
        <v>25</v>
      </c>
      <c r="B360" t="s">
        <v>82</v>
      </c>
      <c r="Q360" t="s">
        <v>37</v>
      </c>
      <c r="R360" t="s">
        <v>154</v>
      </c>
      <c r="S360">
        <v>0</v>
      </c>
      <c r="T360">
        <v>0.92</v>
      </c>
      <c r="U360" s="119">
        <f t="shared" si="28"/>
        <v>58.796433333333333</v>
      </c>
    </row>
    <row r="361" spans="1:21" x14ac:dyDescent="0.3">
      <c r="A361" s="76" t="s">
        <v>99</v>
      </c>
      <c r="B361" t="s">
        <v>25</v>
      </c>
      <c r="Q361" t="s">
        <v>37</v>
      </c>
      <c r="R361" t="s">
        <v>125</v>
      </c>
      <c r="S361">
        <v>0</v>
      </c>
      <c r="T361">
        <v>0.92</v>
      </c>
      <c r="U361" s="119">
        <f t="shared" si="28"/>
        <v>58.80716666666666</v>
      </c>
    </row>
    <row r="362" spans="1:21" x14ac:dyDescent="0.3">
      <c r="A362" s="76" t="s">
        <v>40</v>
      </c>
      <c r="B362" t="s">
        <v>40</v>
      </c>
      <c r="Q362" t="s">
        <v>37</v>
      </c>
      <c r="R362" t="s">
        <v>155</v>
      </c>
      <c r="S362">
        <v>0</v>
      </c>
      <c r="T362">
        <v>0.92</v>
      </c>
      <c r="U362" s="119">
        <f t="shared" si="28"/>
        <v>58.800266666666673</v>
      </c>
    </row>
    <row r="363" spans="1:21" x14ac:dyDescent="0.3">
      <c r="A363" s="76" t="s">
        <v>27</v>
      </c>
      <c r="B363" t="s">
        <v>27</v>
      </c>
      <c r="Q363" t="s">
        <v>37</v>
      </c>
      <c r="R363" t="s">
        <v>37</v>
      </c>
      <c r="S363">
        <v>0</v>
      </c>
      <c r="T363">
        <v>0.92</v>
      </c>
      <c r="U363" s="119">
        <f t="shared" si="28"/>
        <v>58.803333333333335</v>
      </c>
    </row>
    <row r="364" spans="1:21" x14ac:dyDescent="0.3">
      <c r="A364" s="76" t="s">
        <v>14</v>
      </c>
      <c r="B364" t="s">
        <v>14</v>
      </c>
    </row>
    <row r="365" spans="1:21" ht="15" thickBot="1" x14ac:dyDescent="0.35">
      <c r="A365" s="77" t="s">
        <v>37</v>
      </c>
    </row>
    <row r="366" spans="1:21" x14ac:dyDescent="0.3">
      <c r="B366" t="s">
        <v>641</v>
      </c>
    </row>
    <row r="367" spans="1:21" x14ac:dyDescent="0.3">
      <c r="A367" t="s">
        <v>322</v>
      </c>
      <c r="B367" t="s">
        <v>5</v>
      </c>
    </row>
    <row r="368" spans="1:21" x14ac:dyDescent="0.3">
      <c r="A368" t="s">
        <v>706</v>
      </c>
      <c r="B368" t="s">
        <v>30</v>
      </c>
    </row>
    <row r="369" spans="1:2" x14ac:dyDescent="0.3">
      <c r="A369" t="s">
        <v>707</v>
      </c>
      <c r="B369" t="s">
        <v>81</v>
      </c>
    </row>
    <row r="370" spans="1:2" x14ac:dyDescent="0.3">
      <c r="A370" t="s">
        <v>708</v>
      </c>
      <c r="B370" t="s">
        <v>20</v>
      </c>
    </row>
    <row r="371" spans="1:2" x14ac:dyDescent="0.3">
      <c r="A371" t="s">
        <v>709</v>
      </c>
      <c r="B371" t="s">
        <v>10</v>
      </c>
    </row>
    <row r="372" spans="1:2" x14ac:dyDescent="0.3">
      <c r="A372" t="s">
        <v>710</v>
      </c>
      <c r="B372" t="s">
        <v>12</v>
      </c>
    </row>
    <row r="373" spans="1:2" x14ac:dyDescent="0.3">
      <c r="A373" t="s">
        <v>711</v>
      </c>
      <c r="B373" t="s">
        <v>23</v>
      </c>
    </row>
    <row r="374" spans="1:2" x14ac:dyDescent="0.3">
      <c r="A374" t="s">
        <v>712</v>
      </c>
      <c r="B374" t="s">
        <v>99</v>
      </c>
    </row>
    <row r="375" spans="1:2" x14ac:dyDescent="0.3">
      <c r="A375" t="s">
        <v>713</v>
      </c>
      <c r="B375" t="s">
        <v>37</v>
      </c>
    </row>
    <row r="376" spans="1:2" x14ac:dyDescent="0.3">
      <c r="A376" t="s">
        <v>714</v>
      </c>
    </row>
    <row r="377" spans="1:2" x14ac:dyDescent="0.3">
      <c r="A377" t="s">
        <v>715</v>
      </c>
    </row>
    <row r="378" spans="1:2" x14ac:dyDescent="0.3">
      <c r="A378" t="s">
        <v>716</v>
      </c>
      <c r="B378" t="s">
        <v>639</v>
      </c>
    </row>
    <row r="379" spans="1:2" x14ac:dyDescent="0.3">
      <c r="A379" t="s">
        <v>717</v>
      </c>
    </row>
    <row r="380" spans="1:2" x14ac:dyDescent="0.3">
      <c r="A380" t="s">
        <v>718</v>
      </c>
    </row>
    <row r="381" spans="1:2" x14ac:dyDescent="0.3">
      <c r="A381" t="s">
        <v>719</v>
      </c>
    </row>
    <row r="382" spans="1:2" x14ac:dyDescent="0.3">
      <c r="A382" t="s">
        <v>720</v>
      </c>
    </row>
    <row r="383" spans="1:2" x14ac:dyDescent="0.3">
      <c r="A383" t="s">
        <v>721</v>
      </c>
    </row>
    <row r="384" spans="1:2" x14ac:dyDescent="0.3">
      <c r="A384" t="s">
        <v>722</v>
      </c>
    </row>
    <row r="385" spans="1:2" x14ac:dyDescent="0.3">
      <c r="A385" t="s">
        <v>723</v>
      </c>
    </row>
    <row r="386" spans="1:2" x14ac:dyDescent="0.3">
      <c r="A386" t="s">
        <v>724</v>
      </c>
    </row>
    <row r="387" spans="1:2" x14ac:dyDescent="0.3">
      <c r="A387" t="s">
        <v>725</v>
      </c>
    </row>
    <row r="388" spans="1:2" x14ac:dyDescent="0.3">
      <c r="A388" t="s">
        <v>726</v>
      </c>
    </row>
    <row r="389" spans="1:2" x14ac:dyDescent="0.3">
      <c r="A389" t="s">
        <v>727</v>
      </c>
    </row>
    <row r="390" spans="1:2" x14ac:dyDescent="0.3">
      <c r="B390" t="s">
        <v>682</v>
      </c>
    </row>
    <row r="391" spans="1:2" x14ac:dyDescent="0.3">
      <c r="B391" s="2" t="s">
        <v>672</v>
      </c>
    </row>
    <row r="392" spans="1:2" x14ac:dyDescent="0.3">
      <c r="B392" s="2" t="s">
        <v>675</v>
      </c>
    </row>
    <row r="393" spans="1:2" x14ac:dyDescent="0.3">
      <c r="B393" s="2" t="s">
        <v>677</v>
      </c>
    </row>
    <row r="395" spans="1:2" x14ac:dyDescent="0.3">
      <c r="B395" s="2" t="s">
        <v>751</v>
      </c>
    </row>
    <row r="396" spans="1:2" x14ac:dyDescent="0.3">
      <c r="B396" s="2" t="s">
        <v>672</v>
      </c>
    </row>
    <row r="397" spans="1:2" x14ac:dyDescent="0.3">
      <c r="B397" s="2" t="s">
        <v>675</v>
      </c>
    </row>
    <row r="398" spans="1:2" x14ac:dyDescent="0.3">
      <c r="B398" s="2" t="s">
        <v>677</v>
      </c>
    </row>
    <row r="400" spans="1:2" x14ac:dyDescent="0.3">
      <c r="B400" s="2" t="s">
        <v>752</v>
      </c>
    </row>
    <row r="401" spans="2:2" x14ac:dyDescent="0.3">
      <c r="B401" t="s">
        <v>672</v>
      </c>
    </row>
    <row r="402" spans="2:2" x14ac:dyDescent="0.3">
      <c r="B402" t="s">
        <v>678</v>
      </c>
    </row>
    <row r="403" spans="2:2" x14ac:dyDescent="0.3">
      <c r="B403" t="s">
        <v>679</v>
      </c>
    </row>
    <row r="404" spans="2:2" x14ac:dyDescent="0.3">
      <c r="B404" t="s">
        <v>680</v>
      </c>
    </row>
    <row r="405" spans="2:2" x14ac:dyDescent="0.3">
      <c r="B405" t="s">
        <v>681</v>
      </c>
    </row>
    <row r="407" spans="2:2" x14ac:dyDescent="0.3">
      <c r="B407" s="2" t="s">
        <v>753</v>
      </c>
    </row>
    <row r="408" spans="2:2" x14ac:dyDescent="0.3">
      <c r="B408" t="s">
        <v>672</v>
      </c>
    </row>
    <row r="409" spans="2:2" x14ac:dyDescent="0.3">
      <c r="B409" t="s">
        <v>678</v>
      </c>
    </row>
    <row r="410" spans="2:2" x14ac:dyDescent="0.3">
      <c r="B410" t="s">
        <v>679</v>
      </c>
    </row>
    <row r="411" spans="2:2" x14ac:dyDescent="0.3">
      <c r="B411" t="s">
        <v>680</v>
      </c>
    </row>
    <row r="412" spans="2:2" x14ac:dyDescent="0.3">
      <c r="B412" t="s">
        <v>681</v>
      </c>
    </row>
  </sheetData>
  <sortState xmlns:xlrd2="http://schemas.microsoft.com/office/spreadsheetml/2017/richdata2" ref="B366:B375">
    <sortCondition ref="B366:B375"/>
  </sortState>
  <phoneticPr fontId="1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199"/>
  <sheetViews>
    <sheetView zoomScaleNormal="100" workbookViewId="0">
      <pane xSplit="2" ySplit="1" topLeftCell="C96" activePane="bottomRight" state="frozen"/>
      <selection activeCell="B396" sqref="B396:B398"/>
      <selection pane="topRight" activeCell="B396" sqref="B396:B398"/>
      <selection pane="bottomLeft" activeCell="B396" sqref="B396:B398"/>
      <selection pane="bottomRight" activeCell="B396" sqref="B396:B398"/>
    </sheetView>
  </sheetViews>
  <sheetFormatPr defaultColWidth="11.44140625" defaultRowHeight="13.8" x14ac:dyDescent="0.3"/>
  <cols>
    <col min="1" max="1" width="53.5546875" style="2" customWidth="1"/>
    <col min="2" max="2" width="16.88671875" style="2" bestFit="1" customWidth="1"/>
    <col min="3" max="12" width="12.88671875" style="2" customWidth="1"/>
    <col min="13" max="16384" width="11.44140625" style="2"/>
  </cols>
  <sheetData>
    <row r="1" spans="1:11" x14ac:dyDescent="0.3">
      <c r="B1" s="2" t="s">
        <v>353</v>
      </c>
      <c r="C1" s="2" t="s">
        <v>354</v>
      </c>
      <c r="D1" s="2" t="s">
        <v>355</v>
      </c>
      <c r="E1" s="2" t="s">
        <v>356</v>
      </c>
      <c r="F1" s="2" t="s">
        <v>357</v>
      </c>
      <c r="G1" s="2" t="s">
        <v>358</v>
      </c>
      <c r="H1" s="2" t="s">
        <v>359</v>
      </c>
      <c r="I1" s="2" t="s">
        <v>360</v>
      </c>
      <c r="J1" s="2" t="s">
        <v>361</v>
      </c>
      <c r="K1" s="2" t="s">
        <v>362</v>
      </c>
    </row>
    <row r="2" spans="1:11" x14ac:dyDescent="0.3">
      <c r="A2" s="2" t="s">
        <v>363</v>
      </c>
      <c r="B2" s="2" t="s">
        <v>364</v>
      </c>
    </row>
    <row r="3" spans="1:11" x14ac:dyDescent="0.3">
      <c r="A3" s="2" t="s">
        <v>365</v>
      </c>
      <c r="B3" s="2" t="s">
        <v>366</v>
      </c>
    </row>
    <row r="4" spans="1:11" x14ac:dyDescent="0.3">
      <c r="A4" s="2" t="s">
        <v>367</v>
      </c>
      <c r="B4" s="2" t="s">
        <v>368</v>
      </c>
    </row>
    <row r="5" spans="1:11" x14ac:dyDescent="0.3">
      <c r="A5" s="2" t="s">
        <v>369</v>
      </c>
      <c r="B5" s="2" t="s">
        <v>370</v>
      </c>
      <c r="E5" s="3"/>
      <c r="F5" s="3"/>
      <c r="G5" s="3"/>
      <c r="H5" s="3"/>
      <c r="I5" s="3"/>
      <c r="J5" s="3"/>
      <c r="K5" s="3"/>
    </row>
    <row r="6" spans="1:11" x14ac:dyDescent="0.3">
      <c r="A6" s="2" t="s">
        <v>371</v>
      </c>
      <c r="B6" s="2" t="s">
        <v>372</v>
      </c>
    </row>
    <row r="7" spans="1:11" x14ac:dyDescent="0.3">
      <c r="A7" s="2" t="s">
        <v>373</v>
      </c>
      <c r="B7" s="2" t="s">
        <v>374</v>
      </c>
    </row>
    <row r="8" spans="1:11" x14ac:dyDescent="0.3">
      <c r="A8" s="2" t="s">
        <v>375</v>
      </c>
      <c r="B8" s="2" t="s">
        <v>376</v>
      </c>
    </row>
    <row r="9" spans="1:11" x14ac:dyDescent="0.3">
      <c r="A9" s="2" t="s">
        <v>377</v>
      </c>
      <c r="B9" s="2" t="s">
        <v>378</v>
      </c>
    </row>
    <row r="10" spans="1:11" x14ac:dyDescent="0.3">
      <c r="A10" s="2" t="s">
        <v>379</v>
      </c>
      <c r="B10" s="2" t="s">
        <v>380</v>
      </c>
    </row>
    <row r="11" spans="1:11" x14ac:dyDescent="0.3">
      <c r="A11" s="2" t="s">
        <v>381</v>
      </c>
      <c r="B11" s="2" t="s">
        <v>382</v>
      </c>
    </row>
    <row r="12" spans="1:11" x14ac:dyDescent="0.3">
      <c r="A12" s="2" t="s">
        <v>383</v>
      </c>
      <c r="B12" s="2" t="s">
        <v>384</v>
      </c>
    </row>
    <row r="14" spans="1:11" x14ac:dyDescent="0.3">
      <c r="A14" s="2" t="s">
        <v>385</v>
      </c>
      <c r="B14" s="2" t="s">
        <v>386</v>
      </c>
    </row>
    <row r="15" spans="1:11" x14ac:dyDescent="0.3">
      <c r="A15" s="2" t="s">
        <v>387</v>
      </c>
      <c r="B15" s="2" t="s">
        <v>388</v>
      </c>
    </row>
    <row r="17" spans="1:11" x14ac:dyDescent="0.3">
      <c r="A17" s="2" t="s">
        <v>389</v>
      </c>
      <c r="B17" s="2" t="s">
        <v>390</v>
      </c>
    </row>
    <row r="18" spans="1:11" x14ac:dyDescent="0.3">
      <c r="A18" s="2" t="s">
        <v>391</v>
      </c>
      <c r="B18" s="2" t="s">
        <v>392</v>
      </c>
    </row>
    <row r="19" spans="1:11" x14ac:dyDescent="0.3">
      <c r="A19" s="2" t="s">
        <v>393</v>
      </c>
      <c r="B19" s="2" t="s">
        <v>394</v>
      </c>
    </row>
    <row r="21" spans="1:11" x14ac:dyDescent="0.3">
      <c r="A21" s="2" t="s">
        <v>395</v>
      </c>
      <c r="B21" s="2" t="s">
        <v>396</v>
      </c>
    </row>
    <row r="22" spans="1:11" x14ac:dyDescent="0.3">
      <c r="A22" s="2" t="s">
        <v>397</v>
      </c>
      <c r="B22" s="2" t="s">
        <v>398</v>
      </c>
    </row>
    <row r="23" spans="1:11" x14ac:dyDescent="0.3">
      <c r="A23" s="2" t="s">
        <v>399</v>
      </c>
      <c r="B23" s="2" t="s">
        <v>400</v>
      </c>
    </row>
    <row r="24" spans="1:11" x14ac:dyDescent="0.3">
      <c r="A24" s="2" t="s">
        <v>401</v>
      </c>
      <c r="B24" s="2" t="s">
        <v>402</v>
      </c>
    </row>
    <row r="25" spans="1:11" x14ac:dyDescent="0.3">
      <c r="A25" s="2" t="s">
        <v>403</v>
      </c>
      <c r="B25" s="2" t="s">
        <v>404</v>
      </c>
    </row>
    <row r="26" spans="1:11" x14ac:dyDescent="0.3">
      <c r="A26" s="2" t="s">
        <v>405</v>
      </c>
      <c r="B26" s="2" t="s">
        <v>406</v>
      </c>
    </row>
    <row r="27" spans="1:11" x14ac:dyDescent="0.3">
      <c r="A27" s="2" t="s">
        <v>407</v>
      </c>
      <c r="B27" s="2" t="s">
        <v>408</v>
      </c>
    </row>
    <row r="28" spans="1:11" x14ac:dyDescent="0.3">
      <c r="A28" s="2" t="s">
        <v>409</v>
      </c>
      <c r="B28" s="2" t="s">
        <v>410</v>
      </c>
      <c r="C28" s="4">
        <v>0</v>
      </c>
      <c r="D28" s="4">
        <v>0</v>
      </c>
      <c r="E28" s="4">
        <v>0</v>
      </c>
      <c r="F28" s="4">
        <v>0</v>
      </c>
      <c r="G28" s="4">
        <v>0</v>
      </c>
      <c r="H28" s="4">
        <v>0</v>
      </c>
      <c r="I28" s="4">
        <v>0</v>
      </c>
      <c r="J28" s="4">
        <v>0</v>
      </c>
      <c r="K28" s="4">
        <v>0</v>
      </c>
    </row>
    <row r="29" spans="1:11" x14ac:dyDescent="0.3">
      <c r="A29" s="2" t="s">
        <v>411</v>
      </c>
      <c r="B29" s="2" t="s">
        <v>412</v>
      </c>
      <c r="C29" s="4">
        <v>0</v>
      </c>
      <c r="D29" s="4">
        <v>0</v>
      </c>
      <c r="E29" s="4">
        <v>0</v>
      </c>
      <c r="F29" s="4">
        <v>0</v>
      </c>
      <c r="G29" s="4">
        <v>0</v>
      </c>
      <c r="H29" s="4">
        <v>0</v>
      </c>
      <c r="I29" s="4">
        <v>0</v>
      </c>
      <c r="J29" s="4">
        <v>0</v>
      </c>
      <c r="K29" s="4">
        <v>0</v>
      </c>
    </row>
    <row r="31" spans="1:11" x14ac:dyDescent="0.3">
      <c r="A31" s="2" t="s">
        <v>413</v>
      </c>
      <c r="B31" s="2" t="s">
        <v>414</v>
      </c>
    </row>
    <row r="32" spans="1:11" x14ac:dyDescent="0.3">
      <c r="A32" s="2" t="s">
        <v>415</v>
      </c>
      <c r="B32" s="2" t="s">
        <v>416</v>
      </c>
      <c r="C32" s="4">
        <v>0</v>
      </c>
      <c r="D32" s="4">
        <v>0</v>
      </c>
      <c r="E32" s="4">
        <v>0</v>
      </c>
      <c r="F32" s="4">
        <v>0</v>
      </c>
      <c r="G32" s="4">
        <v>0</v>
      </c>
      <c r="H32" s="4">
        <v>0</v>
      </c>
      <c r="I32" s="4">
        <v>0</v>
      </c>
      <c r="J32" s="4">
        <v>0</v>
      </c>
      <c r="K32" s="4">
        <v>0</v>
      </c>
    </row>
    <row r="33" spans="1:11" x14ac:dyDescent="0.3">
      <c r="A33" s="2" t="s">
        <v>417</v>
      </c>
      <c r="B33" s="2" t="s">
        <v>418</v>
      </c>
      <c r="C33" s="4">
        <v>0</v>
      </c>
      <c r="D33" s="4">
        <v>0</v>
      </c>
      <c r="E33" s="4">
        <v>0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0</v>
      </c>
    </row>
    <row r="34" spans="1:11" x14ac:dyDescent="0.3">
      <c r="A34" s="2" t="s">
        <v>419</v>
      </c>
      <c r="B34" s="2" t="s">
        <v>420</v>
      </c>
      <c r="C34" s="4">
        <v>0</v>
      </c>
      <c r="D34" s="4">
        <v>0</v>
      </c>
      <c r="E34" s="4">
        <v>0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0</v>
      </c>
    </row>
    <row r="35" spans="1:11" x14ac:dyDescent="0.3">
      <c r="A35" s="2" t="s">
        <v>421</v>
      </c>
      <c r="B35" s="2" t="s">
        <v>422</v>
      </c>
    </row>
    <row r="37" spans="1:11" x14ac:dyDescent="0.3">
      <c r="A37" s="2" t="s">
        <v>423</v>
      </c>
      <c r="B37" s="2" t="s">
        <v>424</v>
      </c>
    </row>
    <row r="38" spans="1:11" x14ac:dyDescent="0.3">
      <c r="A38" s="2" t="s">
        <v>425</v>
      </c>
      <c r="B38" s="2" t="s">
        <v>426</v>
      </c>
    </row>
    <row r="39" spans="1:11" x14ac:dyDescent="0.3">
      <c r="A39" s="2" t="s">
        <v>427</v>
      </c>
      <c r="B39" s="2" t="s">
        <v>428</v>
      </c>
      <c r="J39" s="3"/>
      <c r="K39" s="3"/>
    </row>
    <row r="40" spans="1:11" x14ac:dyDescent="0.3">
      <c r="A40" s="2" t="s">
        <v>429</v>
      </c>
      <c r="B40" s="2" t="s">
        <v>430</v>
      </c>
      <c r="J40" s="3"/>
      <c r="K40" s="3"/>
    </row>
    <row r="41" spans="1:11" x14ac:dyDescent="0.3">
      <c r="A41" s="2" t="s">
        <v>431</v>
      </c>
      <c r="B41" s="2" t="s">
        <v>432</v>
      </c>
    </row>
    <row r="43" spans="1:11" x14ac:dyDescent="0.3">
      <c r="A43" s="5" t="s">
        <v>433</v>
      </c>
    </row>
    <row r="44" spans="1:11" x14ac:dyDescent="0.3">
      <c r="A44" s="2" t="s">
        <v>434</v>
      </c>
      <c r="C44" s="6">
        <v>0</v>
      </c>
      <c r="D44" s="6">
        <v>0</v>
      </c>
      <c r="E44" s="6">
        <v>0</v>
      </c>
      <c r="F44" s="6">
        <v>0</v>
      </c>
      <c r="G44" s="6">
        <v>0</v>
      </c>
      <c r="H44" s="6">
        <v>0</v>
      </c>
      <c r="I44" s="6">
        <v>0</v>
      </c>
      <c r="J44" s="6">
        <v>0</v>
      </c>
      <c r="K44" s="6">
        <v>0</v>
      </c>
    </row>
    <row r="45" spans="1:11" x14ac:dyDescent="0.3">
      <c r="A45" s="2" t="s">
        <v>435</v>
      </c>
      <c r="C45" s="6">
        <v>0</v>
      </c>
      <c r="D45" s="6">
        <v>0</v>
      </c>
      <c r="E45" s="6">
        <v>0</v>
      </c>
      <c r="F45" s="6">
        <v>-9.9999999999999995E-7</v>
      </c>
      <c r="G45" s="6">
        <v>0</v>
      </c>
      <c r="H45" s="6">
        <v>-9.9999999999999995E-7</v>
      </c>
      <c r="I45" s="6">
        <v>0</v>
      </c>
      <c r="J45" s="6">
        <v>0</v>
      </c>
      <c r="K45" s="6">
        <v>0</v>
      </c>
    </row>
    <row r="46" spans="1:11" x14ac:dyDescent="0.3">
      <c r="A46" s="2" t="s">
        <v>436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</row>
    <row r="47" spans="1:11" x14ac:dyDescent="0.3">
      <c r="A47" s="2" t="s">
        <v>437</v>
      </c>
      <c r="C47" s="6">
        <v>0</v>
      </c>
      <c r="D47" s="6">
        <v>0</v>
      </c>
      <c r="E47" s="6">
        <v>0</v>
      </c>
      <c r="F47" s="6">
        <v>-9.9999999999999995E-7</v>
      </c>
      <c r="G47" s="6">
        <v>-9.9999999999999995E-7</v>
      </c>
      <c r="H47" s="6">
        <v>9.9999999999999995E-7</v>
      </c>
      <c r="I47" s="6">
        <v>9.9999999999999995E-7</v>
      </c>
      <c r="J47" s="6">
        <v>0</v>
      </c>
      <c r="K47" s="6">
        <v>0</v>
      </c>
    </row>
    <row r="49" spans="1:15" x14ac:dyDescent="0.3">
      <c r="A49" s="5" t="s">
        <v>438</v>
      </c>
    </row>
    <row r="50" spans="1:15" x14ac:dyDescent="0.3">
      <c r="A50" s="2" t="s">
        <v>434</v>
      </c>
      <c r="C50" s="6">
        <v>0</v>
      </c>
      <c r="D50" s="6">
        <v>0</v>
      </c>
      <c r="E50" s="6">
        <v>0</v>
      </c>
      <c r="F50" s="6">
        <v>9.9999999999999995E-7</v>
      </c>
      <c r="G50" s="6">
        <v>9.9999999999999995E-7</v>
      </c>
      <c r="H50" s="6">
        <v>9.9999999999999995E-7</v>
      </c>
      <c r="I50" s="6">
        <v>0</v>
      </c>
      <c r="J50" s="6">
        <v>0</v>
      </c>
      <c r="K50" s="6">
        <v>0</v>
      </c>
    </row>
    <row r="51" spans="1:15" x14ac:dyDescent="0.3">
      <c r="A51" s="2" t="s">
        <v>435</v>
      </c>
      <c r="C51" s="6">
        <v>0</v>
      </c>
      <c r="D51" s="6">
        <v>0</v>
      </c>
      <c r="E51" s="6">
        <v>0</v>
      </c>
      <c r="F51" s="6">
        <v>0</v>
      </c>
      <c r="G51" s="6">
        <v>0</v>
      </c>
      <c r="H51" s="6">
        <v>0</v>
      </c>
      <c r="I51" s="6">
        <v>0</v>
      </c>
      <c r="J51" s="6">
        <v>9.9999999999999995E-7</v>
      </c>
      <c r="K51" s="6">
        <v>0</v>
      </c>
    </row>
    <row r="52" spans="1:15" x14ac:dyDescent="0.3">
      <c r="A52" s="2" t="s">
        <v>436</v>
      </c>
      <c r="C52" s="6">
        <v>0</v>
      </c>
      <c r="D52" s="6">
        <v>-9.9999999999999995E-7</v>
      </c>
      <c r="E52" s="6">
        <v>0</v>
      </c>
      <c r="F52" s="6">
        <v>0</v>
      </c>
      <c r="G52" s="6">
        <v>9.9999999999999995E-7</v>
      </c>
      <c r="H52" s="6">
        <v>0</v>
      </c>
      <c r="I52" s="6">
        <v>-9.9999999999999995E-7</v>
      </c>
      <c r="J52" s="6">
        <v>0</v>
      </c>
      <c r="K52" s="6">
        <v>-9.9999999999999995E-7</v>
      </c>
    </row>
    <row r="53" spans="1:15" x14ac:dyDescent="0.3">
      <c r="A53" s="2" t="s">
        <v>437</v>
      </c>
      <c r="C53" s="6">
        <v>0</v>
      </c>
      <c r="D53" s="6">
        <v>0</v>
      </c>
      <c r="E53" s="6">
        <v>0</v>
      </c>
      <c r="F53" s="6">
        <v>0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</row>
    <row r="55" spans="1:15" x14ac:dyDescent="0.3">
      <c r="A55" s="5" t="s">
        <v>439</v>
      </c>
      <c r="B55" s="2" t="str">
        <f>B$1</f>
        <v>Elegir Trim.</v>
      </c>
      <c r="C55" s="2" t="str">
        <f t="shared" ref="C55:K55" si="0">C$1</f>
        <v>Nov 21-Ene 22</v>
      </c>
      <c r="D55" s="2" t="str">
        <f t="shared" si="0"/>
        <v>Feb-Abr 22</v>
      </c>
      <c r="E55" s="2" t="str">
        <f t="shared" si="0"/>
        <v>May-Jul 22</v>
      </c>
      <c r="F55" s="2" t="str">
        <f t="shared" si="0"/>
        <v>Ago-Oct 22</v>
      </c>
      <c r="G55" s="2" t="str">
        <f t="shared" si="0"/>
        <v>Nov 22-Ene 23</v>
      </c>
      <c r="H55" s="2" t="str">
        <f t="shared" si="0"/>
        <v>Feb-Abr 23</v>
      </c>
      <c r="I55" s="2" t="str">
        <f t="shared" si="0"/>
        <v>May-Jul 23</v>
      </c>
      <c r="J55" s="2" t="str">
        <f t="shared" si="0"/>
        <v>Ago-Oct 23</v>
      </c>
      <c r="K55" s="2" t="str">
        <f t="shared" si="0"/>
        <v>Nov 23-Ene 24</v>
      </c>
    </row>
    <row r="56" spans="1:15" x14ac:dyDescent="0.3">
      <c r="A56" s="2" t="s">
        <v>440</v>
      </c>
      <c r="B56" s="2" t="s">
        <v>441</v>
      </c>
      <c r="C56" s="7">
        <v>7.0388000000000006E-2</v>
      </c>
      <c r="D56" s="7">
        <v>7.2089E-2</v>
      </c>
      <c r="E56" s="7">
        <v>7.5747999999999996E-2</v>
      </c>
      <c r="F56" s="7">
        <v>7.9696000000000003E-2</v>
      </c>
      <c r="G56" s="7">
        <v>7.9696000000000003E-2</v>
      </c>
      <c r="H56" s="7">
        <v>7.8784000000000007E-2</v>
      </c>
      <c r="I56" s="7"/>
      <c r="J56" s="7"/>
      <c r="K56" s="7"/>
      <c r="L56" s="7"/>
      <c r="M56" s="7"/>
      <c r="N56" s="7"/>
      <c r="O56" s="7"/>
    </row>
    <row r="57" spans="1:15" x14ac:dyDescent="0.3">
      <c r="A57" s="2" t="s">
        <v>442</v>
      </c>
      <c r="B57" s="2" t="s">
        <v>443</v>
      </c>
      <c r="C57" s="7">
        <v>6.9031999999999996E-2</v>
      </c>
      <c r="D57" s="7">
        <v>7.0733000000000004E-2</v>
      </c>
      <c r="E57" s="7">
        <v>7.3713000000000001E-2</v>
      </c>
      <c r="F57" s="7">
        <v>7.7660999999999994E-2</v>
      </c>
      <c r="G57" s="7">
        <v>7.7660999999999994E-2</v>
      </c>
      <c r="H57" s="7">
        <v>7.6748999999999998E-2</v>
      </c>
      <c r="I57" s="7"/>
      <c r="J57" s="7"/>
      <c r="K57" s="7"/>
      <c r="L57" s="7"/>
      <c r="M57" s="7"/>
      <c r="N57" s="7"/>
      <c r="O57" s="7"/>
    </row>
    <row r="58" spans="1:15" x14ac:dyDescent="0.3">
      <c r="A58" s="2" t="s">
        <v>444</v>
      </c>
      <c r="B58" s="2" t="s">
        <v>445</v>
      </c>
      <c r="C58" s="7">
        <v>6.8269999999999997E-2</v>
      </c>
      <c r="D58" s="7">
        <v>6.9971000000000005E-2</v>
      </c>
      <c r="E58" s="7">
        <v>7.2230000000000003E-2</v>
      </c>
      <c r="F58" s="7">
        <v>7.6177999999999996E-2</v>
      </c>
      <c r="G58" s="7">
        <v>7.6177999999999996E-2</v>
      </c>
      <c r="H58" s="7">
        <v>7.5266E-2</v>
      </c>
      <c r="I58" s="7"/>
      <c r="J58" s="7"/>
      <c r="K58" s="7"/>
      <c r="L58" s="7"/>
      <c r="M58" s="7"/>
      <c r="N58" s="7"/>
      <c r="O58" s="7"/>
    </row>
    <row r="59" spans="1:15" x14ac:dyDescent="0.3">
      <c r="A59" s="2" t="s">
        <v>446</v>
      </c>
      <c r="B59" s="2" t="s">
        <v>447</v>
      </c>
      <c r="C59" s="7">
        <v>70.491388000000001</v>
      </c>
      <c r="D59" s="7">
        <v>70.760479000000004</v>
      </c>
      <c r="E59" s="7">
        <v>70.760495000000006</v>
      </c>
      <c r="F59" s="7">
        <v>73.056306000000006</v>
      </c>
      <c r="G59" s="7">
        <v>73.056306000000006</v>
      </c>
      <c r="H59" s="7">
        <v>76.286305999999996</v>
      </c>
      <c r="I59" s="7"/>
      <c r="J59" s="7"/>
      <c r="K59" s="7"/>
      <c r="L59" s="7"/>
      <c r="M59" s="7"/>
      <c r="N59" s="7"/>
      <c r="O59" s="7"/>
    </row>
    <row r="61" spans="1:15" x14ac:dyDescent="0.3">
      <c r="A61" s="5" t="s">
        <v>448</v>
      </c>
      <c r="B61" s="2" t="str">
        <f>B$1</f>
        <v>Elegir Trim.</v>
      </c>
      <c r="C61" s="2" t="str">
        <f t="shared" ref="C61:K61" si="1">C$1</f>
        <v>Nov 21-Ene 22</v>
      </c>
      <c r="D61" s="2" t="str">
        <f t="shared" si="1"/>
        <v>Feb-Abr 22</v>
      </c>
      <c r="E61" s="2" t="str">
        <f t="shared" si="1"/>
        <v>May-Jul 22</v>
      </c>
      <c r="F61" s="2" t="str">
        <f t="shared" si="1"/>
        <v>Ago-Oct 22</v>
      </c>
      <c r="G61" s="2" t="str">
        <f t="shared" si="1"/>
        <v>Nov 22-Ene 23</v>
      </c>
      <c r="H61" s="2" t="str">
        <f t="shared" si="1"/>
        <v>Feb-Abr 23</v>
      </c>
      <c r="I61" s="2" t="str">
        <f t="shared" si="1"/>
        <v>May-Jul 23</v>
      </c>
      <c r="J61" s="2" t="str">
        <f t="shared" si="1"/>
        <v>Ago-Oct 23</v>
      </c>
      <c r="K61" s="2" t="str">
        <f t="shared" si="1"/>
        <v>Nov 23-Ene 24</v>
      </c>
    </row>
    <row r="62" spans="1:15" x14ac:dyDescent="0.3">
      <c r="A62" s="2" t="s">
        <v>440</v>
      </c>
      <c r="B62" s="2" t="s">
        <v>441</v>
      </c>
      <c r="C62" s="7">
        <v>1.7644E-2</v>
      </c>
      <c r="D62" s="7">
        <v>1.8069999999999999E-2</v>
      </c>
      <c r="E62" s="7">
        <v>1.8987E-2</v>
      </c>
      <c r="F62" s="7">
        <v>1.9977000000000002E-2</v>
      </c>
      <c r="G62" s="7">
        <v>1.7997699999999998E-2</v>
      </c>
      <c r="H62" s="7">
        <v>1.9748000000000002E-2</v>
      </c>
      <c r="I62" s="7"/>
      <c r="J62" s="7"/>
      <c r="K62" s="7"/>
      <c r="L62" s="7"/>
      <c r="M62" s="7"/>
      <c r="N62" s="7"/>
      <c r="O62" s="7"/>
    </row>
    <row r="63" spans="1:15" x14ac:dyDescent="0.3">
      <c r="A63" s="2" t="s">
        <v>442</v>
      </c>
      <c r="B63" s="2" t="s">
        <v>443</v>
      </c>
      <c r="C63" s="7">
        <v>1.7304E-2</v>
      </c>
      <c r="D63" s="7">
        <v>1.7729999999999999E-2</v>
      </c>
      <c r="E63" s="7">
        <v>1.8477E-2</v>
      </c>
      <c r="F63" s="7">
        <v>1.9467000000000002E-2</v>
      </c>
      <c r="G63" s="7">
        <v>1.9467000000000002E-2</v>
      </c>
      <c r="H63" s="7">
        <v>1.9238000000000002E-2</v>
      </c>
      <c r="I63" s="7"/>
      <c r="J63" s="7"/>
      <c r="K63" s="7"/>
      <c r="L63" s="7"/>
      <c r="M63" s="7"/>
      <c r="N63" s="7"/>
      <c r="O63" s="7"/>
    </row>
    <row r="64" spans="1:15" x14ac:dyDescent="0.3">
      <c r="A64" s="2" t="s">
        <v>444</v>
      </c>
      <c r="B64" s="2" t="s">
        <v>445</v>
      </c>
      <c r="C64" s="7">
        <v>1.7111999999999999E-2</v>
      </c>
      <c r="D64" s="7">
        <v>1.7538000000000002E-2</v>
      </c>
      <c r="E64" s="7">
        <v>1.8105E-2</v>
      </c>
      <c r="F64" s="7">
        <v>1.9095000000000001E-2</v>
      </c>
      <c r="G64" s="7">
        <v>1.9095000000000001E-2</v>
      </c>
      <c r="H64" s="7">
        <v>1.8866000000000001E-2</v>
      </c>
      <c r="I64" s="7"/>
      <c r="J64" s="7"/>
      <c r="K64" s="7"/>
      <c r="L64" s="7"/>
      <c r="M64" s="7"/>
      <c r="N64" s="7"/>
      <c r="O64" s="7"/>
    </row>
    <row r="65" spans="1:15" x14ac:dyDescent="0.3">
      <c r="A65" s="2" t="s">
        <v>446</v>
      </c>
      <c r="B65" s="2" t="s">
        <v>447</v>
      </c>
      <c r="C65" s="7">
        <v>24.688973000000001</v>
      </c>
      <c r="D65" s="7">
        <v>24.710927000000002</v>
      </c>
      <c r="E65" s="7">
        <v>24.710932</v>
      </c>
      <c r="F65" s="7">
        <v>25.812425999999999</v>
      </c>
      <c r="G65" s="7">
        <v>25.812425999999999</v>
      </c>
      <c r="H65" s="7">
        <v>28.038135</v>
      </c>
      <c r="I65" s="7"/>
      <c r="J65" s="7"/>
      <c r="K65" s="7"/>
      <c r="L65" s="7"/>
      <c r="M65" s="7"/>
      <c r="N65" s="7"/>
      <c r="O65" s="7"/>
    </row>
    <row r="67" spans="1:15" x14ac:dyDescent="0.3">
      <c r="A67" s="8" t="s">
        <v>449</v>
      </c>
    </row>
    <row r="68" spans="1:15" x14ac:dyDescent="0.3">
      <c r="A68" s="2" t="s">
        <v>450</v>
      </c>
      <c r="B68" s="5" t="s">
        <v>451</v>
      </c>
      <c r="C68" s="9" t="s">
        <v>452</v>
      </c>
      <c r="D68" s="9" t="s">
        <v>453</v>
      </c>
      <c r="E68" s="9" t="s">
        <v>454</v>
      </c>
      <c r="F68" s="9" t="s">
        <v>455</v>
      </c>
      <c r="G68" s="9" t="s">
        <v>456</v>
      </c>
      <c r="H68" s="9" t="s">
        <v>457</v>
      </c>
      <c r="I68" s="9"/>
      <c r="J68" s="9"/>
      <c r="K68" s="9"/>
      <c r="L68" s="9"/>
      <c r="M68" s="9"/>
      <c r="N68" s="9"/>
      <c r="O68" s="9"/>
    </row>
    <row r="69" spans="1:15" ht="14.4" thickBot="1" x14ac:dyDescent="0.35"/>
    <row r="70" spans="1:15" ht="14.4" thickBot="1" x14ac:dyDescent="0.35">
      <c r="A70" s="141" t="s">
        <v>458</v>
      </c>
      <c r="B70" s="142"/>
      <c r="C70" s="10"/>
      <c r="E70" s="11" t="s">
        <v>459</v>
      </c>
    </row>
    <row r="71" spans="1:15" x14ac:dyDescent="0.3">
      <c r="A71" s="137" t="s">
        <v>460</v>
      </c>
      <c r="B71" s="138" t="s">
        <v>460</v>
      </c>
      <c r="C71" s="12" t="e">
        <f>ROUND(F74/SUM(E71:E73),6)</f>
        <v>#DIV/0!</v>
      </c>
      <c r="E71" s="13">
        <v>0</v>
      </c>
      <c r="F71" s="14">
        <v>0</v>
      </c>
    </row>
    <row r="72" spans="1:15" x14ac:dyDescent="0.3">
      <c r="A72" s="137" t="s">
        <v>461</v>
      </c>
      <c r="B72" s="138"/>
      <c r="C72" s="15">
        <v>0</v>
      </c>
      <c r="E72" s="13">
        <v>0</v>
      </c>
      <c r="F72" s="16">
        <v>0</v>
      </c>
    </row>
    <row r="73" spans="1:15" ht="14.4" thickBot="1" x14ac:dyDescent="0.35">
      <c r="A73" s="137" t="s">
        <v>462</v>
      </c>
      <c r="B73" s="138"/>
      <c r="C73" s="15">
        <v>0</v>
      </c>
      <c r="E73" s="17">
        <v>0</v>
      </c>
      <c r="F73" s="18">
        <v>0</v>
      </c>
    </row>
    <row r="74" spans="1:15" ht="14.4" thickBot="1" x14ac:dyDescent="0.35">
      <c r="A74" s="137"/>
      <c r="B74" s="138"/>
      <c r="C74" s="12"/>
      <c r="E74" s="19" t="s">
        <v>463</v>
      </c>
      <c r="F74" s="20">
        <f>SUM(F71:F73)</f>
        <v>0</v>
      </c>
    </row>
    <row r="75" spans="1:15" ht="14.4" thickBot="1" x14ac:dyDescent="0.35">
      <c r="A75" s="137" t="s">
        <v>464</v>
      </c>
      <c r="B75" s="138"/>
      <c r="C75" s="12"/>
      <c r="E75" s="11" t="s">
        <v>459</v>
      </c>
    </row>
    <row r="76" spans="1:15" x14ac:dyDescent="0.3">
      <c r="A76" s="137" t="s">
        <v>460</v>
      </c>
      <c r="B76" s="138"/>
      <c r="C76" s="12" t="e">
        <f>ROUND(F79/SUM(E76:E78),6)</f>
        <v>#DIV/0!</v>
      </c>
      <c r="E76" s="13">
        <v>0</v>
      </c>
      <c r="F76" s="14">
        <v>0</v>
      </c>
      <c r="G76" s="21"/>
      <c r="H76" s="21"/>
      <c r="I76" s="21"/>
      <c r="J76" s="21"/>
      <c r="K76" s="21"/>
    </row>
    <row r="77" spans="1:15" x14ac:dyDescent="0.3">
      <c r="A77" s="137" t="s">
        <v>461</v>
      </c>
      <c r="B77" s="138"/>
      <c r="C77" s="15">
        <v>0</v>
      </c>
      <c r="E77" s="13">
        <v>0</v>
      </c>
      <c r="F77" s="16">
        <v>0</v>
      </c>
      <c r="G77" s="21"/>
      <c r="H77" s="21"/>
      <c r="I77" s="21"/>
      <c r="J77" s="21"/>
      <c r="K77" s="21"/>
    </row>
    <row r="78" spans="1:15" ht="14.4" thickBot="1" x14ac:dyDescent="0.35">
      <c r="A78" s="139" t="s">
        <v>462</v>
      </c>
      <c r="B78" s="140"/>
      <c r="C78" s="22">
        <v>0</v>
      </c>
      <c r="E78" s="17">
        <v>0</v>
      </c>
      <c r="F78" s="18">
        <v>0</v>
      </c>
      <c r="G78" s="21"/>
      <c r="H78" s="21"/>
      <c r="I78" s="21"/>
      <c r="J78" s="21"/>
      <c r="K78" s="21"/>
    </row>
    <row r="79" spans="1:15" ht="14.4" thickBot="1" x14ac:dyDescent="0.35">
      <c r="E79" s="19" t="s">
        <v>463</v>
      </c>
      <c r="F79" s="20">
        <f>SUM(F76:F78)</f>
        <v>0</v>
      </c>
      <c r="G79" s="23">
        <v>0</v>
      </c>
      <c r="H79" s="23"/>
      <c r="I79" s="23"/>
      <c r="J79" s="23"/>
      <c r="K79" s="23"/>
    </row>
    <row r="80" spans="1:15" x14ac:dyDescent="0.3">
      <c r="A80" s="24" t="s">
        <v>465</v>
      </c>
      <c r="B80" s="8"/>
      <c r="C80" s="8"/>
      <c r="D80" s="25"/>
      <c r="E80" s="8"/>
      <c r="F80" s="8"/>
      <c r="G80" s="8">
        <v>0</v>
      </c>
      <c r="H80" s="8"/>
      <c r="I80" s="8"/>
      <c r="J80" s="8"/>
      <c r="K80" s="8"/>
    </row>
    <row r="81" spans="1:11" x14ac:dyDescent="0.3">
      <c r="A81" s="26" t="s">
        <v>466</v>
      </c>
      <c r="B81" s="26">
        <v>0</v>
      </c>
      <c r="C81" s="27" t="s">
        <v>467</v>
      </c>
      <c r="D81" s="28">
        <v>1</v>
      </c>
      <c r="E81" s="26"/>
      <c r="F81" s="29">
        <f>D81*B81</f>
        <v>0</v>
      </c>
      <c r="G81" s="8"/>
      <c r="H81" s="8"/>
      <c r="I81" s="8"/>
      <c r="J81" s="8"/>
      <c r="K81" s="8"/>
    </row>
    <row r="82" spans="1:11" x14ac:dyDescent="0.3">
      <c r="A82" s="26" t="s">
        <v>468</v>
      </c>
      <c r="B82" s="26">
        <v>0</v>
      </c>
      <c r="C82" s="27" t="s">
        <v>469</v>
      </c>
      <c r="D82" s="30">
        <v>0</v>
      </c>
      <c r="E82" s="26" t="s">
        <v>470</v>
      </c>
      <c r="F82" s="29">
        <f>D82*B82</f>
        <v>0</v>
      </c>
      <c r="G82" s="8"/>
      <c r="H82" s="8"/>
      <c r="I82" s="8"/>
      <c r="J82" s="8"/>
      <c r="K82" s="8"/>
    </row>
    <row r="83" spans="1:11" x14ac:dyDescent="0.3">
      <c r="A83" s="26" t="s">
        <v>471</v>
      </c>
      <c r="B83" s="26">
        <v>0</v>
      </c>
      <c r="C83" s="27" t="s">
        <v>472</v>
      </c>
      <c r="D83" s="30">
        <v>0</v>
      </c>
      <c r="E83" s="26"/>
      <c r="F83" s="29">
        <f>D83*B83</f>
        <v>0</v>
      </c>
      <c r="G83" s="8"/>
      <c r="H83" s="8"/>
      <c r="I83" s="8"/>
      <c r="J83" s="8"/>
      <c r="K83" s="8"/>
    </row>
    <row r="84" spans="1:11" ht="14.4" thickBot="1" x14ac:dyDescent="0.35">
      <c r="A84" s="26" t="s">
        <v>473</v>
      </c>
      <c r="B84" s="26">
        <v>0</v>
      </c>
      <c r="C84" s="27" t="s">
        <v>472</v>
      </c>
      <c r="D84" s="30">
        <v>0</v>
      </c>
      <c r="E84" s="26"/>
      <c r="F84" s="29">
        <f>D84*B84</f>
        <v>0</v>
      </c>
      <c r="G84" s="8"/>
      <c r="H84" s="8"/>
      <c r="I84" s="8"/>
      <c r="J84" s="8"/>
      <c r="K84" s="8"/>
    </row>
    <row r="85" spans="1:11" ht="15" thickTop="1" thickBot="1" x14ac:dyDescent="0.35">
      <c r="A85" s="26" t="s">
        <v>474</v>
      </c>
      <c r="B85" s="31"/>
      <c r="C85" s="32"/>
      <c r="D85" s="31"/>
      <c r="E85" s="33"/>
      <c r="F85" s="34">
        <f>SUM(F81:F84)</f>
        <v>0</v>
      </c>
      <c r="G85" s="8"/>
      <c r="H85" s="8"/>
      <c r="I85" s="8"/>
      <c r="J85" s="8"/>
      <c r="K85" s="8"/>
    </row>
    <row r="86" spans="1:11" ht="14.4" thickTop="1" x14ac:dyDescent="0.3">
      <c r="A86" s="26" t="s">
        <v>475</v>
      </c>
      <c r="B86" s="35">
        <f>F85*C88</f>
        <v>0</v>
      </c>
      <c r="C86" s="27" t="s">
        <v>476</v>
      </c>
      <c r="D86" s="26"/>
      <c r="E86" s="26"/>
      <c r="F86" s="36">
        <f>F85*(1+C88)</f>
        <v>0</v>
      </c>
      <c r="G86" s="8"/>
      <c r="H86" s="8"/>
      <c r="I86" s="8"/>
      <c r="J86" s="8"/>
      <c r="K86" s="8"/>
    </row>
    <row r="87" spans="1:11" ht="14.4" thickBot="1" x14ac:dyDescent="0.35">
      <c r="A87" s="8"/>
      <c r="B87" s="8"/>
      <c r="C87" s="37"/>
      <c r="D87" s="8"/>
      <c r="E87" s="8"/>
      <c r="F87" s="29"/>
      <c r="G87" s="8"/>
      <c r="H87" s="8"/>
      <c r="I87" s="8"/>
      <c r="J87" s="8"/>
      <c r="K87" s="8"/>
    </row>
    <row r="88" spans="1:11" ht="14.4" thickBot="1" x14ac:dyDescent="0.35">
      <c r="A88" s="8"/>
      <c r="B88" s="38" t="s">
        <v>477</v>
      </c>
      <c r="C88" s="39">
        <v>0.12</v>
      </c>
      <c r="D88" s="38" t="s">
        <v>478</v>
      </c>
      <c r="E88" s="40">
        <v>0.9</v>
      </c>
      <c r="F88" s="29"/>
      <c r="G88" s="8"/>
      <c r="H88" s="8"/>
      <c r="I88" s="8"/>
      <c r="J88" s="8"/>
      <c r="K88" s="8"/>
    </row>
    <row r="89" spans="1:11" x14ac:dyDescent="0.3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</row>
    <row r="90" spans="1:11" x14ac:dyDescent="0.3">
      <c r="A90" s="8" t="s">
        <v>479</v>
      </c>
      <c r="B90" s="8"/>
      <c r="C90" s="8"/>
      <c r="D90" s="8"/>
      <c r="E90" s="8"/>
      <c r="F90" s="8">
        <f>(IF(ROUND(E88,4)&gt;=0.9,0,(F83+F84+F82)*(0.9-ROUND(E88,4)))*(1+C88))+IF(D83&gt;D84,IF((D83-D84)/D84&gt;=5%,B84*2*(D83-D84)*(1+C88),(D83-D84)*B84*(1+C88)),0)</f>
        <v>0</v>
      </c>
      <c r="G90" s="8"/>
      <c r="H90" s="8"/>
      <c r="I90" s="8"/>
      <c r="J90" s="8"/>
      <c r="K90" s="8"/>
    </row>
    <row r="91" spans="1:11" ht="14.4" thickBot="1" x14ac:dyDescent="0.35">
      <c r="A91" s="41" t="str">
        <f>"Tasa Municipal (cobro por cuenta de Terceros) "&amp;(D91*100)&amp;"%"</f>
        <v>Tasa Municipal (cobro por cuenta de Terceros) 13%</v>
      </c>
      <c r="B91" s="42"/>
      <c r="C91" s="43"/>
      <c r="D91" s="44">
        <v>0.13</v>
      </c>
      <c r="E91" s="33"/>
      <c r="F91" s="45">
        <f>D91*(F85+(F90/1.12))</f>
        <v>0</v>
      </c>
      <c r="G91" s="8"/>
      <c r="H91" s="8"/>
      <c r="I91" s="8"/>
      <c r="J91" s="8"/>
      <c r="K91" s="8"/>
    </row>
    <row r="92" spans="1:11" ht="15" thickTop="1" thickBot="1" x14ac:dyDescent="0.35">
      <c r="A92" s="8"/>
      <c r="B92" s="8"/>
      <c r="C92" s="8"/>
      <c r="D92" s="8"/>
      <c r="E92" s="8"/>
      <c r="F92" s="29"/>
      <c r="G92" s="8"/>
      <c r="H92" s="8"/>
      <c r="I92" s="8"/>
      <c r="J92" s="8"/>
      <c r="K92" s="8"/>
    </row>
    <row r="93" spans="1:11" ht="14.4" thickBot="1" x14ac:dyDescent="0.35">
      <c r="A93" s="46" t="s">
        <v>480</v>
      </c>
      <c r="B93" s="47"/>
      <c r="C93" s="47"/>
      <c r="D93" s="47"/>
      <c r="E93" s="47"/>
      <c r="F93" s="48">
        <f>F86+F91+F90</f>
        <v>0</v>
      </c>
      <c r="G93" s="8"/>
      <c r="H93" s="8"/>
      <c r="I93" s="8"/>
      <c r="J93" s="8"/>
      <c r="K93" s="8"/>
    </row>
    <row r="94" spans="1:11" x14ac:dyDescent="0.3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</row>
    <row r="95" spans="1:11" ht="14.4" thickBot="1" x14ac:dyDescent="0.35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</row>
    <row r="96" spans="1:11" x14ac:dyDescent="0.3">
      <c r="A96" s="49" t="s">
        <v>465</v>
      </c>
    </row>
    <row r="97" spans="1:11" x14ac:dyDescent="0.3">
      <c r="A97" s="50" t="s">
        <v>481</v>
      </c>
    </row>
    <row r="98" spans="1:11" x14ac:dyDescent="0.3">
      <c r="A98" s="50" t="s">
        <v>489</v>
      </c>
    </row>
    <row r="99" spans="1:11" x14ac:dyDescent="0.3">
      <c r="A99" s="50" t="s">
        <v>482</v>
      </c>
    </row>
    <row r="100" spans="1:11" x14ac:dyDescent="0.3">
      <c r="A100" s="50" t="s">
        <v>483</v>
      </c>
    </row>
    <row r="101" spans="1:11" x14ac:dyDescent="0.3">
      <c r="A101" s="50" t="s">
        <v>484</v>
      </c>
    </row>
    <row r="102" spans="1:11" x14ac:dyDescent="0.3">
      <c r="A102" s="50" t="s">
        <v>485</v>
      </c>
    </row>
    <row r="103" spans="1:11" x14ac:dyDescent="0.3">
      <c r="A103" s="50" t="s">
        <v>490</v>
      </c>
    </row>
    <row r="104" spans="1:11" x14ac:dyDescent="0.3">
      <c r="A104" s="50" t="s">
        <v>486</v>
      </c>
    </row>
    <row r="105" spans="1:11" x14ac:dyDescent="0.3">
      <c r="A105" s="50" t="s">
        <v>487</v>
      </c>
    </row>
    <row r="106" spans="1:11" x14ac:dyDescent="0.3">
      <c r="A106" s="50" t="s">
        <v>488</v>
      </c>
    </row>
    <row r="107" spans="1:11" ht="14.4" thickBot="1" x14ac:dyDescent="0.35">
      <c r="A107" s="51" t="s">
        <v>491</v>
      </c>
    </row>
    <row r="108" spans="1:11" x14ac:dyDescent="0.3">
      <c r="A108" s="8"/>
      <c r="C108" s="9"/>
      <c r="D108" s="9"/>
      <c r="E108" s="9"/>
      <c r="F108" s="9"/>
      <c r="G108" s="9"/>
      <c r="H108" s="9"/>
    </row>
    <row r="109" spans="1:11" x14ac:dyDescent="0.3">
      <c r="A109" s="109" t="s">
        <v>696</v>
      </c>
      <c r="B109" s="2" t="str">
        <f>B$1</f>
        <v>Elegir Trim.</v>
      </c>
      <c r="C109" s="82">
        <v>44501</v>
      </c>
      <c r="D109" s="82">
        <v>44593</v>
      </c>
      <c r="E109" s="82">
        <v>44682</v>
      </c>
      <c r="F109" s="82">
        <v>44774</v>
      </c>
      <c r="G109" s="82">
        <v>44866</v>
      </c>
      <c r="H109" s="82">
        <v>44958</v>
      </c>
      <c r="I109" s="82">
        <v>45047</v>
      </c>
      <c r="J109" s="82">
        <v>45139</v>
      </c>
      <c r="K109" s="82">
        <v>45231</v>
      </c>
    </row>
    <row r="110" spans="1:11" x14ac:dyDescent="0.3">
      <c r="A110" s="8" t="s">
        <v>701</v>
      </c>
      <c r="B110" s="52" t="s">
        <v>702</v>
      </c>
      <c r="C110" s="2">
        <v>0.97352899999999998</v>
      </c>
      <c r="D110" s="2">
        <v>0.99573800000000001</v>
      </c>
      <c r="E110" s="2">
        <v>1.0405070000000001</v>
      </c>
      <c r="F110" s="2">
        <v>1.092041</v>
      </c>
      <c r="G110" s="2">
        <v>1.092044</v>
      </c>
      <c r="H110" s="2">
        <v>1.0801320000000001</v>
      </c>
    </row>
    <row r="111" spans="1:11" x14ac:dyDescent="0.3">
      <c r="A111" s="8" t="s">
        <v>699</v>
      </c>
      <c r="B111" s="52" t="s">
        <v>700</v>
      </c>
      <c r="C111" s="2">
        <v>0.37253900000000001</v>
      </c>
      <c r="D111" s="2">
        <v>0.37353199999999998</v>
      </c>
      <c r="E111" s="2">
        <v>0.37353199999999998</v>
      </c>
      <c r="F111" s="2">
        <v>0.38199899999999998</v>
      </c>
      <c r="G111" s="2">
        <v>0.38199899999999998</v>
      </c>
      <c r="H111" s="2">
        <v>0.39391199999999998</v>
      </c>
    </row>
    <row r="112" spans="1:11" x14ac:dyDescent="0.3">
      <c r="A112" s="8" t="s">
        <v>694</v>
      </c>
      <c r="B112" s="52" t="s">
        <v>697</v>
      </c>
      <c r="C112" s="2">
        <v>1.112835</v>
      </c>
      <c r="D112" s="2">
        <v>1.1350439999999999</v>
      </c>
      <c r="E112" s="2">
        <v>1.179017</v>
      </c>
      <c r="F112" s="2">
        <v>1.230551</v>
      </c>
      <c r="G112" s="2">
        <v>1.2305539999999999</v>
      </c>
      <c r="H112" s="2">
        <v>1.218642</v>
      </c>
    </row>
    <row r="113" spans="1:15" x14ac:dyDescent="0.3">
      <c r="A113" s="8" t="s">
        <v>695</v>
      </c>
      <c r="B113" s="52" t="s">
        <v>698</v>
      </c>
      <c r="C113" s="3">
        <v>0.28328999999999999</v>
      </c>
      <c r="D113" s="2">
        <v>0.28441699999999998</v>
      </c>
      <c r="E113" s="2">
        <v>0.28441699999999998</v>
      </c>
      <c r="F113" s="2">
        <v>0.29403400000000002</v>
      </c>
      <c r="G113" s="2">
        <v>0.29403400000000002</v>
      </c>
      <c r="H113" s="2">
        <v>0.30756499999999998</v>
      </c>
    </row>
    <row r="114" spans="1:15" x14ac:dyDescent="0.3">
      <c r="A114" s="8"/>
    </row>
    <row r="115" spans="1:15" x14ac:dyDescent="0.3">
      <c r="A115" s="5" t="s">
        <v>466</v>
      </c>
      <c r="B115" s="2" t="str">
        <f>B$1</f>
        <v>Elegir Trim.</v>
      </c>
      <c r="C115" s="82">
        <v>44501</v>
      </c>
      <c r="D115" s="82">
        <v>44593</v>
      </c>
      <c r="E115" s="82">
        <v>44682</v>
      </c>
      <c r="F115" s="82">
        <v>44774</v>
      </c>
      <c r="G115" s="82">
        <v>44866</v>
      </c>
      <c r="H115" s="82">
        <v>44958</v>
      </c>
      <c r="I115" s="82">
        <v>45047</v>
      </c>
      <c r="J115" s="82">
        <v>45139</v>
      </c>
      <c r="K115" s="82">
        <v>45231</v>
      </c>
    </row>
    <row r="116" spans="1:15" x14ac:dyDescent="0.3">
      <c r="A116" s="53" t="s">
        <v>481</v>
      </c>
      <c r="B116" s="2" t="s">
        <v>558</v>
      </c>
      <c r="C116" s="2">
        <v>10.463642999999999</v>
      </c>
      <c r="D116" s="2">
        <v>10.942417000000001</v>
      </c>
      <c r="E116" s="2">
        <v>10.942417000000001</v>
      </c>
      <c r="F116" s="2">
        <v>11.461893999999999</v>
      </c>
      <c r="G116" s="2">
        <v>11.461893999999999</v>
      </c>
      <c r="H116" s="3">
        <v>12.413715</v>
      </c>
      <c r="I116" s="3"/>
      <c r="J116" s="3"/>
      <c r="K116" s="3"/>
      <c r="L116" s="3"/>
      <c r="M116" s="3"/>
      <c r="N116" s="3"/>
      <c r="O116" s="3"/>
    </row>
    <row r="117" spans="1:15" x14ac:dyDescent="0.3">
      <c r="A117" s="53" t="s">
        <v>489</v>
      </c>
      <c r="B117" s="2" t="s">
        <v>672</v>
      </c>
      <c r="C117" s="2">
        <v>12.556371</v>
      </c>
      <c r="D117" s="2">
        <v>13.130901</v>
      </c>
      <c r="E117" s="2">
        <v>13.130901</v>
      </c>
      <c r="F117" s="2">
        <v>13.754272</v>
      </c>
      <c r="G117" s="2">
        <v>13.754272</v>
      </c>
      <c r="H117" s="3">
        <v>14.896458000000001</v>
      </c>
      <c r="I117" s="3"/>
      <c r="J117" s="3"/>
      <c r="K117" s="3"/>
      <c r="L117" s="3"/>
      <c r="M117" s="3"/>
      <c r="N117" s="3"/>
      <c r="O117" s="3"/>
    </row>
    <row r="118" spans="1:15" x14ac:dyDescent="0.3">
      <c r="A118" s="53" t="s">
        <v>482</v>
      </c>
      <c r="B118" s="2" t="s">
        <v>673</v>
      </c>
      <c r="C118" s="3">
        <v>11.510007</v>
      </c>
      <c r="D118" s="2">
        <v>12.036659</v>
      </c>
      <c r="E118" s="2">
        <v>12.036659</v>
      </c>
      <c r="F118" s="2">
        <v>12.608083000000001</v>
      </c>
      <c r="G118" s="2">
        <v>12.608083000000001</v>
      </c>
      <c r="H118" s="3">
        <v>13.655086000000001</v>
      </c>
      <c r="I118" s="3"/>
      <c r="J118" s="3"/>
      <c r="K118" s="3"/>
      <c r="L118" s="3"/>
      <c r="M118" s="3"/>
      <c r="N118" s="3"/>
      <c r="O118" s="3"/>
    </row>
    <row r="119" spans="1:15" x14ac:dyDescent="0.3">
      <c r="A119" s="53" t="s">
        <v>483</v>
      </c>
      <c r="B119" s="2" t="s">
        <v>561</v>
      </c>
      <c r="C119" s="2">
        <v>125.563715</v>
      </c>
      <c r="D119" s="2">
        <v>131.30900600000001</v>
      </c>
      <c r="E119" s="2">
        <v>131.30900600000001</v>
      </c>
      <c r="F119" s="2">
        <v>137.54272499999999</v>
      </c>
      <c r="G119" s="2">
        <v>137.54272499999999</v>
      </c>
      <c r="H119" s="3">
        <v>148.96457599999999</v>
      </c>
      <c r="I119" s="3"/>
      <c r="J119" s="3"/>
      <c r="K119" s="3"/>
      <c r="L119" s="3"/>
      <c r="M119" s="3"/>
      <c r="N119" s="3"/>
      <c r="O119" s="3"/>
    </row>
    <row r="120" spans="1:15" x14ac:dyDescent="0.3">
      <c r="A120" s="53" t="s">
        <v>484</v>
      </c>
      <c r="B120" s="2" t="s">
        <v>560</v>
      </c>
      <c r="C120" s="54">
        <f t="shared" ref="C120:G120" si="2">C119</f>
        <v>125.563715</v>
      </c>
      <c r="D120" s="54">
        <f t="shared" si="2"/>
        <v>131.30900600000001</v>
      </c>
      <c r="E120" s="54">
        <f t="shared" si="2"/>
        <v>131.30900600000001</v>
      </c>
      <c r="F120" s="54">
        <f t="shared" si="2"/>
        <v>137.54272499999999</v>
      </c>
      <c r="G120" s="54">
        <f t="shared" si="2"/>
        <v>137.54272499999999</v>
      </c>
      <c r="H120" s="55">
        <f>H119</f>
        <v>148.96457599999999</v>
      </c>
      <c r="I120" s="55">
        <f t="shared" ref="I120:O120" si="3">I119</f>
        <v>0</v>
      </c>
      <c r="J120" s="55">
        <f t="shared" si="3"/>
        <v>0</v>
      </c>
      <c r="K120" s="55">
        <f t="shared" si="3"/>
        <v>0</v>
      </c>
      <c r="L120" s="55">
        <f t="shared" si="3"/>
        <v>0</v>
      </c>
      <c r="M120" s="55">
        <f t="shared" si="3"/>
        <v>0</v>
      </c>
      <c r="N120" s="55">
        <f t="shared" si="3"/>
        <v>0</v>
      </c>
      <c r="O120" s="55">
        <f t="shared" si="3"/>
        <v>0</v>
      </c>
    </row>
    <row r="121" spans="1:15" x14ac:dyDescent="0.3">
      <c r="A121" s="53" t="s">
        <v>485</v>
      </c>
      <c r="B121" s="2" t="s">
        <v>674</v>
      </c>
      <c r="C121" s="3">
        <v>138.12008599999999</v>
      </c>
      <c r="D121" s="2">
        <v>144.43990700000001</v>
      </c>
      <c r="E121" s="2">
        <v>144.43990700000001</v>
      </c>
      <c r="F121" s="2">
        <v>151.296997</v>
      </c>
      <c r="G121" s="2">
        <v>151.296997</v>
      </c>
      <c r="H121" s="3">
        <v>163.86103399999999</v>
      </c>
      <c r="I121" s="3"/>
      <c r="J121" s="3"/>
      <c r="K121" s="3"/>
      <c r="L121" s="3"/>
      <c r="M121" s="3"/>
      <c r="N121" s="3"/>
      <c r="O121" s="3"/>
    </row>
    <row r="122" spans="1:15" x14ac:dyDescent="0.3">
      <c r="A122" s="53" t="s">
        <v>490</v>
      </c>
      <c r="B122" s="2" t="s">
        <v>675</v>
      </c>
      <c r="C122" s="3">
        <v>146.49100100000001</v>
      </c>
      <c r="D122" s="2">
        <v>153.19384099999999</v>
      </c>
      <c r="E122" s="2">
        <v>153.19384099999999</v>
      </c>
      <c r="F122" s="2">
        <v>160.46651199999999</v>
      </c>
      <c r="G122" s="2">
        <v>160.46651199999999</v>
      </c>
      <c r="H122" s="3">
        <v>173.79200599999999</v>
      </c>
      <c r="I122" s="3"/>
      <c r="J122" s="3"/>
      <c r="K122" s="3"/>
      <c r="L122" s="3"/>
      <c r="M122" s="3"/>
      <c r="N122" s="3"/>
      <c r="O122" s="3"/>
    </row>
    <row r="123" spans="1:15" x14ac:dyDescent="0.3">
      <c r="A123" s="53" t="s">
        <v>486</v>
      </c>
      <c r="B123" s="2" t="s">
        <v>563</v>
      </c>
      <c r="C123" s="3">
        <v>846.94322999999997</v>
      </c>
      <c r="D123" s="2">
        <v>859.74122699999998</v>
      </c>
      <c r="E123" s="2">
        <v>859.74122699999998</v>
      </c>
      <c r="F123" s="2">
        <v>900.55620199999998</v>
      </c>
      <c r="G123" s="2">
        <v>900.55620199999998</v>
      </c>
      <c r="H123" s="3">
        <v>1029.5757619999999</v>
      </c>
      <c r="I123" s="3"/>
      <c r="J123" s="3"/>
      <c r="K123" s="3"/>
      <c r="L123" s="3"/>
      <c r="M123" s="3"/>
      <c r="N123" s="3"/>
      <c r="O123" s="3"/>
    </row>
    <row r="124" spans="1:15" x14ac:dyDescent="0.3">
      <c r="A124" s="8" t="s">
        <v>487</v>
      </c>
      <c r="B124" s="2" t="s">
        <v>562</v>
      </c>
      <c r="C124" s="55">
        <f t="shared" ref="C124:D124" si="4">C123</f>
        <v>846.94322999999997</v>
      </c>
      <c r="D124" s="55">
        <f t="shared" si="4"/>
        <v>859.74122699999998</v>
      </c>
      <c r="E124" s="55">
        <f>E123</f>
        <v>859.74122699999998</v>
      </c>
      <c r="F124" s="55">
        <f t="shared" ref="F124:G124" si="5">F123</f>
        <v>900.55620199999998</v>
      </c>
      <c r="G124" s="55">
        <f t="shared" si="5"/>
        <v>900.55620199999998</v>
      </c>
      <c r="H124" s="55">
        <f>H123</f>
        <v>1029.5757619999999</v>
      </c>
      <c r="I124" s="55">
        <f t="shared" ref="I124:O124" si="6">I123</f>
        <v>0</v>
      </c>
      <c r="J124" s="55">
        <f t="shared" si="6"/>
        <v>0</v>
      </c>
      <c r="K124" s="55">
        <f t="shared" si="6"/>
        <v>0</v>
      </c>
      <c r="L124" s="55">
        <f t="shared" si="6"/>
        <v>0</v>
      </c>
      <c r="M124" s="55">
        <f t="shared" si="6"/>
        <v>0</v>
      </c>
      <c r="N124" s="55">
        <f t="shared" si="6"/>
        <v>0</v>
      </c>
      <c r="O124" s="55">
        <f t="shared" si="6"/>
        <v>0</v>
      </c>
    </row>
    <row r="125" spans="1:15" x14ac:dyDescent="0.3">
      <c r="A125" s="8" t="s">
        <v>488</v>
      </c>
      <c r="B125" s="2" t="s">
        <v>676</v>
      </c>
      <c r="C125" s="3">
        <v>931.63755400000002</v>
      </c>
      <c r="D125" s="3">
        <v>945.71534999999994</v>
      </c>
      <c r="E125" s="3">
        <v>945.71534999999994</v>
      </c>
      <c r="F125" s="2">
        <v>990.61182299999996</v>
      </c>
      <c r="G125" s="2">
        <v>990.61182299999996</v>
      </c>
      <c r="H125" s="3">
        <v>1132.533338</v>
      </c>
      <c r="I125" s="3"/>
      <c r="J125" s="3"/>
      <c r="K125" s="3"/>
      <c r="L125" s="3"/>
      <c r="M125" s="3"/>
      <c r="N125" s="3"/>
      <c r="O125" s="3"/>
    </row>
    <row r="126" spans="1:15" x14ac:dyDescent="0.3">
      <c r="A126" s="8" t="s">
        <v>491</v>
      </c>
      <c r="B126" s="2" t="s">
        <v>677</v>
      </c>
      <c r="C126" s="3">
        <v>952.81113400000004</v>
      </c>
      <c r="D126" s="3">
        <v>967.20888000000002</v>
      </c>
      <c r="E126" s="3">
        <v>967.20888000000002</v>
      </c>
      <c r="F126" s="2">
        <v>1013.125728</v>
      </c>
      <c r="G126" s="2">
        <v>1013.125728</v>
      </c>
      <c r="H126" s="3">
        <v>1158.2727319999999</v>
      </c>
      <c r="I126" s="3"/>
      <c r="J126" s="3"/>
      <c r="K126" s="3"/>
      <c r="L126" s="3"/>
      <c r="M126" s="3"/>
      <c r="N126" s="3"/>
      <c r="O126" s="3"/>
    </row>
    <row r="128" spans="1:15" x14ac:dyDescent="0.3">
      <c r="A128" s="5" t="s">
        <v>492</v>
      </c>
      <c r="B128" s="2" t="str">
        <f>B$1</f>
        <v>Elegir Trim.</v>
      </c>
      <c r="C128" s="82">
        <f>C$115</f>
        <v>44501</v>
      </c>
      <c r="D128" s="82">
        <f t="shared" ref="D128:K128" si="7">D$115</f>
        <v>44593</v>
      </c>
      <c r="E128" s="82">
        <f t="shared" si="7"/>
        <v>44682</v>
      </c>
      <c r="F128" s="82">
        <f t="shared" si="7"/>
        <v>44774</v>
      </c>
      <c r="G128" s="82">
        <f t="shared" si="7"/>
        <v>44866</v>
      </c>
      <c r="H128" s="82">
        <f t="shared" si="7"/>
        <v>44958</v>
      </c>
      <c r="I128" s="82">
        <f t="shared" si="7"/>
        <v>45047</v>
      </c>
      <c r="J128" s="82">
        <f t="shared" si="7"/>
        <v>45139</v>
      </c>
      <c r="K128" s="82">
        <f t="shared" si="7"/>
        <v>45231</v>
      </c>
    </row>
    <row r="129" spans="1:15" x14ac:dyDescent="0.3">
      <c r="A129" s="53" t="s">
        <v>481</v>
      </c>
      <c r="B129" s="2" t="s">
        <v>493</v>
      </c>
      <c r="C129" s="3">
        <v>1.346068</v>
      </c>
      <c r="D129" s="3">
        <v>1.36927</v>
      </c>
      <c r="E129" s="2">
        <v>1.414039</v>
      </c>
      <c r="F129" s="3">
        <v>1.47404</v>
      </c>
      <c r="G129" s="2">
        <v>1.474043</v>
      </c>
      <c r="H129" s="3">
        <v>1.4740439999999999</v>
      </c>
      <c r="I129" s="3"/>
      <c r="J129" s="3"/>
      <c r="K129" s="3"/>
      <c r="L129" s="3"/>
      <c r="M129" s="3"/>
      <c r="N129" s="3"/>
      <c r="O129" s="3"/>
    </row>
    <row r="130" spans="1:15" x14ac:dyDescent="0.3">
      <c r="A130" s="53" t="s">
        <v>489</v>
      </c>
      <c r="B130" s="2" t="s">
        <v>494</v>
      </c>
      <c r="C130" s="3">
        <v>1.3961250000000001</v>
      </c>
      <c r="D130" s="2">
        <v>1.4194610000000001</v>
      </c>
      <c r="E130" s="2">
        <v>1.4634339999999999</v>
      </c>
      <c r="F130" s="3">
        <v>1.5245850000000001</v>
      </c>
      <c r="G130" s="2">
        <v>1.5245880000000001</v>
      </c>
      <c r="H130" s="3">
        <v>1.5262070000000001</v>
      </c>
      <c r="I130" s="3"/>
      <c r="J130" s="3"/>
      <c r="K130" s="3"/>
      <c r="L130" s="3"/>
      <c r="M130" s="3"/>
      <c r="N130" s="3"/>
      <c r="O130" s="3"/>
    </row>
    <row r="131" spans="1:15" x14ac:dyDescent="0.3">
      <c r="A131" s="53" t="s">
        <v>482</v>
      </c>
      <c r="B131" s="2" t="s">
        <v>495</v>
      </c>
      <c r="C131" s="3">
        <v>1.4615290000000001</v>
      </c>
      <c r="D131" s="2">
        <v>1.484731</v>
      </c>
      <c r="E131" s="2">
        <v>1.5391349999999999</v>
      </c>
      <c r="F131" s="2">
        <v>1.5991359999999999</v>
      </c>
      <c r="G131" s="2">
        <v>1.5991390000000001</v>
      </c>
      <c r="H131" s="3">
        <v>1.59914</v>
      </c>
      <c r="I131" s="3"/>
      <c r="J131" s="3"/>
      <c r="K131" s="3"/>
      <c r="L131" s="3"/>
      <c r="M131" s="3"/>
      <c r="N131" s="3"/>
      <c r="O131" s="3"/>
    </row>
    <row r="132" spans="1:15" x14ac:dyDescent="0.3">
      <c r="A132" s="53" t="s">
        <v>483</v>
      </c>
      <c r="B132" s="2" t="s">
        <v>496</v>
      </c>
      <c r="C132" s="3">
        <v>0.97191899999999998</v>
      </c>
      <c r="D132" s="2">
        <v>0.99412800000000001</v>
      </c>
      <c r="E132" s="2">
        <v>1.037846</v>
      </c>
      <c r="F132" s="3">
        <v>1.08938</v>
      </c>
      <c r="G132" s="2">
        <v>1.089383</v>
      </c>
      <c r="H132" s="3">
        <v>1.0774710000000001</v>
      </c>
      <c r="I132" s="3"/>
      <c r="J132" s="3"/>
      <c r="K132" s="3"/>
      <c r="L132" s="3"/>
      <c r="M132" s="3"/>
      <c r="N132" s="3"/>
      <c r="O132" s="3"/>
    </row>
    <row r="133" spans="1:15" x14ac:dyDescent="0.3">
      <c r="A133" s="53" t="s">
        <v>484</v>
      </c>
      <c r="B133" s="2" t="s">
        <v>497</v>
      </c>
      <c r="C133" s="3">
        <v>0.97242700000000004</v>
      </c>
      <c r="D133" s="2">
        <v>0.99463599999999996</v>
      </c>
      <c r="E133" s="3">
        <v>1.0389299999999999</v>
      </c>
      <c r="F133" s="2">
        <v>1.0904640000000001</v>
      </c>
      <c r="G133" s="2">
        <v>1.0904670000000001</v>
      </c>
      <c r="H133" s="3">
        <v>1.0785549999999999</v>
      </c>
      <c r="I133" s="3"/>
      <c r="J133" s="3"/>
      <c r="K133" s="3"/>
      <c r="L133" s="3"/>
      <c r="M133" s="3"/>
      <c r="N133" s="3"/>
      <c r="O133" s="3"/>
    </row>
    <row r="134" spans="1:15" x14ac:dyDescent="0.3">
      <c r="A134" s="53" t="s">
        <v>485</v>
      </c>
      <c r="B134" s="2" t="s">
        <v>498</v>
      </c>
      <c r="C134" s="3">
        <v>0.99070199999999997</v>
      </c>
      <c r="D134" s="2">
        <v>1.0129109999999999</v>
      </c>
      <c r="E134" s="2">
        <v>1.0673140000000001</v>
      </c>
      <c r="F134" s="2">
        <v>1.1188480000000001</v>
      </c>
      <c r="G134" s="2">
        <v>1.118851</v>
      </c>
      <c r="H134" s="3">
        <v>1.1069389999999999</v>
      </c>
      <c r="I134" s="3"/>
      <c r="J134" s="3"/>
      <c r="K134" s="3"/>
      <c r="L134" s="3"/>
      <c r="M134" s="3"/>
      <c r="N134" s="3"/>
      <c r="O134" s="3"/>
    </row>
    <row r="135" spans="1:15" x14ac:dyDescent="0.3">
      <c r="A135" s="53" t="s">
        <v>490</v>
      </c>
      <c r="B135" s="2" t="s">
        <v>499</v>
      </c>
      <c r="C135" s="3">
        <v>0.97240800000000005</v>
      </c>
      <c r="D135" s="2">
        <v>0.99461699999999997</v>
      </c>
      <c r="E135" s="3">
        <v>1.0384100000000001</v>
      </c>
      <c r="F135" s="2">
        <v>1.089944</v>
      </c>
      <c r="G135" s="2">
        <v>1.089947</v>
      </c>
      <c r="H135" s="3">
        <v>1.0780350000000001</v>
      </c>
      <c r="I135" s="3"/>
      <c r="J135" s="3"/>
      <c r="K135" s="3"/>
      <c r="L135" s="3"/>
      <c r="M135" s="3"/>
      <c r="N135" s="3"/>
      <c r="O135" s="3"/>
    </row>
    <row r="136" spans="1:15" x14ac:dyDescent="0.3">
      <c r="A136" s="53" t="s">
        <v>486</v>
      </c>
      <c r="B136" s="2" t="s">
        <v>500</v>
      </c>
      <c r="C136" s="3">
        <v>0.91927300000000001</v>
      </c>
      <c r="D136" s="2">
        <v>0.94148200000000004</v>
      </c>
      <c r="E136" s="2">
        <v>0.98097299999999998</v>
      </c>
      <c r="F136" s="2">
        <v>1.0325070000000001</v>
      </c>
      <c r="G136" s="3">
        <v>1.03251</v>
      </c>
      <c r="H136" s="3">
        <v>1.0205979999999999</v>
      </c>
      <c r="I136" s="3"/>
      <c r="J136" s="3"/>
      <c r="K136" s="3"/>
      <c r="L136" s="3"/>
      <c r="M136" s="3"/>
      <c r="N136" s="3"/>
      <c r="O136" s="3"/>
    </row>
    <row r="137" spans="1:15" x14ac:dyDescent="0.3">
      <c r="A137" s="8" t="s">
        <v>487</v>
      </c>
      <c r="B137" s="2" t="s">
        <v>501</v>
      </c>
      <c r="C137" s="3">
        <v>0.91938900000000001</v>
      </c>
      <c r="D137" s="2">
        <v>0.94159800000000005</v>
      </c>
      <c r="E137" s="2">
        <v>0.981267</v>
      </c>
      <c r="F137" s="2">
        <v>1.0328010000000001</v>
      </c>
      <c r="G137" s="2">
        <v>1.0328040000000001</v>
      </c>
      <c r="H137" s="3">
        <v>1.0208919999999999</v>
      </c>
      <c r="I137" s="3"/>
      <c r="J137" s="3"/>
      <c r="K137" s="3"/>
      <c r="L137" s="3"/>
      <c r="M137" s="3"/>
      <c r="N137" s="3"/>
      <c r="O137" s="3"/>
    </row>
    <row r="138" spans="1:15" x14ac:dyDescent="0.3">
      <c r="A138" s="8" t="s">
        <v>488</v>
      </c>
      <c r="B138" s="2" t="s">
        <v>502</v>
      </c>
      <c r="C138" s="3">
        <v>0.93688800000000005</v>
      </c>
      <c r="D138" s="2">
        <v>0.95909699999999998</v>
      </c>
      <c r="E138" s="2">
        <v>1.008529</v>
      </c>
      <c r="F138" s="2">
        <v>1.060063</v>
      </c>
      <c r="G138" s="2">
        <v>1.060066</v>
      </c>
      <c r="H138" s="3">
        <v>1.048154</v>
      </c>
      <c r="I138" s="3"/>
      <c r="J138" s="3"/>
      <c r="K138" s="3"/>
      <c r="L138" s="3"/>
      <c r="M138" s="3"/>
      <c r="N138" s="3"/>
      <c r="O138" s="3"/>
    </row>
    <row r="139" spans="1:15" x14ac:dyDescent="0.3">
      <c r="A139" s="8" t="s">
        <v>491</v>
      </c>
      <c r="B139" s="2" t="s">
        <v>503</v>
      </c>
      <c r="C139" s="3">
        <v>0.92248300000000005</v>
      </c>
      <c r="D139" s="2">
        <v>0.94469199999999998</v>
      </c>
      <c r="E139" s="3">
        <v>0.98568999999999996</v>
      </c>
      <c r="F139" s="2">
        <v>1.0372239999999999</v>
      </c>
      <c r="G139" s="2">
        <v>1.0372269999999999</v>
      </c>
      <c r="H139" s="3">
        <v>1.025315</v>
      </c>
      <c r="I139" s="3"/>
      <c r="J139" s="3"/>
      <c r="K139" s="3"/>
      <c r="L139" s="3"/>
      <c r="M139" s="3"/>
      <c r="N139" s="3"/>
      <c r="O139" s="3"/>
    </row>
    <row r="141" spans="1:15" x14ac:dyDescent="0.3">
      <c r="A141" s="5" t="s">
        <v>504</v>
      </c>
      <c r="B141" s="2" t="str">
        <f>B$1</f>
        <v>Elegir Trim.</v>
      </c>
      <c r="C141" s="82">
        <f>C$115</f>
        <v>44501</v>
      </c>
      <c r="D141" s="82">
        <f t="shared" ref="D141:K141" si="8">D$115</f>
        <v>44593</v>
      </c>
      <c r="E141" s="82">
        <f t="shared" si="8"/>
        <v>44682</v>
      </c>
      <c r="F141" s="82">
        <f t="shared" si="8"/>
        <v>44774</v>
      </c>
      <c r="G141" s="82">
        <f t="shared" si="8"/>
        <v>44866</v>
      </c>
      <c r="H141" s="82">
        <f t="shared" si="8"/>
        <v>44958</v>
      </c>
      <c r="I141" s="82">
        <f t="shared" si="8"/>
        <v>45047</v>
      </c>
      <c r="J141" s="82">
        <f t="shared" si="8"/>
        <v>45139</v>
      </c>
      <c r="K141" s="82">
        <f t="shared" si="8"/>
        <v>45231</v>
      </c>
    </row>
    <row r="142" spans="1:15" x14ac:dyDescent="0.3">
      <c r="A142" s="53" t="s">
        <v>481</v>
      </c>
      <c r="B142" s="2" t="s">
        <v>505</v>
      </c>
      <c r="C142" s="55">
        <f t="shared" ref="C142:O143" si="9">C129</f>
        <v>1.346068</v>
      </c>
      <c r="D142" s="55">
        <f t="shared" si="9"/>
        <v>1.36927</v>
      </c>
      <c r="E142" s="55">
        <f t="shared" si="9"/>
        <v>1.414039</v>
      </c>
      <c r="F142" s="55">
        <f t="shared" si="9"/>
        <v>1.47404</v>
      </c>
      <c r="G142" s="55">
        <f t="shared" si="9"/>
        <v>1.474043</v>
      </c>
      <c r="H142" s="55">
        <f t="shared" si="9"/>
        <v>1.4740439999999999</v>
      </c>
      <c r="I142" s="55">
        <f t="shared" si="9"/>
        <v>0</v>
      </c>
      <c r="J142" s="55">
        <f t="shared" si="9"/>
        <v>0</v>
      </c>
      <c r="K142" s="55">
        <f t="shared" si="9"/>
        <v>0</v>
      </c>
      <c r="L142" s="55">
        <f t="shared" si="9"/>
        <v>0</v>
      </c>
      <c r="M142" s="55">
        <f t="shared" si="9"/>
        <v>0</v>
      </c>
      <c r="N142" s="55">
        <f t="shared" si="9"/>
        <v>0</v>
      </c>
      <c r="O142" s="55">
        <f t="shared" si="9"/>
        <v>0</v>
      </c>
    </row>
    <row r="143" spans="1:15" x14ac:dyDescent="0.3">
      <c r="A143" s="53" t="s">
        <v>489</v>
      </c>
      <c r="B143" s="2" t="s">
        <v>506</v>
      </c>
      <c r="C143" s="55">
        <f>C130</f>
        <v>1.3961250000000001</v>
      </c>
      <c r="D143" s="55">
        <f>D130</f>
        <v>1.4194610000000001</v>
      </c>
      <c r="E143" s="55">
        <f>E130</f>
        <v>1.4634339999999999</v>
      </c>
      <c r="F143" s="55">
        <f>F130</f>
        <v>1.5245850000000001</v>
      </c>
      <c r="G143" s="55">
        <f>G130</f>
        <v>1.5245880000000001</v>
      </c>
      <c r="H143" s="55">
        <f t="shared" si="9"/>
        <v>1.5262070000000001</v>
      </c>
      <c r="I143" s="55">
        <f t="shared" si="9"/>
        <v>0</v>
      </c>
      <c r="J143" s="55">
        <f t="shared" si="9"/>
        <v>0</v>
      </c>
      <c r="K143" s="55">
        <f t="shared" si="9"/>
        <v>0</v>
      </c>
      <c r="L143" s="55">
        <f t="shared" si="9"/>
        <v>0</v>
      </c>
      <c r="M143" s="55">
        <f t="shared" si="9"/>
        <v>0</v>
      </c>
      <c r="N143" s="55">
        <f t="shared" si="9"/>
        <v>0</v>
      </c>
      <c r="O143" s="55">
        <f t="shared" si="9"/>
        <v>0</v>
      </c>
    </row>
    <row r="144" spans="1:15" x14ac:dyDescent="0.3">
      <c r="A144" s="53" t="s">
        <v>482</v>
      </c>
      <c r="B144" s="2" t="s">
        <v>507</v>
      </c>
      <c r="C144" s="3">
        <v>1.353375</v>
      </c>
      <c r="D144" s="2">
        <v>1.3765769999999999</v>
      </c>
      <c r="E144" s="2">
        <v>1.4214469999999999</v>
      </c>
      <c r="F144" s="2">
        <v>1.4814480000000001</v>
      </c>
      <c r="G144" s="3">
        <v>1.4814510000000001</v>
      </c>
      <c r="H144" s="3">
        <v>1.481452</v>
      </c>
      <c r="I144" s="3"/>
      <c r="J144" s="3"/>
      <c r="K144" s="3"/>
      <c r="L144" s="3"/>
      <c r="M144" s="3"/>
      <c r="N144" s="3"/>
      <c r="O144" s="3"/>
    </row>
    <row r="145" spans="1:15" x14ac:dyDescent="0.3">
      <c r="A145" s="53" t="s">
        <v>483</v>
      </c>
      <c r="B145" s="2" t="s">
        <v>508</v>
      </c>
      <c r="C145" s="55">
        <f>C132</f>
        <v>0.97191899999999998</v>
      </c>
      <c r="D145" s="55">
        <f>D132</f>
        <v>0.99412800000000001</v>
      </c>
      <c r="E145" s="55">
        <f>E132</f>
        <v>1.037846</v>
      </c>
      <c r="F145" s="55">
        <f>F132</f>
        <v>1.08938</v>
      </c>
      <c r="G145" s="55">
        <f>G132</f>
        <v>1.089383</v>
      </c>
      <c r="H145" s="55">
        <f t="shared" ref="H145:O146" si="10">H132</f>
        <v>1.0774710000000001</v>
      </c>
      <c r="I145" s="55">
        <f t="shared" si="10"/>
        <v>0</v>
      </c>
      <c r="J145" s="55">
        <f t="shared" si="10"/>
        <v>0</v>
      </c>
      <c r="K145" s="55">
        <f t="shared" si="10"/>
        <v>0</v>
      </c>
      <c r="L145" s="55">
        <f t="shared" si="10"/>
        <v>0</v>
      </c>
      <c r="M145" s="55">
        <f t="shared" si="10"/>
        <v>0</v>
      </c>
      <c r="N145" s="55">
        <f t="shared" si="10"/>
        <v>0</v>
      </c>
      <c r="O145" s="55">
        <f t="shared" si="10"/>
        <v>0</v>
      </c>
    </row>
    <row r="146" spans="1:15" x14ac:dyDescent="0.3">
      <c r="A146" s="53" t="s">
        <v>484</v>
      </c>
      <c r="B146" s="2" t="s">
        <v>509</v>
      </c>
      <c r="C146" s="55">
        <f t="shared" ref="C146:D146" si="11">C133</f>
        <v>0.97242700000000004</v>
      </c>
      <c r="D146" s="55">
        <f t="shared" si="11"/>
        <v>0.99463599999999996</v>
      </c>
      <c r="E146" s="55">
        <f>E133</f>
        <v>1.0389299999999999</v>
      </c>
      <c r="F146" s="55">
        <f t="shared" ref="F146:G146" si="12">F133</f>
        <v>1.0904640000000001</v>
      </c>
      <c r="G146" s="55">
        <f t="shared" si="12"/>
        <v>1.0904670000000001</v>
      </c>
      <c r="H146" s="55">
        <f t="shared" si="10"/>
        <v>1.0785549999999999</v>
      </c>
      <c r="I146" s="55">
        <f t="shared" si="10"/>
        <v>0</v>
      </c>
      <c r="J146" s="55">
        <f t="shared" si="10"/>
        <v>0</v>
      </c>
      <c r="K146" s="55">
        <f t="shared" si="10"/>
        <v>0</v>
      </c>
      <c r="L146" s="55">
        <f t="shared" si="10"/>
        <v>0</v>
      </c>
      <c r="M146" s="55">
        <f t="shared" si="10"/>
        <v>0</v>
      </c>
      <c r="N146" s="55">
        <f t="shared" si="10"/>
        <v>0</v>
      </c>
      <c r="O146" s="55">
        <f t="shared" si="10"/>
        <v>0</v>
      </c>
    </row>
    <row r="147" spans="1:15" x14ac:dyDescent="0.3">
      <c r="A147" s="53" t="s">
        <v>485</v>
      </c>
      <c r="B147" s="2" t="s">
        <v>510</v>
      </c>
      <c r="C147" s="3">
        <v>0.971638</v>
      </c>
      <c r="D147" s="2">
        <v>0.99384700000000004</v>
      </c>
      <c r="E147" s="2">
        <v>1.038716</v>
      </c>
      <c r="F147" s="3">
        <v>1.0902499999999999</v>
      </c>
      <c r="G147" s="2">
        <v>1.0902529999999999</v>
      </c>
      <c r="H147" s="3">
        <v>1.078341</v>
      </c>
      <c r="I147" s="3"/>
      <c r="J147" s="3"/>
      <c r="K147" s="3"/>
      <c r="L147" s="3"/>
      <c r="M147" s="3"/>
      <c r="N147" s="3"/>
      <c r="O147" s="3"/>
    </row>
    <row r="148" spans="1:15" x14ac:dyDescent="0.3">
      <c r="A148" s="53" t="s">
        <v>490</v>
      </c>
      <c r="B148" s="2" t="s">
        <v>511</v>
      </c>
      <c r="C148" s="55">
        <f t="shared" ref="C148:O150" si="13">C135</f>
        <v>0.97240800000000005</v>
      </c>
      <c r="D148" s="55">
        <f t="shared" si="13"/>
        <v>0.99461699999999997</v>
      </c>
      <c r="E148" s="55">
        <f t="shared" si="13"/>
        <v>1.0384100000000001</v>
      </c>
      <c r="F148" s="55">
        <f t="shared" si="13"/>
        <v>1.089944</v>
      </c>
      <c r="G148" s="55">
        <f t="shared" si="13"/>
        <v>1.089947</v>
      </c>
      <c r="H148" s="55">
        <f t="shared" si="13"/>
        <v>1.0780350000000001</v>
      </c>
      <c r="I148" s="55">
        <f t="shared" si="13"/>
        <v>0</v>
      </c>
      <c r="J148" s="55">
        <f t="shared" si="13"/>
        <v>0</v>
      </c>
      <c r="K148" s="55">
        <f t="shared" si="13"/>
        <v>0</v>
      </c>
      <c r="L148" s="55">
        <f t="shared" si="13"/>
        <v>0</v>
      </c>
      <c r="M148" s="55">
        <f t="shared" si="13"/>
        <v>0</v>
      </c>
      <c r="N148" s="55">
        <f t="shared" si="13"/>
        <v>0</v>
      </c>
      <c r="O148" s="55">
        <f t="shared" si="13"/>
        <v>0</v>
      </c>
    </row>
    <row r="149" spans="1:15" x14ac:dyDescent="0.3">
      <c r="A149" s="53" t="s">
        <v>486</v>
      </c>
      <c r="B149" s="2" t="s">
        <v>512</v>
      </c>
      <c r="C149" s="55">
        <f t="shared" si="13"/>
        <v>0.91927300000000001</v>
      </c>
      <c r="D149" s="55">
        <f t="shared" si="13"/>
        <v>0.94148200000000004</v>
      </c>
      <c r="E149" s="55">
        <f t="shared" si="13"/>
        <v>0.98097299999999998</v>
      </c>
      <c r="F149" s="55">
        <f t="shared" si="13"/>
        <v>1.0325070000000001</v>
      </c>
      <c r="G149" s="55">
        <f t="shared" si="13"/>
        <v>1.03251</v>
      </c>
      <c r="H149" s="55">
        <f t="shared" si="13"/>
        <v>1.0205979999999999</v>
      </c>
      <c r="I149" s="55">
        <f t="shared" si="13"/>
        <v>0</v>
      </c>
      <c r="J149" s="55">
        <f t="shared" si="13"/>
        <v>0</v>
      </c>
      <c r="K149" s="55">
        <f t="shared" si="13"/>
        <v>0</v>
      </c>
      <c r="L149" s="55">
        <f t="shared" si="13"/>
        <v>0</v>
      </c>
      <c r="M149" s="55">
        <f t="shared" si="13"/>
        <v>0</v>
      </c>
      <c r="N149" s="55">
        <f t="shared" si="13"/>
        <v>0</v>
      </c>
      <c r="O149" s="55">
        <f t="shared" si="13"/>
        <v>0</v>
      </c>
    </row>
    <row r="150" spans="1:15" x14ac:dyDescent="0.3">
      <c r="A150" s="8" t="s">
        <v>487</v>
      </c>
      <c r="B150" s="2" t="s">
        <v>513</v>
      </c>
      <c r="C150" s="55">
        <f t="shared" si="13"/>
        <v>0.91938900000000001</v>
      </c>
      <c r="D150" s="55">
        <f t="shared" si="13"/>
        <v>0.94159800000000005</v>
      </c>
      <c r="E150" s="55">
        <f>E137</f>
        <v>0.981267</v>
      </c>
      <c r="F150" s="55">
        <f t="shared" si="13"/>
        <v>1.0328010000000001</v>
      </c>
      <c r="G150" s="55">
        <f t="shared" si="13"/>
        <v>1.0328040000000001</v>
      </c>
      <c r="H150" s="55">
        <f t="shared" si="13"/>
        <v>1.0208919999999999</v>
      </c>
      <c r="I150" s="55">
        <f t="shared" si="13"/>
        <v>0</v>
      </c>
      <c r="J150" s="55">
        <f t="shared" si="13"/>
        <v>0</v>
      </c>
      <c r="K150" s="55">
        <f t="shared" si="13"/>
        <v>0</v>
      </c>
      <c r="L150" s="55">
        <f t="shared" si="13"/>
        <v>0</v>
      </c>
      <c r="M150" s="55">
        <f t="shared" si="13"/>
        <v>0</v>
      </c>
      <c r="N150" s="55">
        <f t="shared" si="13"/>
        <v>0</v>
      </c>
      <c r="O150" s="55">
        <f t="shared" si="13"/>
        <v>0</v>
      </c>
    </row>
    <row r="151" spans="1:15" x14ac:dyDescent="0.3">
      <c r="A151" s="8" t="s">
        <v>488</v>
      </c>
      <c r="B151" s="2" t="s">
        <v>514</v>
      </c>
      <c r="C151" s="3">
        <v>0.91883999999999999</v>
      </c>
      <c r="D151" s="2">
        <v>0.94104900000000002</v>
      </c>
      <c r="E151" s="2">
        <v>0.981456</v>
      </c>
      <c r="F151" s="3">
        <v>1.0329900000000001</v>
      </c>
      <c r="G151" s="2">
        <v>1.0329930000000001</v>
      </c>
      <c r="H151" s="3">
        <v>1.0210809999999999</v>
      </c>
      <c r="I151" s="3"/>
      <c r="J151" s="3"/>
      <c r="K151" s="3"/>
      <c r="L151" s="3"/>
      <c r="M151" s="3"/>
      <c r="N151" s="3"/>
      <c r="O151" s="3"/>
    </row>
    <row r="152" spans="1:15" x14ac:dyDescent="0.3">
      <c r="A152" s="8" t="s">
        <v>491</v>
      </c>
      <c r="B152" s="2" t="s">
        <v>515</v>
      </c>
      <c r="C152" s="55">
        <f t="shared" ref="C152:D152" si="14">C139</f>
        <v>0.92248300000000005</v>
      </c>
      <c r="D152" s="55">
        <f t="shared" si="14"/>
        <v>0.94469199999999998</v>
      </c>
      <c r="E152" s="55">
        <f>E139</f>
        <v>0.98568999999999996</v>
      </c>
      <c r="F152" s="55">
        <f>F139</f>
        <v>1.0372239999999999</v>
      </c>
      <c r="G152" s="55">
        <f t="shared" ref="G152:O152" si="15">G139</f>
        <v>1.0372269999999999</v>
      </c>
      <c r="H152" s="55">
        <f t="shared" si="15"/>
        <v>1.025315</v>
      </c>
      <c r="I152" s="55">
        <f t="shared" si="15"/>
        <v>0</v>
      </c>
      <c r="J152" s="55">
        <f t="shared" si="15"/>
        <v>0</v>
      </c>
      <c r="K152" s="55">
        <f t="shared" si="15"/>
        <v>0</v>
      </c>
      <c r="L152" s="55">
        <f t="shared" si="15"/>
        <v>0</v>
      </c>
      <c r="M152" s="55">
        <f t="shared" si="15"/>
        <v>0</v>
      </c>
      <c r="N152" s="55">
        <f t="shared" si="15"/>
        <v>0</v>
      </c>
      <c r="O152" s="55">
        <f t="shared" si="15"/>
        <v>0</v>
      </c>
    </row>
    <row r="154" spans="1:15" x14ac:dyDescent="0.3">
      <c r="A154" s="5" t="s">
        <v>516</v>
      </c>
      <c r="B154" s="2" t="str">
        <f>B$1</f>
        <v>Elegir Trim.</v>
      </c>
      <c r="C154" s="82">
        <f>C$115</f>
        <v>44501</v>
      </c>
      <c r="D154" s="82">
        <f t="shared" ref="D154:K154" si="16">D$115</f>
        <v>44593</v>
      </c>
      <c r="E154" s="82">
        <f t="shared" si="16"/>
        <v>44682</v>
      </c>
      <c r="F154" s="82">
        <f t="shared" si="16"/>
        <v>44774</v>
      </c>
      <c r="G154" s="82">
        <f t="shared" si="16"/>
        <v>44866</v>
      </c>
      <c r="H154" s="82">
        <f t="shared" si="16"/>
        <v>44958</v>
      </c>
      <c r="I154" s="82">
        <f t="shared" si="16"/>
        <v>45047</v>
      </c>
      <c r="J154" s="82">
        <f t="shared" si="16"/>
        <v>45139</v>
      </c>
      <c r="K154" s="82">
        <f t="shared" si="16"/>
        <v>45231</v>
      </c>
    </row>
    <row r="155" spans="1:15" x14ac:dyDescent="0.3">
      <c r="A155" s="53" t="s">
        <v>481</v>
      </c>
      <c r="B155" s="2" t="s">
        <v>517</v>
      </c>
      <c r="C155" s="55">
        <f t="shared" ref="C155:O156" si="17">C129</f>
        <v>1.346068</v>
      </c>
      <c r="D155" s="55">
        <f t="shared" si="17"/>
        <v>1.36927</v>
      </c>
      <c r="E155" s="55">
        <f t="shared" si="17"/>
        <v>1.414039</v>
      </c>
      <c r="F155" s="55">
        <f t="shared" si="17"/>
        <v>1.47404</v>
      </c>
      <c r="G155" s="55">
        <f t="shared" si="17"/>
        <v>1.474043</v>
      </c>
      <c r="H155" s="55">
        <f t="shared" si="17"/>
        <v>1.4740439999999999</v>
      </c>
      <c r="I155" s="55">
        <f t="shared" si="17"/>
        <v>0</v>
      </c>
      <c r="J155" s="55">
        <f t="shared" si="17"/>
        <v>0</v>
      </c>
      <c r="K155" s="55">
        <f t="shared" si="17"/>
        <v>0</v>
      </c>
      <c r="L155" s="55">
        <f t="shared" si="17"/>
        <v>0</v>
      </c>
      <c r="M155" s="55">
        <f t="shared" si="17"/>
        <v>0</v>
      </c>
      <c r="N155" s="55">
        <f t="shared" si="17"/>
        <v>0</v>
      </c>
      <c r="O155" s="55">
        <f t="shared" si="17"/>
        <v>0</v>
      </c>
    </row>
    <row r="156" spans="1:15" x14ac:dyDescent="0.3">
      <c r="A156" s="53" t="s">
        <v>489</v>
      </c>
      <c r="B156" s="2" t="s">
        <v>518</v>
      </c>
      <c r="C156" s="55">
        <f>C130</f>
        <v>1.3961250000000001</v>
      </c>
      <c r="D156" s="55">
        <f>D130</f>
        <v>1.4194610000000001</v>
      </c>
      <c r="E156" s="55">
        <f>E130</f>
        <v>1.4634339999999999</v>
      </c>
      <c r="F156" s="55">
        <f>F130</f>
        <v>1.5245850000000001</v>
      </c>
      <c r="G156" s="55">
        <f>G130</f>
        <v>1.5245880000000001</v>
      </c>
      <c r="H156" s="55">
        <f t="shared" si="17"/>
        <v>1.5262070000000001</v>
      </c>
      <c r="I156" s="55">
        <f t="shared" si="17"/>
        <v>0</v>
      </c>
      <c r="J156" s="55">
        <f t="shared" si="17"/>
        <v>0</v>
      </c>
      <c r="K156" s="55">
        <f t="shared" si="17"/>
        <v>0</v>
      </c>
      <c r="L156" s="55">
        <f t="shared" si="17"/>
        <v>0</v>
      </c>
      <c r="M156" s="55">
        <f t="shared" si="17"/>
        <v>0</v>
      </c>
      <c r="N156" s="55">
        <f t="shared" si="17"/>
        <v>0</v>
      </c>
      <c r="O156" s="55">
        <f t="shared" si="17"/>
        <v>0</v>
      </c>
    </row>
    <row r="157" spans="1:15" x14ac:dyDescent="0.3">
      <c r="A157" s="53" t="s">
        <v>482</v>
      </c>
      <c r="B157" s="2" t="s">
        <v>519</v>
      </c>
      <c r="C157" s="3">
        <v>1.210337</v>
      </c>
      <c r="D157" s="2">
        <v>1.2335389999999999</v>
      </c>
      <c r="E157" s="2">
        <v>1.268275</v>
      </c>
      <c r="F157" s="2">
        <v>1.328276</v>
      </c>
      <c r="G157" s="2">
        <v>1.328279</v>
      </c>
      <c r="H157" s="3">
        <v>1.3282799999999999</v>
      </c>
      <c r="I157" s="3"/>
      <c r="J157" s="3"/>
      <c r="K157" s="3"/>
      <c r="L157" s="3"/>
      <c r="M157" s="3"/>
      <c r="N157" s="3"/>
      <c r="O157" s="3"/>
    </row>
    <row r="158" spans="1:15" x14ac:dyDescent="0.3">
      <c r="A158" s="53" t="s">
        <v>483</v>
      </c>
      <c r="B158" s="2" t="s">
        <v>520</v>
      </c>
      <c r="C158" s="55">
        <f>C132</f>
        <v>0.97191899999999998</v>
      </c>
      <c r="D158" s="55">
        <f>D132</f>
        <v>0.99412800000000001</v>
      </c>
      <c r="E158" s="55">
        <f>E132</f>
        <v>1.037846</v>
      </c>
      <c r="F158" s="55">
        <f>F132</f>
        <v>1.08938</v>
      </c>
      <c r="G158" s="55">
        <f>G132</f>
        <v>1.089383</v>
      </c>
      <c r="H158" s="55">
        <f t="shared" ref="H158:O159" si="18">H132</f>
        <v>1.0774710000000001</v>
      </c>
      <c r="I158" s="55">
        <f t="shared" si="18"/>
        <v>0</v>
      </c>
      <c r="J158" s="55">
        <f t="shared" si="18"/>
        <v>0</v>
      </c>
      <c r="K158" s="55">
        <f t="shared" si="18"/>
        <v>0</v>
      </c>
      <c r="L158" s="55">
        <f t="shared" si="18"/>
        <v>0</v>
      </c>
      <c r="M158" s="55">
        <f t="shared" si="18"/>
        <v>0</v>
      </c>
      <c r="N158" s="55">
        <f t="shared" si="18"/>
        <v>0</v>
      </c>
      <c r="O158" s="55">
        <f t="shared" si="18"/>
        <v>0</v>
      </c>
    </row>
    <row r="159" spans="1:15" x14ac:dyDescent="0.3">
      <c r="A159" s="53" t="s">
        <v>484</v>
      </c>
      <c r="B159" s="2" t="s">
        <v>521</v>
      </c>
      <c r="C159" s="55">
        <f t="shared" ref="C159:D159" si="19">C133</f>
        <v>0.97242700000000004</v>
      </c>
      <c r="D159" s="55">
        <f t="shared" si="19"/>
        <v>0.99463599999999996</v>
      </c>
      <c r="E159" s="55">
        <f>E133</f>
        <v>1.0389299999999999</v>
      </c>
      <c r="F159" s="55">
        <f t="shared" ref="F159:G159" si="20">F133</f>
        <v>1.0904640000000001</v>
      </c>
      <c r="G159" s="55">
        <f t="shared" si="20"/>
        <v>1.0904670000000001</v>
      </c>
      <c r="H159" s="55">
        <f t="shared" si="18"/>
        <v>1.0785549999999999</v>
      </c>
      <c r="I159" s="55">
        <f t="shared" si="18"/>
        <v>0</v>
      </c>
      <c r="J159" s="55">
        <f t="shared" si="18"/>
        <v>0</v>
      </c>
      <c r="K159" s="55">
        <f t="shared" si="18"/>
        <v>0</v>
      </c>
      <c r="L159" s="55">
        <f t="shared" si="18"/>
        <v>0</v>
      </c>
      <c r="M159" s="55">
        <f t="shared" si="18"/>
        <v>0</v>
      </c>
      <c r="N159" s="55">
        <f t="shared" si="18"/>
        <v>0</v>
      </c>
      <c r="O159" s="55">
        <f t="shared" si="18"/>
        <v>0</v>
      </c>
    </row>
    <row r="160" spans="1:15" x14ac:dyDescent="0.3">
      <c r="A160" s="53" t="s">
        <v>485</v>
      </c>
      <c r="B160" s="2" t="s">
        <v>522</v>
      </c>
      <c r="C160" s="3">
        <v>0.96092599999999995</v>
      </c>
      <c r="D160" s="2">
        <v>0.98313499999999998</v>
      </c>
      <c r="E160" s="2">
        <v>1.017871</v>
      </c>
      <c r="F160" s="2">
        <v>1.0694049999999999</v>
      </c>
      <c r="G160" s="2">
        <v>1.0694079999999999</v>
      </c>
      <c r="H160" s="3">
        <v>1.057496</v>
      </c>
      <c r="I160" s="3"/>
      <c r="J160" s="3"/>
      <c r="K160" s="3"/>
      <c r="L160" s="3"/>
      <c r="M160" s="3"/>
      <c r="N160" s="3"/>
      <c r="O160" s="3"/>
    </row>
    <row r="161" spans="1:15" x14ac:dyDescent="0.3">
      <c r="A161" s="53" t="s">
        <v>490</v>
      </c>
      <c r="B161" s="2" t="s">
        <v>523</v>
      </c>
      <c r="C161" s="55">
        <f t="shared" ref="C161:D161" si="21">C135</f>
        <v>0.97240800000000005</v>
      </c>
      <c r="D161" s="55">
        <f t="shared" si="21"/>
        <v>0.99461699999999997</v>
      </c>
      <c r="E161" s="55">
        <f>E135</f>
        <v>1.0384100000000001</v>
      </c>
      <c r="F161" s="55">
        <f t="shared" ref="F161:O163" si="22">F135</f>
        <v>1.089944</v>
      </c>
      <c r="G161" s="55">
        <f t="shared" si="22"/>
        <v>1.089947</v>
      </c>
      <c r="H161" s="55">
        <f t="shared" si="22"/>
        <v>1.0780350000000001</v>
      </c>
      <c r="I161" s="55">
        <f t="shared" si="22"/>
        <v>0</v>
      </c>
      <c r="J161" s="55">
        <f t="shared" si="22"/>
        <v>0</v>
      </c>
      <c r="K161" s="55">
        <f t="shared" si="22"/>
        <v>0</v>
      </c>
      <c r="L161" s="55">
        <f t="shared" si="22"/>
        <v>0</v>
      </c>
      <c r="M161" s="55">
        <f t="shared" si="22"/>
        <v>0</v>
      </c>
      <c r="N161" s="55">
        <f t="shared" si="22"/>
        <v>0</v>
      </c>
      <c r="O161" s="55">
        <f t="shared" si="22"/>
        <v>0</v>
      </c>
    </row>
    <row r="162" spans="1:15" x14ac:dyDescent="0.3">
      <c r="A162" s="53" t="s">
        <v>486</v>
      </c>
      <c r="B162" s="2" t="s">
        <v>524</v>
      </c>
      <c r="C162" s="55">
        <f>C136</f>
        <v>0.91927300000000001</v>
      </c>
      <c r="D162" s="55">
        <f>D136</f>
        <v>0.94148200000000004</v>
      </c>
      <c r="E162" s="55">
        <f>E136</f>
        <v>0.98097299999999998</v>
      </c>
      <c r="F162" s="55">
        <f>F136</f>
        <v>1.0325070000000001</v>
      </c>
      <c r="G162" s="55">
        <f>G136</f>
        <v>1.03251</v>
      </c>
      <c r="H162" s="55">
        <f t="shared" si="22"/>
        <v>1.0205979999999999</v>
      </c>
      <c r="I162" s="55">
        <f t="shared" si="22"/>
        <v>0</v>
      </c>
      <c r="J162" s="55">
        <f t="shared" si="22"/>
        <v>0</v>
      </c>
      <c r="K162" s="55">
        <f t="shared" si="22"/>
        <v>0</v>
      </c>
      <c r="L162" s="55">
        <f t="shared" si="22"/>
        <v>0</v>
      </c>
      <c r="M162" s="55">
        <f t="shared" si="22"/>
        <v>0</v>
      </c>
      <c r="N162" s="55">
        <f t="shared" si="22"/>
        <v>0</v>
      </c>
      <c r="O162" s="55">
        <f t="shared" si="22"/>
        <v>0</v>
      </c>
    </row>
    <row r="163" spans="1:15" x14ac:dyDescent="0.3">
      <c r="A163" s="8" t="s">
        <v>487</v>
      </c>
      <c r="B163" s="2" t="s">
        <v>525</v>
      </c>
      <c r="C163" s="55">
        <f t="shared" ref="C163:D163" si="23">C137</f>
        <v>0.91938900000000001</v>
      </c>
      <c r="D163" s="55">
        <f t="shared" si="23"/>
        <v>0.94159800000000005</v>
      </c>
      <c r="E163" s="55">
        <f>E137</f>
        <v>0.981267</v>
      </c>
      <c r="F163" s="55">
        <f t="shared" ref="F163:G163" si="24">F137</f>
        <v>1.0328010000000001</v>
      </c>
      <c r="G163" s="55">
        <f t="shared" si="24"/>
        <v>1.0328040000000001</v>
      </c>
      <c r="H163" s="55">
        <f t="shared" si="22"/>
        <v>1.0208919999999999</v>
      </c>
      <c r="I163" s="55">
        <f t="shared" si="22"/>
        <v>0</v>
      </c>
      <c r="J163" s="55">
        <f t="shared" si="22"/>
        <v>0</v>
      </c>
      <c r="K163" s="55">
        <f t="shared" si="22"/>
        <v>0</v>
      </c>
      <c r="L163" s="55">
        <f t="shared" si="22"/>
        <v>0</v>
      </c>
      <c r="M163" s="55">
        <f t="shared" si="22"/>
        <v>0</v>
      </c>
      <c r="N163" s="55">
        <f t="shared" si="22"/>
        <v>0</v>
      </c>
      <c r="O163" s="55">
        <f t="shared" si="22"/>
        <v>0</v>
      </c>
    </row>
    <row r="164" spans="1:15" x14ac:dyDescent="0.3">
      <c r="A164" s="8" t="s">
        <v>488</v>
      </c>
      <c r="B164" s="2" t="s">
        <v>526</v>
      </c>
      <c r="C164" s="3">
        <v>0.90869800000000001</v>
      </c>
      <c r="D164" s="2">
        <v>0.93090700000000004</v>
      </c>
      <c r="E164" s="2">
        <v>0.96172199999999997</v>
      </c>
      <c r="F164" s="2">
        <v>1.0132559999999999</v>
      </c>
      <c r="G164" s="2">
        <v>1.0132589999999999</v>
      </c>
      <c r="H164" s="3">
        <v>1.001347</v>
      </c>
      <c r="I164" s="3"/>
      <c r="J164" s="3"/>
      <c r="K164" s="3"/>
      <c r="L164" s="3"/>
      <c r="M164" s="3"/>
      <c r="N164" s="3"/>
      <c r="O164" s="3"/>
    </row>
    <row r="165" spans="1:15" x14ac:dyDescent="0.3">
      <c r="A165" s="8" t="s">
        <v>491</v>
      </c>
      <c r="B165" s="2" t="s">
        <v>527</v>
      </c>
      <c r="C165" s="55">
        <f t="shared" ref="C165:D165" si="25">C152</f>
        <v>0.92248300000000005</v>
      </c>
      <c r="D165" s="55">
        <f t="shared" si="25"/>
        <v>0.94469199999999998</v>
      </c>
      <c r="E165" s="55">
        <f>E152</f>
        <v>0.98568999999999996</v>
      </c>
      <c r="F165" s="55">
        <f t="shared" ref="F165:G165" si="26">F152</f>
        <v>1.0372239999999999</v>
      </c>
      <c r="G165" s="55">
        <f t="shared" si="26"/>
        <v>1.0372269999999999</v>
      </c>
      <c r="H165" s="55">
        <f>H152</f>
        <v>1.025315</v>
      </c>
      <c r="I165" s="55">
        <f t="shared" ref="I165:O165" si="27">I152</f>
        <v>0</v>
      </c>
      <c r="J165" s="55">
        <f t="shared" si="27"/>
        <v>0</v>
      </c>
      <c r="K165" s="55">
        <f t="shared" si="27"/>
        <v>0</v>
      </c>
      <c r="L165" s="55">
        <f t="shared" si="27"/>
        <v>0</v>
      </c>
      <c r="M165" s="55">
        <f t="shared" si="27"/>
        <v>0</v>
      </c>
      <c r="N165" s="55">
        <f t="shared" si="27"/>
        <v>0</v>
      </c>
      <c r="O165" s="55">
        <f t="shared" si="27"/>
        <v>0</v>
      </c>
    </row>
    <row r="167" spans="1:15" x14ac:dyDescent="0.3">
      <c r="A167" s="5" t="s">
        <v>528</v>
      </c>
      <c r="C167" s="82">
        <f>C$115</f>
        <v>44501</v>
      </c>
      <c r="D167" s="82">
        <f t="shared" ref="D167:K167" si="28">D$115</f>
        <v>44593</v>
      </c>
      <c r="E167" s="82">
        <f t="shared" si="28"/>
        <v>44682</v>
      </c>
      <c r="F167" s="82">
        <f t="shared" si="28"/>
        <v>44774</v>
      </c>
      <c r="G167" s="82">
        <f t="shared" si="28"/>
        <v>44866</v>
      </c>
      <c r="H167" s="82">
        <f t="shared" si="28"/>
        <v>44958</v>
      </c>
      <c r="I167" s="82">
        <f t="shared" si="28"/>
        <v>45047</v>
      </c>
      <c r="J167" s="82">
        <f t="shared" si="28"/>
        <v>45139</v>
      </c>
      <c r="K167" s="82">
        <f t="shared" si="28"/>
        <v>45231</v>
      </c>
    </row>
    <row r="168" spans="1:15" x14ac:dyDescent="0.3">
      <c r="A168" s="8" t="s">
        <v>482</v>
      </c>
      <c r="B168" s="2" t="s">
        <v>673</v>
      </c>
      <c r="C168" s="2">
        <v>1.0363329999999999</v>
      </c>
      <c r="D168" s="2">
        <v>1.0595349999999999</v>
      </c>
      <c r="E168" s="2">
        <v>1.2008369999999999</v>
      </c>
      <c r="F168" s="2">
        <v>1.2608379999999999</v>
      </c>
      <c r="G168" s="2">
        <v>1.2608410000000001</v>
      </c>
      <c r="H168" s="3">
        <v>0.99005799999999999</v>
      </c>
      <c r="I168" s="3"/>
      <c r="J168" s="3"/>
      <c r="K168" s="3"/>
    </row>
    <row r="169" spans="1:15" x14ac:dyDescent="0.3">
      <c r="A169" s="8" t="s">
        <v>485</v>
      </c>
      <c r="B169" s="2" t="s">
        <v>674</v>
      </c>
      <c r="C169" s="2">
        <v>0.78692200000000001</v>
      </c>
      <c r="D169" s="2">
        <v>0.80913100000000004</v>
      </c>
      <c r="E169" s="2">
        <v>0.95043299999999997</v>
      </c>
      <c r="F169" s="2">
        <v>1.0019670000000001</v>
      </c>
      <c r="G169" s="3">
        <v>1.00197</v>
      </c>
      <c r="H169" s="3">
        <v>1.260842</v>
      </c>
      <c r="I169" s="3"/>
      <c r="J169" s="3"/>
      <c r="K169" s="3"/>
    </row>
    <row r="170" spans="1:15" x14ac:dyDescent="0.3">
      <c r="A170" s="8" t="s">
        <v>488</v>
      </c>
      <c r="B170" s="2" t="s">
        <v>676</v>
      </c>
      <c r="C170" s="2">
        <v>0.74397199999999997</v>
      </c>
      <c r="D170" s="2">
        <v>0.766181</v>
      </c>
      <c r="E170" s="2">
        <v>0.89787899999999998</v>
      </c>
      <c r="F170" s="2">
        <v>0.94941299999999995</v>
      </c>
      <c r="G170" s="2">
        <v>0.94941600000000004</v>
      </c>
      <c r="H170" s="3">
        <v>0.937504</v>
      </c>
      <c r="I170" s="3"/>
      <c r="J170" s="3"/>
      <c r="K170" s="3"/>
    </row>
    <row r="172" spans="1:15" x14ac:dyDescent="0.3">
      <c r="A172" s="5" t="s">
        <v>529</v>
      </c>
      <c r="B172" s="2" t="str">
        <f>B$1</f>
        <v>Elegir Trim.</v>
      </c>
      <c r="C172" s="82">
        <f>C$115</f>
        <v>44501</v>
      </c>
      <c r="D172" s="82">
        <f t="shared" ref="D172:K172" si="29">D$115</f>
        <v>44593</v>
      </c>
      <c r="E172" s="82">
        <f t="shared" si="29"/>
        <v>44682</v>
      </c>
      <c r="F172" s="82">
        <f t="shared" si="29"/>
        <v>44774</v>
      </c>
      <c r="G172" s="82">
        <f t="shared" si="29"/>
        <v>44866</v>
      </c>
      <c r="H172" s="82">
        <f t="shared" si="29"/>
        <v>44958</v>
      </c>
      <c r="I172" s="82">
        <f t="shared" si="29"/>
        <v>45047</v>
      </c>
      <c r="J172" s="82">
        <f t="shared" si="29"/>
        <v>45139</v>
      </c>
      <c r="K172" s="82">
        <f t="shared" si="29"/>
        <v>45231</v>
      </c>
    </row>
    <row r="173" spans="1:15" x14ac:dyDescent="0.3">
      <c r="A173" s="53" t="s">
        <v>481</v>
      </c>
      <c r="B173" s="2" t="s">
        <v>530</v>
      </c>
      <c r="C173" s="55">
        <v>0</v>
      </c>
      <c r="D173" s="55">
        <v>0</v>
      </c>
      <c r="E173" s="55">
        <v>0</v>
      </c>
      <c r="F173" s="55">
        <v>0</v>
      </c>
      <c r="G173" s="55">
        <v>0</v>
      </c>
      <c r="H173" s="55">
        <v>0</v>
      </c>
      <c r="I173" s="55">
        <v>0</v>
      </c>
      <c r="J173" s="55">
        <v>0</v>
      </c>
      <c r="K173" s="55">
        <v>0</v>
      </c>
      <c r="L173" s="55">
        <v>0</v>
      </c>
      <c r="M173" s="55">
        <v>0</v>
      </c>
      <c r="N173" s="55">
        <v>0</v>
      </c>
      <c r="O173" s="55">
        <v>0</v>
      </c>
    </row>
    <row r="174" spans="1:15" x14ac:dyDescent="0.3">
      <c r="A174" s="53" t="s">
        <v>489</v>
      </c>
      <c r="B174" s="2" t="s">
        <v>531</v>
      </c>
      <c r="C174" s="55">
        <v>0</v>
      </c>
      <c r="D174" s="55">
        <v>0</v>
      </c>
      <c r="E174" s="55">
        <v>0</v>
      </c>
      <c r="F174" s="55">
        <v>0</v>
      </c>
      <c r="G174" s="55">
        <v>0</v>
      </c>
      <c r="H174" s="55">
        <v>0</v>
      </c>
      <c r="I174" s="55">
        <v>0</v>
      </c>
      <c r="J174" s="55">
        <v>0</v>
      </c>
      <c r="K174" s="55">
        <v>0</v>
      </c>
      <c r="L174" s="55">
        <v>0</v>
      </c>
      <c r="M174" s="55">
        <v>0</v>
      </c>
      <c r="N174" s="55">
        <v>0</v>
      </c>
      <c r="O174" s="55">
        <v>0</v>
      </c>
    </row>
    <row r="175" spans="1:15" x14ac:dyDescent="0.3">
      <c r="A175" s="53" t="s">
        <v>482</v>
      </c>
      <c r="B175" s="2" t="s">
        <v>532</v>
      </c>
      <c r="C175" s="55">
        <v>0</v>
      </c>
      <c r="D175" s="55">
        <v>0</v>
      </c>
      <c r="E175" s="55">
        <v>0</v>
      </c>
      <c r="F175" s="55">
        <v>0</v>
      </c>
      <c r="G175" s="55">
        <v>0</v>
      </c>
      <c r="H175" s="55">
        <v>0</v>
      </c>
      <c r="I175" s="55">
        <v>0</v>
      </c>
      <c r="J175" s="55">
        <v>0</v>
      </c>
      <c r="K175" s="55">
        <v>0</v>
      </c>
      <c r="L175" s="55">
        <v>0</v>
      </c>
      <c r="M175" s="55">
        <v>0</v>
      </c>
      <c r="N175" s="55">
        <v>0</v>
      </c>
      <c r="O175" s="55">
        <v>0</v>
      </c>
    </row>
    <row r="176" spans="1:15" x14ac:dyDescent="0.3">
      <c r="A176" s="53" t="s">
        <v>483</v>
      </c>
      <c r="B176" s="2" t="s">
        <v>533</v>
      </c>
      <c r="C176" s="3">
        <v>43.081358999999999</v>
      </c>
      <c r="D176" s="2">
        <v>43.081358999999999</v>
      </c>
      <c r="E176" s="2">
        <v>43.081598</v>
      </c>
      <c r="F176" s="2">
        <v>43.081598</v>
      </c>
      <c r="G176" s="2">
        <v>43.081598</v>
      </c>
      <c r="H176" s="3">
        <v>43.081598</v>
      </c>
      <c r="I176" s="3"/>
      <c r="J176" s="3"/>
      <c r="K176" s="3"/>
    </row>
    <row r="177" spans="1:15" x14ac:dyDescent="0.3">
      <c r="A177" s="53" t="s">
        <v>484</v>
      </c>
      <c r="B177" s="2" t="s">
        <v>534</v>
      </c>
      <c r="C177" s="3">
        <v>23.757117000000001</v>
      </c>
      <c r="D177" s="2">
        <v>23.757117000000001</v>
      </c>
      <c r="E177" s="2">
        <v>23.572489999999998</v>
      </c>
      <c r="F177" s="2">
        <v>23.757249000000002</v>
      </c>
      <c r="G177" s="2">
        <v>23.757249000000002</v>
      </c>
      <c r="H177" s="3">
        <v>23.757249000000002</v>
      </c>
      <c r="I177" s="3"/>
      <c r="J177" s="3"/>
      <c r="K177" s="3"/>
    </row>
    <row r="178" spans="1:15" x14ac:dyDescent="0.3">
      <c r="A178" s="53" t="s">
        <v>485</v>
      </c>
      <c r="B178" s="2" t="s">
        <v>535</v>
      </c>
      <c r="C178" s="3">
        <v>38.933176000000003</v>
      </c>
      <c r="D178" s="2">
        <v>38.933176000000003</v>
      </c>
      <c r="E178" s="2">
        <v>38.933391999999998</v>
      </c>
      <c r="F178" s="2">
        <v>38.933391999999998</v>
      </c>
      <c r="G178" s="2">
        <v>38.933391999999998</v>
      </c>
      <c r="H178" s="3">
        <v>38.933391999999998</v>
      </c>
      <c r="I178" s="3"/>
      <c r="J178" s="3"/>
      <c r="K178" s="3"/>
    </row>
    <row r="179" spans="1:15" x14ac:dyDescent="0.3">
      <c r="A179" s="53" t="s">
        <v>490</v>
      </c>
      <c r="B179" s="2" t="s">
        <v>536</v>
      </c>
      <c r="C179" s="3">
        <v>40.934071000000003</v>
      </c>
      <c r="D179" s="2">
        <v>40.934071000000003</v>
      </c>
      <c r="E179" s="2">
        <v>40.934297999999998</v>
      </c>
      <c r="F179" s="2">
        <v>40.934297999999998</v>
      </c>
      <c r="G179" s="2">
        <v>40.934297999999998</v>
      </c>
      <c r="H179" s="3">
        <v>40.934297999999998</v>
      </c>
      <c r="I179" s="3"/>
      <c r="J179" s="3"/>
      <c r="K179" s="3"/>
    </row>
    <row r="180" spans="1:15" x14ac:dyDescent="0.3">
      <c r="A180" s="53" t="s">
        <v>486</v>
      </c>
      <c r="B180" s="2" t="s">
        <v>537</v>
      </c>
      <c r="C180" s="3">
        <v>35.477508999999998</v>
      </c>
      <c r="D180" s="2">
        <v>35.477508999999998</v>
      </c>
      <c r="E180" s="2">
        <v>35.477705999999998</v>
      </c>
      <c r="F180" s="2">
        <v>35.477705999999998</v>
      </c>
      <c r="G180" s="2">
        <v>35.477705999999998</v>
      </c>
      <c r="H180" s="3">
        <v>35.477705999999998</v>
      </c>
      <c r="I180" s="3"/>
      <c r="J180" s="3"/>
      <c r="K180" s="3"/>
    </row>
    <row r="181" spans="1:15" x14ac:dyDescent="0.3">
      <c r="A181" s="8" t="s">
        <v>487</v>
      </c>
      <c r="B181" s="2" t="s">
        <v>538</v>
      </c>
      <c r="C181" s="3">
        <v>26.180728999999999</v>
      </c>
      <c r="D181" s="2">
        <v>26.180728999999999</v>
      </c>
      <c r="E181" s="2">
        <v>26.180873999999999</v>
      </c>
      <c r="F181" s="2">
        <v>26.180873999999999</v>
      </c>
      <c r="G181" s="2">
        <v>26.180873999999999</v>
      </c>
      <c r="H181" s="3">
        <v>26.180873999999999</v>
      </c>
      <c r="I181" s="3"/>
      <c r="J181" s="3"/>
      <c r="K181" s="3"/>
    </row>
    <row r="182" spans="1:15" x14ac:dyDescent="0.3">
      <c r="A182" s="8" t="s">
        <v>488</v>
      </c>
      <c r="B182" s="2" t="s">
        <v>539</v>
      </c>
      <c r="C182" s="3">
        <v>38.477128</v>
      </c>
      <c r="D182" s="2">
        <v>38.477128</v>
      </c>
      <c r="E182" s="2">
        <v>38.477342</v>
      </c>
      <c r="F182" s="2">
        <v>38.477342</v>
      </c>
      <c r="G182" s="2">
        <v>38.477342</v>
      </c>
      <c r="H182" s="3">
        <v>38.933391999999998</v>
      </c>
      <c r="I182" s="3"/>
      <c r="J182" s="3"/>
      <c r="K182" s="3"/>
    </row>
    <row r="183" spans="1:15" x14ac:dyDescent="0.3">
      <c r="A183" s="8" t="s">
        <v>491</v>
      </c>
      <c r="B183" s="2" t="s">
        <v>540</v>
      </c>
      <c r="C183" s="3">
        <v>48.245224999999998</v>
      </c>
      <c r="D183" s="2">
        <v>48.245224999999998</v>
      </c>
      <c r="E183" s="2">
        <v>48.245493000000003</v>
      </c>
      <c r="F183" s="2">
        <v>48.245493000000003</v>
      </c>
      <c r="G183" s="2">
        <v>48.245493000000003</v>
      </c>
      <c r="H183" s="3">
        <v>48.245493000000003</v>
      </c>
      <c r="I183" s="3"/>
      <c r="J183" s="3"/>
      <c r="K183" s="3"/>
    </row>
    <row r="185" spans="1:15" x14ac:dyDescent="0.3">
      <c r="A185" s="5" t="s">
        <v>541</v>
      </c>
      <c r="B185" s="2" t="str">
        <f>B$1</f>
        <v>Elegir Trim.</v>
      </c>
      <c r="C185" s="82">
        <f>C$115</f>
        <v>44501</v>
      </c>
      <c r="D185" s="82">
        <f t="shared" ref="D185:K185" si="30">D$115</f>
        <v>44593</v>
      </c>
      <c r="E185" s="82">
        <f t="shared" si="30"/>
        <v>44682</v>
      </c>
      <c r="F185" s="82">
        <f t="shared" si="30"/>
        <v>44774</v>
      </c>
      <c r="G185" s="82">
        <f t="shared" si="30"/>
        <v>44866</v>
      </c>
      <c r="H185" s="82">
        <f t="shared" si="30"/>
        <v>44958</v>
      </c>
      <c r="I185" s="82">
        <f t="shared" si="30"/>
        <v>45047</v>
      </c>
      <c r="J185" s="82">
        <f t="shared" si="30"/>
        <v>45139</v>
      </c>
      <c r="K185" s="82">
        <f t="shared" si="30"/>
        <v>45231</v>
      </c>
    </row>
    <row r="186" spans="1:15" x14ac:dyDescent="0.3">
      <c r="A186" s="53" t="s">
        <v>481</v>
      </c>
      <c r="B186" s="2" t="s">
        <v>542</v>
      </c>
      <c r="C186" s="55">
        <v>0</v>
      </c>
      <c r="D186" s="55">
        <v>0</v>
      </c>
      <c r="E186" s="55">
        <v>0</v>
      </c>
      <c r="F186" s="55">
        <v>0</v>
      </c>
      <c r="G186" s="55">
        <v>0</v>
      </c>
      <c r="H186" s="55">
        <v>0</v>
      </c>
      <c r="I186" s="55">
        <v>0</v>
      </c>
      <c r="J186" s="55">
        <v>0</v>
      </c>
      <c r="K186" s="55">
        <v>0</v>
      </c>
      <c r="L186" s="55">
        <v>0</v>
      </c>
      <c r="M186" s="55">
        <v>0</v>
      </c>
      <c r="N186" s="55">
        <v>0</v>
      </c>
      <c r="O186" s="55">
        <v>0</v>
      </c>
    </row>
    <row r="187" spans="1:15" x14ac:dyDescent="0.3">
      <c r="A187" s="53" t="s">
        <v>489</v>
      </c>
      <c r="B187" s="2" t="s">
        <v>543</v>
      </c>
      <c r="C187" s="55">
        <v>0</v>
      </c>
      <c r="D187" s="55">
        <v>0</v>
      </c>
      <c r="E187" s="55">
        <v>0</v>
      </c>
      <c r="F187" s="55">
        <v>0</v>
      </c>
      <c r="G187" s="55">
        <v>0</v>
      </c>
      <c r="H187" s="55">
        <v>0</v>
      </c>
      <c r="I187" s="55">
        <v>0</v>
      </c>
      <c r="J187" s="55">
        <v>0</v>
      </c>
      <c r="K187" s="55">
        <v>0</v>
      </c>
      <c r="L187" s="55">
        <v>0</v>
      </c>
      <c r="M187" s="55">
        <v>0</v>
      </c>
      <c r="N187" s="55">
        <v>0</v>
      </c>
      <c r="O187" s="55">
        <v>0</v>
      </c>
    </row>
    <row r="188" spans="1:15" x14ac:dyDescent="0.3">
      <c r="A188" s="53" t="s">
        <v>482</v>
      </c>
      <c r="B188" s="2" t="s">
        <v>544</v>
      </c>
      <c r="C188" s="55">
        <v>0</v>
      </c>
      <c r="D188" s="55">
        <v>0</v>
      </c>
      <c r="E188" s="55">
        <v>0</v>
      </c>
      <c r="F188" s="55">
        <v>0</v>
      </c>
      <c r="G188" s="55">
        <v>0</v>
      </c>
      <c r="H188" s="55">
        <v>0</v>
      </c>
      <c r="I188" s="55">
        <v>0</v>
      </c>
      <c r="J188" s="55">
        <v>0</v>
      </c>
      <c r="K188" s="55">
        <v>0</v>
      </c>
      <c r="L188" s="55">
        <v>0</v>
      </c>
      <c r="M188" s="55">
        <v>0</v>
      </c>
      <c r="N188" s="55">
        <v>0</v>
      </c>
      <c r="O188" s="55">
        <v>0</v>
      </c>
    </row>
    <row r="189" spans="1:15" x14ac:dyDescent="0.3">
      <c r="A189" s="53" t="s">
        <v>483</v>
      </c>
      <c r="B189" s="2" t="s">
        <v>545</v>
      </c>
      <c r="C189" s="3">
        <v>66.248889000000005</v>
      </c>
      <c r="D189" s="2">
        <v>66.512507999999997</v>
      </c>
      <c r="E189" s="2">
        <v>66.512507999999997</v>
      </c>
      <c r="F189" s="2">
        <v>68.761632000000006</v>
      </c>
      <c r="G189" s="2">
        <v>68.761632000000006</v>
      </c>
      <c r="H189" s="3">
        <v>71.925946999999994</v>
      </c>
      <c r="I189" s="3"/>
      <c r="J189" s="3"/>
      <c r="K189" s="3"/>
    </row>
    <row r="190" spans="1:15" x14ac:dyDescent="0.3">
      <c r="A190" s="53" t="s">
        <v>484</v>
      </c>
      <c r="B190" s="2" t="s">
        <v>546</v>
      </c>
      <c r="C190" s="3">
        <v>31.257857999999999</v>
      </c>
      <c r="D190" s="3">
        <v>31.382239999999999</v>
      </c>
      <c r="E190" s="3">
        <v>31.382239999999999</v>
      </c>
      <c r="F190" s="2">
        <v>32.443432000000001</v>
      </c>
      <c r="G190" s="2">
        <v>32.443432000000001</v>
      </c>
      <c r="H190" s="3">
        <v>33.936433999999998</v>
      </c>
      <c r="I190" s="3"/>
      <c r="J190" s="3"/>
      <c r="K190" s="3"/>
    </row>
    <row r="191" spans="1:15" x14ac:dyDescent="0.3">
      <c r="A191" s="53" t="s">
        <v>485</v>
      </c>
      <c r="B191" s="2" t="s">
        <v>547</v>
      </c>
      <c r="C191" s="3">
        <v>36.948524999999997</v>
      </c>
      <c r="D191" s="2">
        <v>37.095551999999998</v>
      </c>
      <c r="E191" s="2">
        <v>37.095551999999998</v>
      </c>
      <c r="F191" s="3">
        <v>38.349939999999997</v>
      </c>
      <c r="G191" s="3">
        <v>38.349939999999997</v>
      </c>
      <c r="H191" s="3">
        <v>40.114750999999998</v>
      </c>
      <c r="I191" s="3"/>
      <c r="J191" s="3"/>
      <c r="K191" s="3"/>
    </row>
    <row r="192" spans="1:15" x14ac:dyDescent="0.3">
      <c r="A192" s="53" t="s">
        <v>490</v>
      </c>
      <c r="B192" s="2" t="s">
        <v>548</v>
      </c>
      <c r="C192" s="3">
        <v>39.244669000000002</v>
      </c>
      <c r="D192" s="2">
        <v>39.400832000000001</v>
      </c>
      <c r="E192" s="2">
        <v>39.400832000000001</v>
      </c>
      <c r="F192" s="3">
        <v>40.733173000000001</v>
      </c>
      <c r="G192" s="3">
        <v>40.733173000000001</v>
      </c>
      <c r="H192" s="3">
        <v>42.607567000000003</v>
      </c>
      <c r="I192" s="3"/>
      <c r="J192" s="3"/>
      <c r="K192" s="3"/>
    </row>
    <row r="193" spans="1:11" x14ac:dyDescent="0.3">
      <c r="A193" s="53" t="s">
        <v>486</v>
      </c>
      <c r="B193" s="2" t="s">
        <v>549</v>
      </c>
      <c r="C193" s="3">
        <v>20.057321999999999</v>
      </c>
      <c r="D193" s="2">
        <v>20.075738999999999</v>
      </c>
      <c r="E193" s="2">
        <v>20.075738999999999</v>
      </c>
      <c r="F193" s="2">
        <v>20.999760999999999</v>
      </c>
      <c r="G193" s="2">
        <v>20.999760999999999</v>
      </c>
      <c r="H193" s="3">
        <v>22.866864</v>
      </c>
      <c r="I193" s="3"/>
      <c r="J193" s="3"/>
      <c r="K193" s="3"/>
    </row>
    <row r="194" spans="1:11" x14ac:dyDescent="0.3">
      <c r="A194" s="8" t="s">
        <v>487</v>
      </c>
      <c r="B194" s="2" t="s">
        <v>550</v>
      </c>
      <c r="C194" s="3">
        <v>13.316473</v>
      </c>
      <c r="D194" s="3">
        <v>13.3287</v>
      </c>
      <c r="E194" s="3">
        <v>13.3287</v>
      </c>
      <c r="F194" s="2">
        <v>13.942178</v>
      </c>
      <c r="G194" s="2">
        <v>13.942178</v>
      </c>
      <c r="H194" s="3">
        <v>15.181786000000001</v>
      </c>
      <c r="I194" s="3"/>
      <c r="J194" s="3"/>
      <c r="K194" s="3"/>
    </row>
    <row r="195" spans="1:11" x14ac:dyDescent="0.3">
      <c r="A195" s="8" t="s">
        <v>488</v>
      </c>
      <c r="B195" s="2" t="s">
        <v>551</v>
      </c>
      <c r="C195" s="3">
        <v>14.030186</v>
      </c>
      <c r="D195" s="2">
        <v>14.043068999999999</v>
      </c>
      <c r="E195" s="2">
        <v>14.043068999999999</v>
      </c>
      <c r="F195" s="2">
        <v>14.689425999999999</v>
      </c>
      <c r="G195" s="2">
        <v>14.689425999999999</v>
      </c>
      <c r="H195" s="3">
        <v>15.995473</v>
      </c>
      <c r="I195" s="3"/>
      <c r="J195" s="3"/>
      <c r="K195" s="3"/>
    </row>
    <row r="196" spans="1:11" x14ac:dyDescent="0.3">
      <c r="A196" s="8" t="s">
        <v>491</v>
      </c>
      <c r="B196" s="2" t="s">
        <v>552</v>
      </c>
      <c r="C196" s="3">
        <v>22.737568</v>
      </c>
      <c r="D196" s="2">
        <v>22.758445999999999</v>
      </c>
      <c r="E196" s="2">
        <v>22.758445999999999</v>
      </c>
      <c r="F196" s="2">
        <v>23.805944</v>
      </c>
      <c r="G196" s="2">
        <v>23.805944</v>
      </c>
      <c r="H196" s="3">
        <v>25.922547000000002</v>
      </c>
      <c r="I196" s="3"/>
      <c r="J196" s="3"/>
      <c r="K196" s="3"/>
    </row>
    <row r="198" spans="1:11" x14ac:dyDescent="0.3">
      <c r="B198" s="56" t="s">
        <v>553</v>
      </c>
      <c r="C198" s="57">
        <v>1.451938</v>
      </c>
      <c r="D198" s="2">
        <v>1.4754290000000001</v>
      </c>
      <c r="E198" s="2">
        <v>1.5167630000000001</v>
      </c>
      <c r="F198" s="2">
        <v>1.5792330000000001</v>
      </c>
      <c r="G198" s="2">
        <v>1.5792360000000001</v>
      </c>
      <c r="H198" s="2">
        <v>1.582708</v>
      </c>
    </row>
    <row r="199" spans="1:11" x14ac:dyDescent="0.3">
      <c r="B199" s="58" t="s">
        <v>554</v>
      </c>
      <c r="C199" s="59">
        <v>9.5988900000000005E-3</v>
      </c>
      <c r="D199" s="59">
        <v>9.5063200000000004E-3</v>
      </c>
      <c r="E199" s="59">
        <v>9.4362000000000005E-3</v>
      </c>
      <c r="F199" s="59">
        <v>9.4512299999999997E-3</v>
      </c>
      <c r="G199" s="59">
        <v>9.4737699999999994E-3</v>
      </c>
      <c r="H199" s="59">
        <v>9.3635200000000002E-3</v>
      </c>
      <c r="I199" s="59"/>
      <c r="J199" s="59"/>
      <c r="K199" s="59"/>
    </row>
  </sheetData>
  <mergeCells count="9">
    <mergeCell ref="A76:B76"/>
    <mergeCell ref="A77:B77"/>
    <mergeCell ref="A78:B78"/>
    <mergeCell ref="A70:B70"/>
    <mergeCell ref="A71:B71"/>
    <mergeCell ref="A72:B72"/>
    <mergeCell ref="A73:B73"/>
    <mergeCell ref="A74:B74"/>
    <mergeCell ref="A75:B75"/>
  </mergeCells>
  <pageMargins left="0.75" right="0.75" top="1" bottom="1" header="0" footer="0"/>
  <pageSetup paperSize="9" orientation="portrait" horizontalDpi="4294967293" verticalDpi="12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244"/>
  <sheetViews>
    <sheetView workbookViewId="0">
      <pane xSplit="2" ySplit="1" topLeftCell="C120" activePane="bottomRight" state="frozen"/>
      <selection activeCell="B396" sqref="B396:B398"/>
      <selection pane="topRight" activeCell="B396" sqref="B396:B398"/>
      <selection pane="bottomLeft" activeCell="B396" sqref="B396:B398"/>
      <selection pane="bottomRight" activeCell="B396" sqref="B396:B398"/>
    </sheetView>
  </sheetViews>
  <sheetFormatPr defaultColWidth="11.44140625" defaultRowHeight="13.8" x14ac:dyDescent="0.3"/>
  <cols>
    <col min="1" max="1" width="56.33203125" style="66" customWidth="1"/>
    <col min="2" max="2" width="16.88671875" style="66" bestFit="1" customWidth="1"/>
    <col min="3" max="12" width="12.88671875" style="66" customWidth="1"/>
    <col min="13" max="16384" width="11.44140625" style="66"/>
  </cols>
  <sheetData>
    <row r="1" spans="1:11" x14ac:dyDescent="0.3">
      <c r="B1" s="2" t="s">
        <v>353</v>
      </c>
      <c r="C1" s="2" t="s">
        <v>354</v>
      </c>
      <c r="D1" s="2" t="s">
        <v>355</v>
      </c>
      <c r="E1" s="2" t="s">
        <v>356</v>
      </c>
      <c r="F1" s="2" t="s">
        <v>357</v>
      </c>
      <c r="G1" s="2" t="s">
        <v>358</v>
      </c>
      <c r="H1" s="2" t="s">
        <v>359</v>
      </c>
      <c r="I1" s="2" t="s">
        <v>360</v>
      </c>
      <c r="J1" s="2" t="s">
        <v>361</v>
      </c>
      <c r="K1" s="2" t="s">
        <v>362</v>
      </c>
    </row>
    <row r="2" spans="1:11" x14ac:dyDescent="0.3">
      <c r="A2" s="66" t="s">
        <v>363</v>
      </c>
      <c r="B2" s="66" t="s">
        <v>364</v>
      </c>
      <c r="C2" s="2"/>
      <c r="D2" s="2"/>
      <c r="E2" s="2"/>
      <c r="F2" s="2"/>
      <c r="G2" s="2"/>
      <c r="H2" s="2"/>
      <c r="I2" s="2"/>
      <c r="J2" s="2"/>
      <c r="K2" s="2"/>
    </row>
    <row r="3" spans="1:11" x14ac:dyDescent="0.3">
      <c r="A3" s="66" t="s">
        <v>365</v>
      </c>
      <c r="B3" s="66" t="s">
        <v>366</v>
      </c>
      <c r="F3" s="7"/>
      <c r="G3" s="7"/>
      <c r="H3" s="7"/>
      <c r="I3" s="7"/>
      <c r="J3" s="7"/>
      <c r="K3" s="7"/>
    </row>
    <row r="4" spans="1:11" x14ac:dyDescent="0.3">
      <c r="A4" s="66" t="s">
        <v>367</v>
      </c>
      <c r="B4" s="66" t="s">
        <v>368</v>
      </c>
      <c r="F4" s="7"/>
      <c r="G4" s="7"/>
      <c r="H4" s="7"/>
      <c r="I4" s="7"/>
      <c r="J4" s="7"/>
      <c r="K4" s="7"/>
    </row>
    <row r="5" spans="1:11" x14ac:dyDescent="0.3">
      <c r="A5" s="66" t="s">
        <v>369</v>
      </c>
      <c r="B5" s="66" t="s">
        <v>370</v>
      </c>
      <c r="F5" s="7"/>
      <c r="G5" s="7"/>
      <c r="H5" s="7"/>
      <c r="I5" s="7"/>
      <c r="J5" s="7"/>
      <c r="K5" s="7"/>
    </row>
    <row r="6" spans="1:11" x14ac:dyDescent="0.3">
      <c r="A6" s="66" t="s">
        <v>371</v>
      </c>
      <c r="B6" s="66" t="s">
        <v>372</v>
      </c>
      <c r="F6" s="7"/>
      <c r="G6" s="7"/>
      <c r="H6" s="7"/>
      <c r="I6" s="7"/>
      <c r="J6" s="7"/>
      <c r="K6" s="7"/>
    </row>
    <row r="7" spans="1:11" x14ac:dyDescent="0.3">
      <c r="A7" s="66" t="s">
        <v>373</v>
      </c>
      <c r="B7" s="66" t="s">
        <v>374</v>
      </c>
      <c r="F7" s="7"/>
      <c r="G7" s="7"/>
      <c r="H7" s="7"/>
      <c r="I7" s="7"/>
      <c r="J7" s="7"/>
      <c r="K7" s="7"/>
    </row>
    <row r="8" spans="1:11" x14ac:dyDescent="0.3">
      <c r="A8" s="66" t="s">
        <v>375</v>
      </c>
      <c r="B8" s="66" t="s">
        <v>376</v>
      </c>
      <c r="F8" s="7"/>
      <c r="G8" s="7"/>
      <c r="H8" s="7"/>
      <c r="I8" s="7"/>
      <c r="J8" s="7"/>
      <c r="K8" s="7"/>
    </row>
    <row r="9" spans="1:11" x14ac:dyDescent="0.3">
      <c r="A9" s="66" t="s">
        <v>377</v>
      </c>
      <c r="B9" s="66" t="s">
        <v>378</v>
      </c>
      <c r="F9" s="7"/>
      <c r="G9" s="7"/>
      <c r="H9" s="7"/>
      <c r="I9" s="7"/>
      <c r="J9" s="7"/>
      <c r="K9" s="7"/>
    </row>
    <row r="10" spans="1:11" x14ac:dyDescent="0.3">
      <c r="A10" s="66" t="s">
        <v>379</v>
      </c>
      <c r="B10" s="66" t="s">
        <v>380</v>
      </c>
      <c r="F10" s="7"/>
      <c r="G10" s="7"/>
      <c r="H10" s="7"/>
      <c r="I10" s="7"/>
      <c r="J10" s="7"/>
      <c r="K10" s="7"/>
    </row>
    <row r="11" spans="1:11" x14ac:dyDescent="0.3">
      <c r="A11" s="66" t="s">
        <v>381</v>
      </c>
      <c r="B11" s="66" t="s">
        <v>382</v>
      </c>
      <c r="F11" s="7"/>
      <c r="G11" s="7"/>
      <c r="H11" s="7"/>
      <c r="I11" s="7"/>
      <c r="J11" s="7"/>
      <c r="K11" s="7"/>
    </row>
    <row r="12" spans="1:11" x14ac:dyDescent="0.3">
      <c r="A12" s="66" t="s">
        <v>383</v>
      </c>
      <c r="B12" s="66" t="s">
        <v>384</v>
      </c>
      <c r="F12" s="7"/>
      <c r="G12" s="7"/>
      <c r="H12" s="7"/>
      <c r="I12" s="7"/>
      <c r="J12" s="7"/>
      <c r="K12" s="7"/>
    </row>
    <row r="13" spans="1:11" x14ac:dyDescent="0.3">
      <c r="F13" s="7"/>
      <c r="G13" s="7"/>
      <c r="H13" s="7"/>
      <c r="I13" s="7"/>
      <c r="J13" s="7"/>
      <c r="K13" s="7"/>
    </row>
    <row r="14" spans="1:11" x14ac:dyDescent="0.3">
      <c r="A14" s="66" t="s">
        <v>385</v>
      </c>
      <c r="B14" s="66" t="s">
        <v>386</v>
      </c>
      <c r="F14" s="7"/>
      <c r="G14" s="7"/>
      <c r="H14" s="7"/>
      <c r="I14" s="7"/>
      <c r="J14" s="7"/>
      <c r="K14" s="7"/>
    </row>
    <row r="15" spans="1:11" x14ac:dyDescent="0.3">
      <c r="A15" s="66" t="s">
        <v>387</v>
      </c>
      <c r="B15" s="66" t="s">
        <v>388</v>
      </c>
      <c r="F15" s="7"/>
      <c r="G15" s="7"/>
      <c r="H15" s="7"/>
      <c r="I15" s="7"/>
      <c r="J15" s="7"/>
      <c r="K15" s="7"/>
    </row>
    <row r="16" spans="1:11" x14ac:dyDescent="0.3">
      <c r="F16" s="7"/>
      <c r="G16" s="7"/>
      <c r="H16" s="7"/>
      <c r="I16" s="7"/>
      <c r="J16" s="7"/>
      <c r="K16" s="7"/>
    </row>
    <row r="17" spans="1:11" x14ac:dyDescent="0.3">
      <c r="A17" s="66" t="s">
        <v>389</v>
      </c>
      <c r="B17" s="66" t="s">
        <v>390</v>
      </c>
      <c r="F17" s="7"/>
      <c r="G17" s="7"/>
      <c r="H17" s="7"/>
      <c r="I17" s="7"/>
      <c r="J17" s="7"/>
      <c r="K17" s="7"/>
    </row>
    <row r="18" spans="1:11" x14ac:dyDescent="0.3">
      <c r="A18" s="66" t="s">
        <v>391</v>
      </c>
      <c r="B18" s="66" t="s">
        <v>392</v>
      </c>
      <c r="F18" s="7"/>
      <c r="G18" s="7"/>
      <c r="H18" s="7"/>
      <c r="I18" s="7"/>
      <c r="J18" s="7"/>
      <c r="K18" s="7"/>
    </row>
    <row r="19" spans="1:11" x14ac:dyDescent="0.3">
      <c r="A19" s="66" t="s">
        <v>393</v>
      </c>
      <c r="B19" s="66" t="s">
        <v>394</v>
      </c>
      <c r="F19" s="7"/>
      <c r="G19" s="7"/>
      <c r="H19" s="7"/>
      <c r="I19" s="7"/>
      <c r="J19" s="7"/>
      <c r="K19" s="7"/>
    </row>
    <row r="20" spans="1:11" x14ac:dyDescent="0.3">
      <c r="F20" s="7"/>
      <c r="G20" s="7"/>
      <c r="H20" s="7"/>
      <c r="I20" s="7"/>
      <c r="J20" s="7"/>
      <c r="K20" s="7"/>
    </row>
    <row r="21" spans="1:11" x14ac:dyDescent="0.3">
      <c r="A21" s="66" t="s">
        <v>395</v>
      </c>
      <c r="B21" s="66" t="s">
        <v>396</v>
      </c>
      <c r="F21" s="7"/>
      <c r="G21" s="7"/>
      <c r="H21" s="7"/>
      <c r="I21" s="7"/>
      <c r="J21" s="7"/>
      <c r="K21" s="7"/>
    </row>
    <row r="22" spans="1:11" x14ac:dyDescent="0.3">
      <c r="A22" s="66" t="s">
        <v>397</v>
      </c>
      <c r="B22" s="66" t="s">
        <v>398</v>
      </c>
      <c r="F22" s="7"/>
      <c r="G22" s="7"/>
      <c r="H22" s="7"/>
      <c r="I22" s="7"/>
      <c r="J22" s="7"/>
      <c r="K22" s="7"/>
    </row>
    <row r="23" spans="1:11" x14ac:dyDescent="0.3">
      <c r="A23" s="66" t="s">
        <v>399</v>
      </c>
      <c r="B23" s="66" t="s">
        <v>400</v>
      </c>
      <c r="F23" s="7"/>
      <c r="G23" s="7"/>
      <c r="H23" s="7"/>
      <c r="I23" s="7"/>
      <c r="J23" s="7"/>
      <c r="K23" s="7"/>
    </row>
    <row r="24" spans="1:11" x14ac:dyDescent="0.3">
      <c r="A24" s="66" t="s">
        <v>401</v>
      </c>
      <c r="B24" s="66" t="s">
        <v>402</v>
      </c>
      <c r="F24" s="7"/>
      <c r="G24" s="7"/>
      <c r="H24" s="7"/>
      <c r="I24" s="7"/>
      <c r="J24" s="7"/>
      <c r="K24" s="7"/>
    </row>
    <row r="25" spans="1:11" x14ac:dyDescent="0.3">
      <c r="A25" s="66" t="s">
        <v>403</v>
      </c>
      <c r="B25" s="66" t="s">
        <v>404</v>
      </c>
      <c r="F25" s="7"/>
      <c r="G25" s="7"/>
      <c r="H25" s="7"/>
      <c r="I25" s="7"/>
      <c r="J25" s="7"/>
      <c r="K25" s="7"/>
    </row>
    <row r="26" spans="1:11" x14ac:dyDescent="0.3">
      <c r="A26" s="66" t="s">
        <v>405</v>
      </c>
      <c r="B26" s="66" t="s">
        <v>406</v>
      </c>
      <c r="F26" s="7"/>
      <c r="G26" s="7"/>
      <c r="H26" s="7"/>
      <c r="I26" s="7"/>
      <c r="J26" s="7"/>
      <c r="K26" s="7"/>
    </row>
    <row r="27" spans="1:11" x14ac:dyDescent="0.3">
      <c r="A27" s="66" t="s">
        <v>407</v>
      </c>
      <c r="B27" s="66" t="s">
        <v>408</v>
      </c>
      <c r="F27" s="7"/>
      <c r="G27" s="7"/>
      <c r="H27" s="7"/>
      <c r="I27" s="7"/>
      <c r="J27" s="7"/>
      <c r="K27" s="7"/>
    </row>
    <row r="28" spans="1:11" x14ac:dyDescent="0.3">
      <c r="A28" s="66" t="s">
        <v>409</v>
      </c>
      <c r="B28" s="66" t="s">
        <v>410</v>
      </c>
      <c r="C28" s="67"/>
      <c r="D28" s="67"/>
      <c r="E28" s="67"/>
      <c r="F28" s="67"/>
      <c r="G28" s="67"/>
      <c r="H28" s="67"/>
      <c r="I28" s="67"/>
      <c r="J28" s="67"/>
      <c r="K28" s="67"/>
    </row>
    <row r="29" spans="1:11" x14ac:dyDescent="0.3">
      <c r="A29" s="66" t="s">
        <v>411</v>
      </c>
      <c r="B29" s="66" t="s">
        <v>412</v>
      </c>
      <c r="C29" s="67"/>
      <c r="D29" s="67"/>
      <c r="E29" s="67"/>
      <c r="F29" s="67"/>
      <c r="G29" s="67"/>
      <c r="H29" s="67"/>
      <c r="I29" s="67"/>
      <c r="J29" s="67"/>
      <c r="K29" s="67"/>
    </row>
    <row r="31" spans="1:11" x14ac:dyDescent="0.3">
      <c r="A31" s="66" t="s">
        <v>413</v>
      </c>
      <c r="B31" s="66" t="s">
        <v>414</v>
      </c>
      <c r="F31" s="7"/>
      <c r="G31" s="7"/>
      <c r="H31" s="7"/>
      <c r="I31" s="7"/>
      <c r="J31" s="7"/>
      <c r="K31" s="7"/>
    </row>
    <row r="32" spans="1:11" x14ac:dyDescent="0.3">
      <c r="A32" s="66" t="s">
        <v>415</v>
      </c>
      <c r="B32" s="66" t="s">
        <v>416</v>
      </c>
      <c r="F32" s="7"/>
      <c r="G32" s="7"/>
      <c r="H32" s="7"/>
      <c r="I32" s="7"/>
      <c r="J32" s="7"/>
      <c r="K32" s="7"/>
    </row>
    <row r="33" spans="1:11" x14ac:dyDescent="0.3">
      <c r="A33" s="66" t="s">
        <v>417</v>
      </c>
      <c r="B33" s="66" t="s">
        <v>418</v>
      </c>
      <c r="F33" s="7"/>
      <c r="G33" s="7"/>
      <c r="H33" s="7"/>
      <c r="I33" s="7"/>
      <c r="J33" s="7"/>
      <c r="K33" s="7"/>
    </row>
    <row r="34" spans="1:11" x14ac:dyDescent="0.3">
      <c r="A34" s="66" t="s">
        <v>577</v>
      </c>
      <c r="B34" s="66" t="s">
        <v>578</v>
      </c>
      <c r="F34" s="7"/>
      <c r="G34" s="7"/>
      <c r="H34" s="7"/>
      <c r="I34" s="7"/>
      <c r="J34" s="7"/>
      <c r="K34" s="7"/>
    </row>
    <row r="35" spans="1:11" x14ac:dyDescent="0.3">
      <c r="A35" s="66" t="s">
        <v>579</v>
      </c>
      <c r="B35" s="66" t="s">
        <v>580</v>
      </c>
      <c r="F35" s="7"/>
      <c r="G35" s="7"/>
      <c r="H35" s="7"/>
      <c r="I35" s="7"/>
      <c r="J35" s="7"/>
      <c r="K35" s="7"/>
    </row>
    <row r="36" spans="1:11" x14ac:dyDescent="0.3">
      <c r="A36" s="66" t="s">
        <v>581</v>
      </c>
      <c r="B36" s="66" t="s">
        <v>582</v>
      </c>
      <c r="F36" s="7"/>
      <c r="G36" s="7"/>
      <c r="H36" s="7"/>
      <c r="I36" s="7"/>
      <c r="J36" s="7"/>
      <c r="K36" s="7"/>
    </row>
    <row r="37" spans="1:11" x14ac:dyDescent="0.3">
      <c r="A37" s="66" t="s">
        <v>583</v>
      </c>
      <c r="B37" s="66" t="s">
        <v>584</v>
      </c>
      <c r="F37" s="7"/>
      <c r="G37" s="7"/>
      <c r="H37" s="7"/>
      <c r="I37" s="7"/>
      <c r="J37" s="7"/>
      <c r="K37" s="7"/>
    </row>
    <row r="38" spans="1:11" x14ac:dyDescent="0.3">
      <c r="A38" s="66" t="s">
        <v>585</v>
      </c>
      <c r="B38" s="66" t="s">
        <v>586</v>
      </c>
      <c r="F38" s="7"/>
      <c r="G38" s="7"/>
      <c r="H38" s="7"/>
      <c r="I38" s="7"/>
      <c r="J38" s="7"/>
      <c r="K38" s="7"/>
    </row>
    <row r="39" spans="1:11" x14ac:dyDescent="0.3">
      <c r="A39" s="66" t="s">
        <v>587</v>
      </c>
      <c r="B39" s="66" t="s">
        <v>588</v>
      </c>
      <c r="F39" s="7"/>
      <c r="G39" s="7"/>
      <c r="H39" s="7"/>
      <c r="I39" s="7"/>
      <c r="J39" s="7"/>
      <c r="K39" s="7"/>
    </row>
    <row r="40" spans="1:11" x14ac:dyDescent="0.3">
      <c r="A40" s="66" t="s">
        <v>589</v>
      </c>
      <c r="B40" s="66" t="s">
        <v>590</v>
      </c>
      <c r="F40" s="7"/>
      <c r="G40" s="7"/>
      <c r="H40" s="7"/>
      <c r="I40" s="7"/>
      <c r="J40" s="7"/>
      <c r="K40" s="7"/>
    </row>
    <row r="41" spans="1:11" x14ac:dyDescent="0.3">
      <c r="A41" s="66" t="s">
        <v>591</v>
      </c>
      <c r="B41" s="66" t="s">
        <v>592</v>
      </c>
      <c r="F41" s="7"/>
      <c r="G41" s="7"/>
      <c r="H41" s="7"/>
      <c r="I41" s="7"/>
      <c r="J41" s="7"/>
      <c r="K41" s="7"/>
    </row>
    <row r="42" spans="1:11" x14ac:dyDescent="0.3">
      <c r="A42" s="66" t="s">
        <v>593</v>
      </c>
      <c r="B42" s="66" t="s">
        <v>594</v>
      </c>
      <c r="F42" s="7"/>
      <c r="G42" s="7"/>
      <c r="H42" s="7"/>
      <c r="I42" s="7"/>
      <c r="J42" s="7"/>
      <c r="K42" s="7"/>
    </row>
    <row r="43" spans="1:11" x14ac:dyDescent="0.3">
      <c r="A43" s="66" t="s">
        <v>595</v>
      </c>
      <c r="B43" s="66" t="s">
        <v>596</v>
      </c>
      <c r="F43" s="7"/>
      <c r="G43" s="7"/>
      <c r="H43" s="7"/>
      <c r="I43" s="7"/>
      <c r="J43" s="7"/>
      <c r="K43" s="7"/>
    </row>
    <row r="44" spans="1:11" x14ac:dyDescent="0.3">
      <c r="A44" s="66" t="s">
        <v>421</v>
      </c>
      <c r="B44" s="66" t="s">
        <v>422</v>
      </c>
      <c r="C44" s="2"/>
      <c r="D44" s="2"/>
      <c r="E44" s="2"/>
      <c r="F44" s="7"/>
      <c r="G44" s="7"/>
      <c r="H44" s="7"/>
      <c r="I44" s="7"/>
      <c r="J44" s="7"/>
      <c r="K44" s="7"/>
    </row>
    <row r="45" spans="1:11" x14ac:dyDescent="0.3">
      <c r="F45" s="7"/>
      <c r="G45" s="7"/>
      <c r="H45" s="7"/>
      <c r="I45" s="7"/>
      <c r="J45" s="7"/>
      <c r="K45" s="7"/>
    </row>
    <row r="46" spans="1:11" x14ac:dyDescent="0.3">
      <c r="A46" s="66" t="s">
        <v>423</v>
      </c>
      <c r="B46" s="66" t="s">
        <v>424</v>
      </c>
      <c r="C46" s="7"/>
      <c r="D46" s="7"/>
      <c r="E46" s="7"/>
      <c r="F46" s="7"/>
      <c r="G46" s="7"/>
      <c r="H46" s="7"/>
      <c r="I46" s="7"/>
      <c r="J46" s="7"/>
      <c r="K46" s="7"/>
    </row>
    <row r="47" spans="1:11" x14ac:dyDescent="0.3">
      <c r="A47" s="66" t="s">
        <v>425</v>
      </c>
      <c r="B47" s="66" t="s">
        <v>426</v>
      </c>
      <c r="F47" s="7"/>
      <c r="G47" s="7"/>
      <c r="H47" s="7"/>
      <c r="I47" s="7"/>
      <c r="J47" s="7"/>
      <c r="K47" s="7"/>
    </row>
    <row r="48" spans="1:11" x14ac:dyDescent="0.3">
      <c r="A48" s="66" t="s">
        <v>427</v>
      </c>
      <c r="B48" s="66" t="s">
        <v>428</v>
      </c>
      <c r="F48" s="7"/>
      <c r="G48" s="7"/>
      <c r="H48" s="7"/>
      <c r="I48" s="7"/>
      <c r="J48" s="7"/>
      <c r="K48" s="7"/>
    </row>
    <row r="49" spans="1:11" x14ac:dyDescent="0.3">
      <c r="A49" s="66" t="s">
        <v>429</v>
      </c>
      <c r="B49" s="66" t="s">
        <v>430</v>
      </c>
      <c r="F49" s="7"/>
      <c r="G49" s="7"/>
      <c r="H49" s="7"/>
      <c r="I49" s="7"/>
      <c r="J49" s="7"/>
      <c r="K49" s="7"/>
    </row>
    <row r="50" spans="1:11" x14ac:dyDescent="0.3">
      <c r="A50" s="66" t="s">
        <v>431</v>
      </c>
      <c r="B50" s="66" t="s">
        <v>432</v>
      </c>
      <c r="C50" s="67"/>
      <c r="D50" s="67"/>
      <c r="E50" s="67"/>
      <c r="F50" s="67"/>
      <c r="G50" s="67"/>
      <c r="H50" s="67"/>
      <c r="I50" s="67"/>
      <c r="J50" s="67"/>
      <c r="K50" s="67"/>
    </row>
    <row r="52" spans="1:11" s="2" customFormat="1" x14ac:dyDescent="0.3">
      <c r="A52" s="5" t="s">
        <v>433</v>
      </c>
    </row>
    <row r="53" spans="1:11" s="2" customFormat="1" x14ac:dyDescent="0.3">
      <c r="A53" s="2" t="s">
        <v>434</v>
      </c>
      <c r="C53" s="6"/>
      <c r="D53" s="6"/>
      <c r="E53" s="6"/>
      <c r="F53" s="6"/>
      <c r="G53" s="6"/>
      <c r="H53" s="6"/>
      <c r="I53" s="6"/>
      <c r="J53" s="6"/>
      <c r="K53" s="6"/>
    </row>
    <row r="54" spans="1:11" s="2" customFormat="1" x14ac:dyDescent="0.3">
      <c r="A54" s="2" t="s">
        <v>435</v>
      </c>
      <c r="C54" s="6"/>
      <c r="D54" s="6"/>
      <c r="E54" s="6"/>
      <c r="F54" s="6"/>
      <c r="G54" s="6"/>
      <c r="H54" s="6"/>
      <c r="I54" s="6"/>
      <c r="J54" s="6"/>
      <c r="K54" s="6"/>
    </row>
    <row r="55" spans="1:11" s="2" customFormat="1" x14ac:dyDescent="0.3">
      <c r="A55" s="2" t="s">
        <v>436</v>
      </c>
      <c r="C55" s="6"/>
      <c r="D55" s="6"/>
      <c r="E55" s="6"/>
      <c r="F55" s="6"/>
      <c r="G55" s="6"/>
      <c r="H55" s="6"/>
      <c r="I55" s="6"/>
      <c r="J55" s="6"/>
      <c r="K55" s="6"/>
    </row>
    <row r="56" spans="1:11" s="2" customFormat="1" x14ac:dyDescent="0.3">
      <c r="A56" s="2" t="s">
        <v>437</v>
      </c>
      <c r="C56" s="6"/>
      <c r="D56" s="6"/>
      <c r="E56" s="6"/>
      <c r="F56" s="6"/>
      <c r="G56" s="6"/>
      <c r="H56" s="6"/>
      <c r="I56" s="6"/>
      <c r="J56" s="6"/>
      <c r="K56" s="6"/>
    </row>
    <row r="57" spans="1:11" s="2" customFormat="1" x14ac:dyDescent="0.3"/>
    <row r="58" spans="1:11" s="2" customFormat="1" x14ac:dyDescent="0.3">
      <c r="A58" s="5" t="s">
        <v>438</v>
      </c>
    </row>
    <row r="59" spans="1:11" s="2" customFormat="1" x14ac:dyDescent="0.3">
      <c r="A59" s="2" t="s">
        <v>434</v>
      </c>
      <c r="C59" s="6"/>
      <c r="D59" s="6"/>
      <c r="E59" s="6"/>
      <c r="F59" s="6"/>
      <c r="G59" s="6"/>
      <c r="H59" s="6"/>
      <c r="I59" s="6"/>
      <c r="J59" s="6"/>
      <c r="K59" s="6"/>
    </row>
    <row r="60" spans="1:11" s="2" customFormat="1" x14ac:dyDescent="0.3">
      <c r="A60" s="2" t="s">
        <v>435</v>
      </c>
      <c r="C60" s="6"/>
      <c r="D60" s="6"/>
      <c r="E60" s="6"/>
      <c r="F60" s="6"/>
      <c r="G60" s="6"/>
      <c r="H60" s="6"/>
      <c r="I60" s="6"/>
      <c r="J60" s="6"/>
      <c r="K60" s="6"/>
    </row>
    <row r="61" spans="1:11" s="2" customFormat="1" x14ac:dyDescent="0.3">
      <c r="A61" s="2" t="s">
        <v>436</v>
      </c>
      <c r="C61" s="6"/>
      <c r="D61" s="6"/>
      <c r="E61" s="6"/>
      <c r="F61" s="6"/>
      <c r="G61" s="6"/>
      <c r="H61" s="6"/>
      <c r="I61" s="6"/>
      <c r="J61" s="6"/>
      <c r="K61" s="6"/>
    </row>
    <row r="62" spans="1:11" s="2" customFormat="1" x14ac:dyDescent="0.3">
      <c r="A62" s="2" t="s">
        <v>437</v>
      </c>
      <c r="C62" s="6"/>
      <c r="D62" s="6"/>
      <c r="E62" s="6"/>
      <c r="F62" s="6"/>
      <c r="G62" s="6"/>
      <c r="H62" s="6"/>
      <c r="I62" s="6"/>
      <c r="J62" s="6"/>
      <c r="K62" s="6"/>
    </row>
    <row r="63" spans="1:11" s="2" customFormat="1" x14ac:dyDescent="0.3"/>
    <row r="64" spans="1:11" x14ac:dyDescent="0.3">
      <c r="A64" s="68" t="s">
        <v>439</v>
      </c>
      <c r="B64" s="2" t="str">
        <f>B$1</f>
        <v>Elegir Trim.</v>
      </c>
      <c r="C64" s="2" t="str">
        <f t="shared" ref="C64:K64" si="0">C$1</f>
        <v>Nov 21-Ene 22</v>
      </c>
      <c r="D64" s="2" t="str">
        <f t="shared" si="0"/>
        <v>Feb-Abr 22</v>
      </c>
      <c r="E64" s="2" t="str">
        <f t="shared" si="0"/>
        <v>May-Jul 22</v>
      </c>
      <c r="F64" s="2" t="str">
        <f t="shared" si="0"/>
        <v>Ago-Oct 22</v>
      </c>
      <c r="G64" s="2" t="str">
        <f t="shared" si="0"/>
        <v>Nov 22-Ene 23</v>
      </c>
      <c r="H64" s="2" t="str">
        <f t="shared" si="0"/>
        <v>Feb-Abr 23</v>
      </c>
      <c r="I64" s="2" t="str">
        <f t="shared" si="0"/>
        <v>May-Jul 23</v>
      </c>
      <c r="J64" s="2" t="str">
        <f t="shared" si="0"/>
        <v>Ago-Oct 23</v>
      </c>
      <c r="K64" s="2" t="str">
        <f t="shared" si="0"/>
        <v>Nov 23-Ene 24</v>
      </c>
    </row>
    <row r="65" spans="1:15" x14ac:dyDescent="0.3">
      <c r="A65" s="66" t="s">
        <v>440</v>
      </c>
      <c r="B65" s="66" t="s">
        <v>441</v>
      </c>
      <c r="C65" s="7">
        <v>0.17901400000000001</v>
      </c>
      <c r="D65" s="7">
        <v>0.18701999999999999</v>
      </c>
      <c r="E65" s="7">
        <v>0.20327999999999999</v>
      </c>
      <c r="F65" s="7">
        <v>0.21662200000000001</v>
      </c>
      <c r="G65" s="7">
        <v>0.21169399999999999</v>
      </c>
      <c r="H65" s="7">
        <v>0.21168899999999999</v>
      </c>
      <c r="I65" s="7"/>
      <c r="J65" s="7"/>
      <c r="K65" s="7"/>
      <c r="L65" s="7"/>
      <c r="M65" s="7"/>
      <c r="N65" s="7"/>
      <c r="O65" s="7"/>
    </row>
    <row r="66" spans="1:15" x14ac:dyDescent="0.3">
      <c r="A66" s="66" t="s">
        <v>442</v>
      </c>
      <c r="B66" s="66" t="s">
        <v>443</v>
      </c>
      <c r="C66" s="7">
        <v>0.17432300000000001</v>
      </c>
      <c r="D66" s="7">
        <v>0.18232999999999999</v>
      </c>
      <c r="E66" s="7">
        <v>0.19933200000000001</v>
      </c>
      <c r="F66" s="7">
        <v>0.212674</v>
      </c>
      <c r="G66" s="7">
        <v>0.20774599999999999</v>
      </c>
      <c r="H66" s="7">
        <v>0.20774100000000001</v>
      </c>
      <c r="I66" s="7"/>
      <c r="J66" s="7"/>
      <c r="K66" s="7"/>
      <c r="L66" s="7"/>
      <c r="M66" s="7"/>
      <c r="N66" s="7"/>
      <c r="O66" s="7"/>
    </row>
    <row r="67" spans="1:15" x14ac:dyDescent="0.3">
      <c r="A67" s="66" t="s">
        <v>444</v>
      </c>
      <c r="B67" s="66" t="s">
        <v>445</v>
      </c>
      <c r="C67" s="7">
        <v>0.17038800000000001</v>
      </c>
      <c r="D67" s="7">
        <v>0.178395</v>
      </c>
      <c r="E67" s="7">
        <v>0.19797999999999999</v>
      </c>
      <c r="F67" s="7">
        <v>0.21132300000000001</v>
      </c>
      <c r="G67" s="7">
        <v>0.20639399999999999</v>
      </c>
      <c r="H67" s="7">
        <v>0.20638899999999999</v>
      </c>
      <c r="I67" s="7"/>
      <c r="J67" s="7"/>
      <c r="K67" s="7"/>
      <c r="L67" s="7"/>
      <c r="M67" s="7"/>
      <c r="N67" s="7"/>
      <c r="O67" s="7"/>
    </row>
    <row r="68" spans="1:15" x14ac:dyDescent="0.3">
      <c r="A68" s="66" t="s">
        <v>446</v>
      </c>
      <c r="B68" s="66" t="s">
        <v>447</v>
      </c>
      <c r="C68" s="66">
        <v>146.049173</v>
      </c>
      <c r="D68" s="66">
        <v>146.049173</v>
      </c>
      <c r="E68" s="66">
        <v>147.81985800000001</v>
      </c>
      <c r="F68" s="66">
        <v>147.81985800000001</v>
      </c>
      <c r="G68" s="66">
        <v>154.043712</v>
      </c>
      <c r="H68" s="66">
        <v>154.043712</v>
      </c>
    </row>
    <row r="69" spans="1:15" x14ac:dyDescent="0.3"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</row>
    <row r="70" spans="1:15" x14ac:dyDescent="0.3">
      <c r="A70" s="68" t="s">
        <v>448</v>
      </c>
      <c r="B70" s="2" t="str">
        <f>B$1</f>
        <v>Elegir Trim.</v>
      </c>
      <c r="C70" s="2" t="str">
        <f t="shared" ref="C70:K70" si="1">C$1</f>
        <v>Nov 21-Ene 22</v>
      </c>
      <c r="D70" s="2" t="str">
        <f t="shared" si="1"/>
        <v>Feb-Abr 22</v>
      </c>
      <c r="E70" s="2" t="str">
        <f t="shared" si="1"/>
        <v>May-Jul 22</v>
      </c>
      <c r="F70" s="2" t="str">
        <f t="shared" si="1"/>
        <v>Ago-Oct 22</v>
      </c>
      <c r="G70" s="2" t="str">
        <f t="shared" si="1"/>
        <v>Nov 22-Ene 23</v>
      </c>
      <c r="H70" s="2" t="str">
        <f t="shared" si="1"/>
        <v>Feb-Abr 23</v>
      </c>
      <c r="I70" s="2" t="str">
        <f t="shared" si="1"/>
        <v>May-Jul 23</v>
      </c>
      <c r="J70" s="2" t="str">
        <f t="shared" si="1"/>
        <v>Ago-Oct 23</v>
      </c>
      <c r="K70" s="2" t="str">
        <f t="shared" si="1"/>
        <v>Nov 23-Ene 24</v>
      </c>
      <c r="L70" s="2"/>
      <c r="M70" s="2"/>
      <c r="N70" s="2"/>
      <c r="O70" s="2"/>
    </row>
    <row r="71" spans="1:15" x14ac:dyDescent="0.3">
      <c r="A71" s="66" t="s">
        <v>440</v>
      </c>
      <c r="B71" s="66" t="s">
        <v>441</v>
      </c>
      <c r="C71" s="7">
        <v>4.4330000000000001E-2</v>
      </c>
      <c r="D71" s="66">
        <v>4.6313E-2</v>
      </c>
      <c r="E71" s="66">
        <v>5.0340000000000003E-2</v>
      </c>
      <c r="F71" s="66">
        <v>5.3643999999999997E-2</v>
      </c>
      <c r="G71" s="66">
        <v>5.2422999999999997E-2</v>
      </c>
      <c r="H71" s="66">
        <v>5.2422000000000003E-2</v>
      </c>
    </row>
    <row r="72" spans="1:15" x14ac:dyDescent="0.3">
      <c r="A72" s="66" t="s">
        <v>442</v>
      </c>
      <c r="B72" s="66" t="s">
        <v>443</v>
      </c>
      <c r="C72" s="7">
        <v>4.3168999999999999E-2</v>
      </c>
      <c r="D72" s="66">
        <v>4.5151999999999998E-2</v>
      </c>
      <c r="E72" s="66">
        <v>4.9362000000000003E-2</v>
      </c>
      <c r="F72" s="66">
        <v>5.2665999999999998E-2</v>
      </c>
      <c r="G72" s="66">
        <v>5.1445999999999999E-2</v>
      </c>
      <c r="H72" s="66">
        <v>5.1443999999999997E-2</v>
      </c>
    </row>
    <row r="73" spans="1:15" x14ac:dyDescent="0.3">
      <c r="A73" s="66" t="s">
        <v>444</v>
      </c>
      <c r="B73" s="66" t="s">
        <v>445</v>
      </c>
      <c r="C73" s="7">
        <v>4.2194000000000002E-2</v>
      </c>
      <c r="D73" s="66">
        <v>4.4177000000000001E-2</v>
      </c>
      <c r="E73" s="66">
        <v>4.9027000000000001E-2</v>
      </c>
      <c r="F73" s="66">
        <v>5.2331000000000003E-2</v>
      </c>
      <c r="G73" s="66">
        <v>5.1110999999999997E-2</v>
      </c>
      <c r="H73" s="7">
        <v>5.1110000000000003E-2</v>
      </c>
    </row>
    <row r="74" spans="1:15" x14ac:dyDescent="0.3">
      <c r="A74" s="66" t="s">
        <v>446</v>
      </c>
      <c r="B74" s="66" t="s">
        <v>447</v>
      </c>
      <c r="C74" s="7">
        <v>56.911234</v>
      </c>
      <c r="D74" s="66">
        <v>56.911234</v>
      </c>
      <c r="E74" s="66">
        <v>57.624346000000003</v>
      </c>
      <c r="F74" s="66">
        <v>57.624346000000003</v>
      </c>
      <c r="G74" s="66">
        <v>60.031019000000001</v>
      </c>
      <c r="H74" s="66">
        <v>60.031019000000001</v>
      </c>
    </row>
    <row r="75" spans="1:15" x14ac:dyDescent="0.3"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</row>
    <row r="76" spans="1:15" x14ac:dyDescent="0.3">
      <c r="A76" s="8" t="s">
        <v>597</v>
      </c>
      <c r="B76" s="2"/>
      <c r="C76" s="2"/>
      <c r="E76" s="3"/>
    </row>
    <row r="77" spans="1:15" x14ac:dyDescent="0.3">
      <c r="A77" s="2" t="s">
        <v>598</v>
      </c>
      <c r="B77" s="5" t="s">
        <v>451</v>
      </c>
      <c r="C77" s="9" t="s">
        <v>599</v>
      </c>
      <c r="D77" s="9" t="s">
        <v>600</v>
      </c>
      <c r="E77" s="9" t="s">
        <v>601</v>
      </c>
      <c r="F77" s="9" t="s">
        <v>602</v>
      </c>
      <c r="G77" s="9" t="s">
        <v>603</v>
      </c>
      <c r="H77" s="9" t="s">
        <v>604</v>
      </c>
      <c r="I77" s="9"/>
      <c r="J77" s="9"/>
      <c r="K77" s="9"/>
      <c r="L77" s="9"/>
      <c r="M77" s="9"/>
      <c r="N77" s="9"/>
      <c r="O77" s="9"/>
    </row>
    <row r="78" spans="1:15" ht="14.4" thickBot="1" x14ac:dyDescent="0.35">
      <c r="A78" s="2"/>
      <c r="B78" s="2"/>
      <c r="C78" s="2"/>
      <c r="D78" s="2"/>
      <c r="E78" s="2"/>
      <c r="F78" s="2"/>
      <c r="G78" s="2"/>
      <c r="I78" s="2"/>
    </row>
    <row r="79" spans="1:15" ht="14.4" thickBot="1" x14ac:dyDescent="0.35">
      <c r="A79" s="141" t="s">
        <v>458</v>
      </c>
      <c r="B79" s="142"/>
      <c r="C79" s="10"/>
      <c r="D79" s="2"/>
      <c r="E79" s="11" t="s">
        <v>459</v>
      </c>
      <c r="F79" s="2"/>
      <c r="G79" s="2"/>
      <c r="I79" s="2"/>
    </row>
    <row r="80" spans="1:15" x14ac:dyDescent="0.3">
      <c r="A80" s="137" t="s">
        <v>460</v>
      </c>
      <c r="B80" s="138" t="s">
        <v>460</v>
      </c>
      <c r="C80" s="12" t="e">
        <f>F83/SUM(E80:E82)</f>
        <v>#DIV/0!</v>
      </c>
      <c r="D80" s="2"/>
      <c r="E80" s="13">
        <v>0</v>
      </c>
      <c r="F80" s="14">
        <v>0</v>
      </c>
      <c r="G80" s="2"/>
      <c r="I80" s="2"/>
    </row>
    <row r="81" spans="1:9" x14ac:dyDescent="0.3">
      <c r="A81" s="137" t="s">
        <v>461</v>
      </c>
      <c r="B81" s="138"/>
      <c r="C81" s="12">
        <v>0</v>
      </c>
      <c r="D81" s="2"/>
      <c r="E81" s="13">
        <v>0</v>
      </c>
      <c r="F81" s="16">
        <v>0</v>
      </c>
      <c r="G81" s="2"/>
      <c r="H81" s="2"/>
      <c r="I81" s="2"/>
    </row>
    <row r="82" spans="1:9" ht="14.4" thickBot="1" x14ac:dyDescent="0.35">
      <c r="A82" s="137" t="s">
        <v>462</v>
      </c>
      <c r="B82" s="138"/>
      <c r="C82" s="15">
        <v>0</v>
      </c>
      <c r="D82" s="2"/>
      <c r="E82" s="17">
        <v>0</v>
      </c>
      <c r="F82" s="18">
        <v>0</v>
      </c>
      <c r="G82" s="2"/>
      <c r="H82" s="2"/>
      <c r="I82" s="2"/>
    </row>
    <row r="83" spans="1:9" ht="14.4" thickBot="1" x14ac:dyDescent="0.35">
      <c r="A83" s="137"/>
      <c r="B83" s="138"/>
      <c r="C83" s="12"/>
      <c r="D83" s="2"/>
      <c r="E83" s="19" t="s">
        <v>463</v>
      </c>
      <c r="F83" s="20">
        <f>SUM(F80:F82)</f>
        <v>0</v>
      </c>
      <c r="G83" s="2"/>
      <c r="H83" s="2"/>
      <c r="I83" s="2"/>
    </row>
    <row r="84" spans="1:9" ht="14.4" thickBot="1" x14ac:dyDescent="0.35">
      <c r="A84" s="137" t="s">
        <v>464</v>
      </c>
      <c r="B84" s="138"/>
      <c r="C84" s="12"/>
      <c r="D84" s="2"/>
      <c r="E84" s="11" t="s">
        <v>459</v>
      </c>
      <c r="F84" s="2"/>
      <c r="G84" s="2"/>
      <c r="H84" s="2"/>
      <c r="I84" s="2"/>
    </row>
    <row r="85" spans="1:9" x14ac:dyDescent="0.3">
      <c r="A85" s="137" t="s">
        <v>460</v>
      </c>
      <c r="B85" s="138"/>
      <c r="C85" s="12" t="e">
        <f>F88/SUM(E85:E87)</f>
        <v>#DIV/0!</v>
      </c>
      <c r="D85" s="2"/>
      <c r="E85" s="13">
        <v>0</v>
      </c>
      <c r="F85" s="69">
        <v>0</v>
      </c>
      <c r="G85" s="2"/>
      <c r="H85" s="2"/>
      <c r="I85" s="2"/>
    </row>
    <row r="86" spans="1:9" x14ac:dyDescent="0.3">
      <c r="A86" s="137" t="s">
        <v>461</v>
      </c>
      <c r="B86" s="138"/>
      <c r="C86" s="15">
        <v>0</v>
      </c>
      <c r="D86" s="2"/>
      <c r="E86" s="13">
        <v>0</v>
      </c>
      <c r="F86" s="70">
        <v>0</v>
      </c>
      <c r="G86" s="2"/>
      <c r="H86" s="2"/>
      <c r="I86" s="2"/>
    </row>
    <row r="87" spans="1:9" ht="14.4" thickBot="1" x14ac:dyDescent="0.35">
      <c r="A87" s="139" t="s">
        <v>462</v>
      </c>
      <c r="B87" s="140"/>
      <c r="C87" s="22">
        <v>0</v>
      </c>
      <c r="D87" s="2"/>
      <c r="E87" s="17">
        <v>0</v>
      </c>
      <c r="F87" s="71">
        <v>0</v>
      </c>
      <c r="G87" s="2"/>
      <c r="H87" s="2"/>
      <c r="I87" s="2"/>
    </row>
    <row r="88" spans="1:9" ht="14.4" thickBot="1" x14ac:dyDescent="0.35">
      <c r="A88" s="2"/>
      <c r="B88" s="2"/>
      <c r="C88" s="2"/>
      <c r="D88" s="2"/>
      <c r="E88" s="19" t="s">
        <v>463</v>
      </c>
      <c r="F88" s="20">
        <f>SUM(F85:F87)</f>
        <v>0</v>
      </c>
      <c r="G88" s="2"/>
      <c r="H88" s="2"/>
      <c r="I88" s="2"/>
    </row>
    <row r="89" spans="1:9" x14ac:dyDescent="0.3">
      <c r="A89" s="24" t="s">
        <v>605</v>
      </c>
      <c r="B89" s="8"/>
      <c r="C89" s="8"/>
      <c r="D89" s="25"/>
      <c r="E89" s="8"/>
      <c r="F89" s="8"/>
      <c r="G89" s="8"/>
      <c r="H89" s="8"/>
      <c r="I89" s="8"/>
    </row>
    <row r="90" spans="1:9" x14ac:dyDescent="0.3">
      <c r="A90" s="26" t="s">
        <v>466</v>
      </c>
      <c r="B90" s="26">
        <v>0</v>
      </c>
      <c r="C90" s="27" t="s">
        <v>467</v>
      </c>
      <c r="D90" s="28">
        <v>1</v>
      </c>
      <c r="E90" s="26"/>
      <c r="F90" s="29">
        <f>D90*B90</f>
        <v>0</v>
      </c>
      <c r="G90" s="8"/>
      <c r="H90" s="8"/>
      <c r="I90" s="8"/>
    </row>
    <row r="91" spans="1:9" x14ac:dyDescent="0.3">
      <c r="A91" s="26" t="s">
        <v>468</v>
      </c>
      <c r="B91" s="26">
        <v>0</v>
      </c>
      <c r="C91" s="27" t="s">
        <v>469</v>
      </c>
      <c r="D91" s="30">
        <v>0</v>
      </c>
      <c r="E91" s="26" t="s">
        <v>470</v>
      </c>
      <c r="F91" s="29">
        <f>D91*B91</f>
        <v>0</v>
      </c>
      <c r="G91" s="8"/>
      <c r="H91" s="8"/>
      <c r="I91" s="8"/>
    </row>
    <row r="92" spans="1:9" x14ac:dyDescent="0.3">
      <c r="A92" s="26" t="s">
        <v>471</v>
      </c>
      <c r="B92" s="26">
        <v>0</v>
      </c>
      <c r="C92" s="27" t="s">
        <v>472</v>
      </c>
      <c r="D92" s="30">
        <v>0</v>
      </c>
      <c r="E92" s="26"/>
      <c r="F92" s="29">
        <f>D92*B92</f>
        <v>0</v>
      </c>
      <c r="G92" s="8"/>
      <c r="H92" s="8"/>
      <c r="I92" s="8"/>
    </row>
    <row r="93" spans="1:9" ht="14.4" thickBot="1" x14ac:dyDescent="0.35">
      <c r="A93" s="26" t="s">
        <v>473</v>
      </c>
      <c r="B93" s="26">
        <v>0</v>
      </c>
      <c r="C93" s="27" t="s">
        <v>472</v>
      </c>
      <c r="D93" s="30">
        <v>0</v>
      </c>
      <c r="E93" s="26"/>
      <c r="F93" s="29">
        <f>D93*B93</f>
        <v>0</v>
      </c>
      <c r="G93" s="8"/>
      <c r="H93" s="8"/>
      <c r="I93" s="8"/>
    </row>
    <row r="94" spans="1:9" ht="15" thickTop="1" thickBot="1" x14ac:dyDescent="0.35">
      <c r="A94" s="26" t="s">
        <v>474</v>
      </c>
      <c r="B94" s="31"/>
      <c r="C94" s="32"/>
      <c r="D94" s="31"/>
      <c r="E94" s="33"/>
      <c r="F94" s="34">
        <f>SUM(F90:F93)</f>
        <v>0</v>
      </c>
      <c r="G94" s="8"/>
      <c r="H94" s="8"/>
      <c r="I94" s="8"/>
    </row>
    <row r="95" spans="1:9" ht="14.4" thickTop="1" x14ac:dyDescent="0.3">
      <c r="A95" s="26" t="s">
        <v>475</v>
      </c>
      <c r="B95" s="35">
        <f>F94*C97</f>
        <v>0</v>
      </c>
      <c r="C95" s="27" t="s">
        <v>476</v>
      </c>
      <c r="D95" s="26"/>
      <c r="E95" s="26"/>
      <c r="F95" s="36">
        <f>F94*(1+C97)</f>
        <v>0</v>
      </c>
      <c r="G95" s="8"/>
      <c r="H95" s="8"/>
      <c r="I95" s="8"/>
    </row>
    <row r="96" spans="1:9" ht="14.4" thickBot="1" x14ac:dyDescent="0.35">
      <c r="A96" s="8"/>
      <c r="B96" s="8"/>
      <c r="C96" s="37"/>
      <c r="D96" s="8"/>
      <c r="E96" s="8"/>
      <c r="F96" s="29"/>
      <c r="G96" s="8"/>
      <c r="H96" s="8"/>
      <c r="I96" s="8"/>
    </row>
    <row r="97" spans="1:9" ht="14.4" thickBot="1" x14ac:dyDescent="0.35">
      <c r="A97" s="8"/>
      <c r="B97" s="38" t="s">
        <v>477</v>
      </c>
      <c r="C97" s="39">
        <v>0.12</v>
      </c>
      <c r="D97" s="38" t="s">
        <v>478</v>
      </c>
      <c r="E97" s="40">
        <v>0.9</v>
      </c>
      <c r="F97" s="29"/>
      <c r="G97" s="8"/>
      <c r="H97" s="8"/>
      <c r="I97" s="8"/>
    </row>
    <row r="98" spans="1:9" x14ac:dyDescent="0.3">
      <c r="A98" s="8"/>
      <c r="B98" s="8"/>
      <c r="C98" s="8"/>
      <c r="D98" s="8"/>
      <c r="E98" s="8"/>
      <c r="F98" s="8"/>
      <c r="G98" s="8"/>
      <c r="H98" s="8"/>
      <c r="I98" s="8"/>
    </row>
    <row r="99" spans="1:9" x14ac:dyDescent="0.3">
      <c r="A99" s="8" t="s">
        <v>479</v>
      </c>
      <c r="B99" s="8"/>
      <c r="C99" s="8"/>
      <c r="D99" s="8"/>
      <c r="E99" s="8"/>
      <c r="F99" s="29">
        <f>IF(E97&gt;=0.9,0,(F92+F93+F91)*(0.9-E97))*(1+C97)</f>
        <v>0</v>
      </c>
      <c r="G99" s="8"/>
      <c r="H99" s="8"/>
      <c r="I99" s="8"/>
    </row>
    <row r="100" spans="1:9" ht="14.4" thickBot="1" x14ac:dyDescent="0.35">
      <c r="A100" s="41" t="str">
        <f>"Tasa Municipal (cobro por cuenta de Terceros) "&amp;(D100*100)&amp;"%"</f>
        <v>Tasa Municipal (cobro por cuenta de Terceros) 0%</v>
      </c>
      <c r="B100" s="42"/>
      <c r="C100" s="43"/>
      <c r="D100" s="44">
        <v>0</v>
      </c>
      <c r="E100" s="33"/>
      <c r="F100" s="45">
        <f>D100*(F94+(F99/1.12))</f>
        <v>0</v>
      </c>
      <c r="G100" s="8"/>
      <c r="H100" s="8"/>
      <c r="I100" s="8"/>
    </row>
    <row r="101" spans="1:9" ht="15" thickTop="1" thickBot="1" x14ac:dyDescent="0.35">
      <c r="A101" s="8"/>
      <c r="B101" s="8"/>
      <c r="C101" s="8"/>
      <c r="D101" s="8"/>
      <c r="E101" s="8"/>
      <c r="F101" s="29"/>
      <c r="G101" s="8"/>
      <c r="H101" s="8"/>
      <c r="I101" s="8"/>
    </row>
    <row r="102" spans="1:9" ht="14.4" thickBot="1" x14ac:dyDescent="0.35">
      <c r="A102" s="46" t="s">
        <v>480</v>
      </c>
      <c r="B102" s="47"/>
      <c r="C102" s="47"/>
      <c r="D102" s="47"/>
      <c r="E102" s="47"/>
      <c r="F102" s="48">
        <f>F95+F100+F99</f>
        <v>0</v>
      </c>
      <c r="G102" s="8"/>
      <c r="H102" s="8"/>
      <c r="I102" s="8"/>
    </row>
    <row r="103" spans="1:9" x14ac:dyDescent="0.3">
      <c r="A103" s="8"/>
      <c r="B103" s="8"/>
      <c r="C103" s="8"/>
      <c r="D103" s="8"/>
      <c r="E103" s="8"/>
      <c r="F103" s="8"/>
      <c r="G103" s="8"/>
      <c r="H103" s="8"/>
      <c r="I103" s="8"/>
    </row>
    <row r="104" spans="1:9" ht="14.4" thickBot="1" x14ac:dyDescent="0.35">
      <c r="A104" s="8"/>
      <c r="B104" s="8"/>
      <c r="C104" s="8"/>
      <c r="D104" s="8"/>
      <c r="E104" s="8"/>
      <c r="F104" s="8"/>
      <c r="G104" s="8"/>
      <c r="H104" s="8"/>
      <c r="I104" s="8"/>
    </row>
    <row r="105" spans="1:9" s="2" customFormat="1" x14ac:dyDescent="0.3">
      <c r="A105" s="49" t="s">
        <v>640</v>
      </c>
    </row>
    <row r="106" spans="1:9" s="2" customFormat="1" x14ac:dyDescent="0.3">
      <c r="A106" s="50" t="s">
        <v>481</v>
      </c>
    </row>
    <row r="107" spans="1:9" s="2" customFormat="1" x14ac:dyDescent="0.3">
      <c r="A107" s="50" t="s">
        <v>489</v>
      </c>
    </row>
    <row r="108" spans="1:9" s="2" customFormat="1" x14ac:dyDescent="0.3">
      <c r="A108" s="50" t="s">
        <v>482</v>
      </c>
    </row>
    <row r="109" spans="1:9" s="2" customFormat="1" x14ac:dyDescent="0.3">
      <c r="A109" s="50" t="s">
        <v>483</v>
      </c>
    </row>
    <row r="110" spans="1:9" s="2" customFormat="1" x14ac:dyDescent="0.3">
      <c r="A110" s="50" t="s">
        <v>484</v>
      </c>
    </row>
    <row r="111" spans="1:9" s="2" customFormat="1" x14ac:dyDescent="0.3">
      <c r="A111" s="50" t="s">
        <v>485</v>
      </c>
    </row>
    <row r="112" spans="1:9" s="2" customFormat="1" x14ac:dyDescent="0.3">
      <c r="A112" s="50" t="s">
        <v>633</v>
      </c>
    </row>
    <row r="113" spans="1:15" s="2" customFormat="1" x14ac:dyDescent="0.3">
      <c r="A113" s="50" t="s">
        <v>634</v>
      </c>
    </row>
    <row r="114" spans="1:15" s="2" customFormat="1" x14ac:dyDescent="0.3">
      <c r="A114" s="50" t="s">
        <v>486</v>
      </c>
    </row>
    <row r="115" spans="1:15" s="2" customFormat="1" x14ac:dyDescent="0.3">
      <c r="A115" s="50" t="s">
        <v>487</v>
      </c>
    </row>
    <row r="116" spans="1:15" s="2" customFormat="1" x14ac:dyDescent="0.3">
      <c r="A116" s="50" t="s">
        <v>488</v>
      </c>
    </row>
    <row r="117" spans="1:15" s="2" customFormat="1" x14ac:dyDescent="0.3">
      <c r="A117" s="50" t="s">
        <v>635</v>
      </c>
    </row>
    <row r="118" spans="1:15" s="2" customFormat="1" ht="14.4" thickBot="1" x14ac:dyDescent="0.35">
      <c r="A118" s="51" t="s">
        <v>636</v>
      </c>
    </row>
    <row r="119" spans="1:15" s="2" customFormat="1" x14ac:dyDescent="0.3">
      <c r="A119" s="8"/>
      <c r="B119" s="52"/>
      <c r="C119" s="9"/>
      <c r="D119" s="9"/>
      <c r="E119" s="9"/>
      <c r="F119" s="9"/>
      <c r="G119" s="9"/>
      <c r="H119" s="9"/>
      <c r="I119" s="82"/>
      <c r="J119" s="82"/>
      <c r="K119" s="82"/>
    </row>
    <row r="120" spans="1:15" s="2" customFormat="1" x14ac:dyDescent="0.3">
      <c r="A120" s="109" t="s">
        <v>696</v>
      </c>
      <c r="B120" s="2" t="str">
        <f>B$1</f>
        <v>Elegir Trim.</v>
      </c>
      <c r="C120" s="82">
        <v>44501</v>
      </c>
      <c r="D120" s="82">
        <v>44593</v>
      </c>
      <c r="E120" s="82">
        <v>44682</v>
      </c>
      <c r="F120" s="82">
        <v>44774</v>
      </c>
      <c r="G120" s="82">
        <v>44866</v>
      </c>
      <c r="H120" s="82">
        <v>44958</v>
      </c>
      <c r="I120" s="82">
        <v>45047</v>
      </c>
      <c r="J120" s="82">
        <v>45139</v>
      </c>
      <c r="K120" s="82">
        <v>45231</v>
      </c>
    </row>
    <row r="121" spans="1:15" s="2" customFormat="1" x14ac:dyDescent="0.3">
      <c r="A121" s="8" t="s">
        <v>701</v>
      </c>
      <c r="B121" s="52" t="s">
        <v>702</v>
      </c>
      <c r="C121" s="3">
        <v>1.213681</v>
      </c>
      <c r="D121" s="3">
        <v>1.26169</v>
      </c>
      <c r="E121" s="3">
        <v>1.393268</v>
      </c>
      <c r="F121" s="3">
        <v>1.473271</v>
      </c>
      <c r="G121" s="3">
        <v>1.4437199999999999</v>
      </c>
      <c r="H121" s="3">
        <v>1.4436899999999999</v>
      </c>
      <c r="I121" s="3"/>
      <c r="J121" s="3"/>
      <c r="K121" s="3"/>
    </row>
    <row r="122" spans="1:15" s="2" customFormat="1" x14ac:dyDescent="0.3">
      <c r="A122" s="8" t="s">
        <v>699</v>
      </c>
      <c r="B122" s="52" t="s">
        <v>700</v>
      </c>
      <c r="C122" s="3">
        <v>0.84672700000000001</v>
      </c>
      <c r="D122" s="3">
        <v>0.84672700000000001</v>
      </c>
      <c r="E122" s="3">
        <v>0.85517100000000001</v>
      </c>
      <c r="F122" s="3">
        <v>0.85517100000000001</v>
      </c>
      <c r="G122" s="3">
        <v>0.88471900000000003</v>
      </c>
      <c r="H122" s="3">
        <v>0.88471900000000003</v>
      </c>
      <c r="I122" s="3"/>
      <c r="J122" s="3"/>
      <c r="K122" s="3"/>
    </row>
    <row r="123" spans="1:15" s="2" customFormat="1" x14ac:dyDescent="0.3">
      <c r="A123" s="8" t="s">
        <v>694</v>
      </c>
      <c r="B123" s="52" t="s">
        <v>697</v>
      </c>
      <c r="C123" s="3">
        <v>1.353793</v>
      </c>
      <c r="D123" s="3">
        <v>1.401802</v>
      </c>
      <c r="E123" s="3">
        <v>1.536848</v>
      </c>
      <c r="F123" s="3">
        <v>1.616851</v>
      </c>
      <c r="G123" s="3">
        <v>1.5873010000000001</v>
      </c>
      <c r="H123" s="3">
        <v>1.58727</v>
      </c>
      <c r="I123" s="3"/>
      <c r="J123" s="3"/>
      <c r="K123" s="3"/>
    </row>
    <row r="124" spans="1:15" s="2" customFormat="1" x14ac:dyDescent="0.3">
      <c r="A124" s="8" t="s">
        <v>695</v>
      </c>
      <c r="B124" s="52" t="s">
        <v>698</v>
      </c>
      <c r="C124" s="3">
        <v>0.53647299999999998</v>
      </c>
      <c r="D124" s="3">
        <v>0.53647299999999998</v>
      </c>
      <c r="E124" s="3">
        <v>0.54328600000000005</v>
      </c>
      <c r="F124" s="3">
        <v>0.54328600000000005</v>
      </c>
      <c r="G124" s="3">
        <v>0.56713000000000002</v>
      </c>
      <c r="H124" s="3">
        <v>0.56713000000000002</v>
      </c>
      <c r="I124" s="3"/>
      <c r="J124" s="3"/>
      <c r="K124" s="3"/>
    </row>
    <row r="125" spans="1:15" s="2" customFormat="1" x14ac:dyDescent="0.3">
      <c r="A125" s="8"/>
      <c r="B125" s="52"/>
      <c r="C125" s="82"/>
      <c r="D125" s="82"/>
      <c r="E125" s="82"/>
      <c r="F125" s="82"/>
      <c r="G125" s="82"/>
      <c r="H125" s="82"/>
      <c r="I125" s="82"/>
      <c r="J125" s="82"/>
      <c r="K125" s="82"/>
    </row>
    <row r="126" spans="1:15" s="2" customFormat="1" x14ac:dyDescent="0.3">
      <c r="A126" s="5" t="s">
        <v>466</v>
      </c>
      <c r="B126" s="2" t="str">
        <f>B$1</f>
        <v>Elegir Trim.</v>
      </c>
      <c r="C126" s="82">
        <v>44501</v>
      </c>
      <c r="D126" s="82">
        <v>44593</v>
      </c>
      <c r="E126" s="82">
        <v>44682</v>
      </c>
      <c r="F126" s="82">
        <v>44774</v>
      </c>
      <c r="G126" s="82">
        <v>44866</v>
      </c>
      <c r="H126" s="82">
        <v>44958</v>
      </c>
      <c r="I126" s="82">
        <v>45047</v>
      </c>
      <c r="J126" s="82">
        <v>45139</v>
      </c>
      <c r="K126" s="82">
        <v>45231</v>
      </c>
    </row>
    <row r="127" spans="1:15" s="2" customFormat="1" x14ac:dyDescent="0.3">
      <c r="A127" s="53" t="s">
        <v>481</v>
      </c>
      <c r="B127" s="2" t="s">
        <v>558</v>
      </c>
      <c r="C127" s="3">
        <v>20.61309</v>
      </c>
      <c r="D127" s="3">
        <v>20.61309</v>
      </c>
      <c r="E127" s="2">
        <v>21.143177999999999</v>
      </c>
      <c r="F127" s="2">
        <v>21.143177999999999</v>
      </c>
      <c r="G127" s="2">
        <v>22.331319000000001</v>
      </c>
      <c r="H127" s="3">
        <v>22.331319000000001</v>
      </c>
      <c r="I127" s="3"/>
      <c r="J127" s="3"/>
      <c r="K127" s="3"/>
      <c r="L127" s="3"/>
      <c r="M127" s="3"/>
      <c r="N127" s="3"/>
      <c r="O127" s="3"/>
    </row>
    <row r="128" spans="1:15" s="2" customFormat="1" x14ac:dyDescent="0.3">
      <c r="A128" s="53" t="s">
        <v>489</v>
      </c>
      <c r="B128" s="2" t="s">
        <v>672</v>
      </c>
      <c r="C128" s="55">
        <f>C127</f>
        <v>20.61309</v>
      </c>
      <c r="D128" s="55">
        <f t="shared" ref="D128:O128" si="2">D127</f>
        <v>20.61309</v>
      </c>
      <c r="E128" s="55">
        <f t="shared" si="2"/>
        <v>21.143177999999999</v>
      </c>
      <c r="F128" s="55">
        <f t="shared" si="2"/>
        <v>21.143177999999999</v>
      </c>
      <c r="G128" s="55">
        <f t="shared" si="2"/>
        <v>22.331319000000001</v>
      </c>
      <c r="H128" s="55">
        <f t="shared" si="2"/>
        <v>22.331319000000001</v>
      </c>
      <c r="I128" s="55">
        <f t="shared" si="2"/>
        <v>0</v>
      </c>
      <c r="J128" s="55">
        <f t="shared" si="2"/>
        <v>0</v>
      </c>
      <c r="K128" s="55">
        <f t="shared" si="2"/>
        <v>0</v>
      </c>
      <c r="L128" s="55">
        <f t="shared" si="2"/>
        <v>0</v>
      </c>
      <c r="M128" s="55">
        <f t="shared" si="2"/>
        <v>0</v>
      </c>
      <c r="N128" s="55">
        <f t="shared" si="2"/>
        <v>0</v>
      </c>
      <c r="O128" s="55">
        <f t="shared" si="2"/>
        <v>0</v>
      </c>
    </row>
    <row r="129" spans="1:15" s="2" customFormat="1" x14ac:dyDescent="0.3">
      <c r="A129" s="53" t="s">
        <v>482</v>
      </c>
      <c r="B129" s="2" t="s">
        <v>673</v>
      </c>
      <c r="C129" s="55">
        <f t="shared" ref="C129:O129" si="3">C127</f>
        <v>20.61309</v>
      </c>
      <c r="D129" s="55">
        <f t="shared" si="3"/>
        <v>20.61309</v>
      </c>
      <c r="E129" s="55">
        <f t="shared" si="3"/>
        <v>21.143177999999999</v>
      </c>
      <c r="F129" s="55">
        <f t="shared" si="3"/>
        <v>21.143177999999999</v>
      </c>
      <c r="G129" s="55">
        <f t="shared" si="3"/>
        <v>22.331319000000001</v>
      </c>
      <c r="H129" s="55">
        <f t="shared" si="3"/>
        <v>22.331319000000001</v>
      </c>
      <c r="I129" s="55">
        <f t="shared" si="3"/>
        <v>0</v>
      </c>
      <c r="J129" s="55">
        <f t="shared" si="3"/>
        <v>0</v>
      </c>
      <c r="K129" s="55">
        <f t="shared" si="3"/>
        <v>0</v>
      </c>
      <c r="L129" s="55">
        <f t="shared" si="3"/>
        <v>0</v>
      </c>
      <c r="M129" s="55">
        <f t="shared" si="3"/>
        <v>0</v>
      </c>
      <c r="N129" s="55">
        <f t="shared" si="3"/>
        <v>0</v>
      </c>
      <c r="O129" s="55">
        <f t="shared" si="3"/>
        <v>0</v>
      </c>
    </row>
    <row r="130" spans="1:15" s="2" customFormat="1" x14ac:dyDescent="0.3">
      <c r="A130" s="53" t="s">
        <v>483</v>
      </c>
      <c r="B130" s="2" t="s">
        <v>561</v>
      </c>
      <c r="C130" s="3">
        <v>927.62481700000001</v>
      </c>
      <c r="D130" s="2">
        <v>927.62481700000001</v>
      </c>
      <c r="E130" s="2">
        <v>951.47967700000004</v>
      </c>
      <c r="F130" s="2">
        <v>951.47967700000004</v>
      </c>
      <c r="G130" s="2">
        <v>1004.948088</v>
      </c>
      <c r="H130" s="3">
        <v>1004.948088</v>
      </c>
      <c r="I130" s="3"/>
      <c r="J130" s="3"/>
      <c r="K130" s="3"/>
      <c r="L130" s="3"/>
      <c r="M130" s="3"/>
      <c r="N130" s="3"/>
      <c r="O130" s="3"/>
    </row>
    <row r="131" spans="1:15" s="2" customFormat="1" x14ac:dyDescent="0.3">
      <c r="A131" s="53" t="s">
        <v>484</v>
      </c>
      <c r="B131" s="2" t="s">
        <v>560</v>
      </c>
      <c r="C131" s="55">
        <f t="shared" ref="C131:O131" si="4">C130</f>
        <v>927.62481700000001</v>
      </c>
      <c r="D131" s="55">
        <f t="shared" si="4"/>
        <v>927.62481700000001</v>
      </c>
      <c r="E131" s="55">
        <f t="shared" si="4"/>
        <v>951.47967700000004</v>
      </c>
      <c r="F131" s="55">
        <f t="shared" si="4"/>
        <v>951.47967700000004</v>
      </c>
      <c r="G131" s="55">
        <f t="shared" si="4"/>
        <v>1004.948088</v>
      </c>
      <c r="H131" s="55">
        <f t="shared" si="4"/>
        <v>1004.948088</v>
      </c>
      <c r="I131" s="55">
        <f t="shared" si="4"/>
        <v>0</v>
      </c>
      <c r="J131" s="55">
        <f t="shared" si="4"/>
        <v>0</v>
      </c>
      <c r="K131" s="55">
        <f t="shared" si="4"/>
        <v>0</v>
      </c>
      <c r="L131" s="55">
        <f t="shared" si="4"/>
        <v>0</v>
      </c>
      <c r="M131" s="55">
        <f t="shared" si="4"/>
        <v>0</v>
      </c>
      <c r="N131" s="55">
        <f t="shared" si="4"/>
        <v>0</v>
      </c>
      <c r="O131" s="55">
        <f t="shared" si="4"/>
        <v>0</v>
      </c>
    </row>
    <row r="132" spans="1:15" s="2" customFormat="1" x14ac:dyDescent="0.3">
      <c r="A132" s="53" t="s">
        <v>485</v>
      </c>
      <c r="B132" s="2" t="s">
        <v>674</v>
      </c>
      <c r="C132" s="55">
        <f t="shared" ref="C132:O134" si="5">C130</f>
        <v>927.62481700000001</v>
      </c>
      <c r="D132" s="55">
        <f t="shared" si="5"/>
        <v>927.62481700000001</v>
      </c>
      <c r="E132" s="55">
        <f t="shared" si="5"/>
        <v>951.47967700000004</v>
      </c>
      <c r="F132" s="55">
        <f t="shared" si="5"/>
        <v>951.47967700000004</v>
      </c>
      <c r="G132" s="55">
        <f t="shared" si="5"/>
        <v>1004.948088</v>
      </c>
      <c r="H132" s="55">
        <f t="shared" si="5"/>
        <v>1004.948088</v>
      </c>
      <c r="I132" s="55">
        <f t="shared" si="5"/>
        <v>0</v>
      </c>
      <c r="J132" s="55">
        <f t="shared" si="5"/>
        <v>0</v>
      </c>
      <c r="K132" s="55">
        <f t="shared" si="5"/>
        <v>0</v>
      </c>
      <c r="L132" s="55">
        <f t="shared" si="5"/>
        <v>0</v>
      </c>
      <c r="M132" s="55">
        <f t="shared" si="5"/>
        <v>0</v>
      </c>
      <c r="N132" s="55">
        <f t="shared" si="5"/>
        <v>0</v>
      </c>
      <c r="O132" s="55">
        <f t="shared" si="5"/>
        <v>0</v>
      </c>
    </row>
    <row r="133" spans="1:15" s="2" customFormat="1" x14ac:dyDescent="0.3">
      <c r="A133" s="53" t="s">
        <v>633</v>
      </c>
      <c r="B133" s="2" t="s">
        <v>678</v>
      </c>
      <c r="C133" s="55">
        <f>C131</f>
        <v>927.62481700000001</v>
      </c>
      <c r="D133" s="55">
        <f t="shared" si="5"/>
        <v>927.62481700000001</v>
      </c>
      <c r="E133" s="55">
        <f t="shared" si="5"/>
        <v>951.47967700000004</v>
      </c>
      <c r="F133" s="55">
        <f t="shared" si="5"/>
        <v>951.47967700000004</v>
      </c>
      <c r="G133" s="55">
        <f t="shared" si="5"/>
        <v>1004.948088</v>
      </c>
      <c r="H133" s="55">
        <f t="shared" si="5"/>
        <v>1004.948088</v>
      </c>
      <c r="I133" s="55">
        <f t="shared" si="5"/>
        <v>0</v>
      </c>
      <c r="J133" s="55">
        <f t="shared" si="5"/>
        <v>0</v>
      </c>
      <c r="K133" s="55">
        <f t="shared" si="5"/>
        <v>0</v>
      </c>
      <c r="L133" s="55">
        <f t="shared" si="5"/>
        <v>0</v>
      </c>
      <c r="M133" s="55">
        <f t="shared" si="5"/>
        <v>0</v>
      </c>
      <c r="N133" s="55">
        <f t="shared" si="5"/>
        <v>0</v>
      </c>
      <c r="O133" s="55">
        <f t="shared" si="5"/>
        <v>0</v>
      </c>
    </row>
    <row r="134" spans="1:15" s="2" customFormat="1" x14ac:dyDescent="0.3">
      <c r="A134" s="53" t="s">
        <v>634</v>
      </c>
      <c r="B134" s="2" t="s">
        <v>679</v>
      </c>
      <c r="C134" s="55">
        <f>C132</f>
        <v>927.62481700000001</v>
      </c>
      <c r="D134" s="55">
        <f t="shared" si="5"/>
        <v>927.62481700000001</v>
      </c>
      <c r="E134" s="55">
        <f t="shared" si="5"/>
        <v>951.47967700000004</v>
      </c>
      <c r="F134" s="55">
        <f t="shared" si="5"/>
        <v>951.47967700000004</v>
      </c>
      <c r="G134" s="55">
        <f t="shared" si="5"/>
        <v>1004.948088</v>
      </c>
      <c r="H134" s="55">
        <f t="shared" si="5"/>
        <v>1004.948088</v>
      </c>
      <c r="I134" s="55">
        <f t="shared" si="5"/>
        <v>0</v>
      </c>
      <c r="J134" s="55">
        <f t="shared" si="5"/>
        <v>0</v>
      </c>
      <c r="K134" s="55">
        <f t="shared" si="5"/>
        <v>0</v>
      </c>
      <c r="L134" s="55">
        <f t="shared" si="5"/>
        <v>0</v>
      </c>
      <c r="M134" s="55">
        <f t="shared" si="5"/>
        <v>0</v>
      </c>
      <c r="N134" s="55">
        <f t="shared" si="5"/>
        <v>0</v>
      </c>
      <c r="O134" s="55">
        <f t="shared" si="5"/>
        <v>0</v>
      </c>
    </row>
    <row r="135" spans="1:15" s="2" customFormat="1" x14ac:dyDescent="0.3">
      <c r="A135" s="53" t="s">
        <v>486</v>
      </c>
      <c r="B135" s="2" t="s">
        <v>563</v>
      </c>
      <c r="C135" s="3">
        <v>3499.761939</v>
      </c>
      <c r="D135" s="2">
        <v>3499.761939</v>
      </c>
      <c r="E135" s="2">
        <v>3589.7620449999999</v>
      </c>
      <c r="F135" s="2">
        <v>3589.7620449999999</v>
      </c>
      <c r="G135" s="2">
        <v>3791.4887629999998</v>
      </c>
      <c r="H135" s="3">
        <v>3791.4887629999998</v>
      </c>
      <c r="I135" s="3"/>
      <c r="J135" s="3"/>
      <c r="K135" s="3"/>
      <c r="L135" s="3"/>
      <c r="M135" s="3"/>
      <c r="N135" s="3"/>
      <c r="O135" s="3"/>
    </row>
    <row r="136" spans="1:15" s="2" customFormat="1" x14ac:dyDescent="0.3">
      <c r="A136" s="8" t="s">
        <v>487</v>
      </c>
      <c r="B136" s="2" t="s">
        <v>562</v>
      </c>
      <c r="C136" s="55">
        <f t="shared" ref="C136:O136" si="6">C135</f>
        <v>3499.761939</v>
      </c>
      <c r="D136" s="55">
        <f t="shared" si="6"/>
        <v>3499.761939</v>
      </c>
      <c r="E136" s="55">
        <f t="shared" si="6"/>
        <v>3589.7620449999999</v>
      </c>
      <c r="F136" s="55">
        <f t="shared" si="6"/>
        <v>3589.7620449999999</v>
      </c>
      <c r="G136" s="55">
        <f t="shared" si="6"/>
        <v>3791.4887629999998</v>
      </c>
      <c r="H136" s="55">
        <f t="shared" si="6"/>
        <v>3791.4887629999998</v>
      </c>
      <c r="I136" s="55">
        <f t="shared" si="6"/>
        <v>0</v>
      </c>
      <c r="J136" s="55">
        <f t="shared" si="6"/>
        <v>0</v>
      </c>
      <c r="K136" s="55">
        <f t="shared" si="6"/>
        <v>0</v>
      </c>
      <c r="L136" s="55">
        <f t="shared" si="6"/>
        <v>0</v>
      </c>
      <c r="M136" s="55">
        <f t="shared" si="6"/>
        <v>0</v>
      </c>
      <c r="N136" s="55">
        <f t="shared" si="6"/>
        <v>0</v>
      </c>
      <c r="O136" s="55">
        <f t="shared" si="6"/>
        <v>0</v>
      </c>
    </row>
    <row r="137" spans="1:15" s="2" customFormat="1" x14ac:dyDescent="0.3">
      <c r="A137" s="8" t="s">
        <v>488</v>
      </c>
      <c r="B137" s="2" t="s">
        <v>676</v>
      </c>
      <c r="C137" s="55">
        <f t="shared" ref="C137:D137" si="7">C135</f>
        <v>3499.761939</v>
      </c>
      <c r="D137" s="55">
        <f t="shared" si="7"/>
        <v>3499.761939</v>
      </c>
      <c r="E137" s="55">
        <f>E135</f>
        <v>3589.7620449999999</v>
      </c>
      <c r="F137" s="55">
        <f t="shared" ref="F137:O137" si="8">F135</f>
        <v>3589.7620449999999</v>
      </c>
      <c r="G137" s="55">
        <f t="shared" si="8"/>
        <v>3791.4887629999998</v>
      </c>
      <c r="H137" s="55">
        <f t="shared" si="8"/>
        <v>3791.4887629999998</v>
      </c>
      <c r="I137" s="55">
        <f t="shared" si="8"/>
        <v>0</v>
      </c>
      <c r="J137" s="55">
        <f t="shared" si="8"/>
        <v>0</v>
      </c>
      <c r="K137" s="55">
        <f t="shared" si="8"/>
        <v>0</v>
      </c>
      <c r="L137" s="55">
        <f t="shared" si="8"/>
        <v>0</v>
      </c>
      <c r="M137" s="55">
        <f t="shared" si="8"/>
        <v>0</v>
      </c>
      <c r="N137" s="55">
        <f t="shared" si="8"/>
        <v>0</v>
      </c>
      <c r="O137" s="55">
        <f t="shared" si="8"/>
        <v>0</v>
      </c>
    </row>
    <row r="138" spans="1:15" s="2" customFormat="1" x14ac:dyDescent="0.3">
      <c r="A138" s="8" t="s">
        <v>635</v>
      </c>
      <c r="B138" s="2" t="s">
        <v>680</v>
      </c>
      <c r="C138" s="55">
        <f>C135</f>
        <v>3499.761939</v>
      </c>
      <c r="D138" s="55">
        <f t="shared" ref="D138:O138" si="9">D135</f>
        <v>3499.761939</v>
      </c>
      <c r="E138" s="55">
        <f t="shared" si="9"/>
        <v>3589.7620449999999</v>
      </c>
      <c r="F138" s="55">
        <f t="shared" si="9"/>
        <v>3589.7620449999999</v>
      </c>
      <c r="G138" s="55">
        <f t="shared" si="9"/>
        <v>3791.4887629999998</v>
      </c>
      <c r="H138" s="55">
        <f t="shared" si="9"/>
        <v>3791.4887629999998</v>
      </c>
      <c r="I138" s="55">
        <f t="shared" si="9"/>
        <v>0</v>
      </c>
      <c r="J138" s="55">
        <f t="shared" si="9"/>
        <v>0</v>
      </c>
      <c r="K138" s="55">
        <f t="shared" si="9"/>
        <v>0</v>
      </c>
      <c r="L138" s="55">
        <f t="shared" si="9"/>
        <v>0</v>
      </c>
      <c r="M138" s="55">
        <f t="shared" si="9"/>
        <v>0</v>
      </c>
      <c r="N138" s="55">
        <f t="shared" si="9"/>
        <v>0</v>
      </c>
      <c r="O138" s="55">
        <f t="shared" si="9"/>
        <v>0</v>
      </c>
    </row>
    <row r="139" spans="1:15" s="2" customFormat="1" x14ac:dyDescent="0.3">
      <c r="A139" s="8" t="s">
        <v>636</v>
      </c>
      <c r="B139" s="2" t="s">
        <v>681</v>
      </c>
      <c r="C139" s="55">
        <f>C135</f>
        <v>3499.761939</v>
      </c>
      <c r="D139" s="55">
        <f t="shared" ref="D139:O139" si="10">D135</f>
        <v>3499.761939</v>
      </c>
      <c r="E139" s="55">
        <f t="shared" si="10"/>
        <v>3589.7620449999999</v>
      </c>
      <c r="F139" s="55">
        <f t="shared" si="10"/>
        <v>3589.7620449999999</v>
      </c>
      <c r="G139" s="55">
        <f t="shared" si="10"/>
        <v>3791.4887629999998</v>
      </c>
      <c r="H139" s="55">
        <f t="shared" si="10"/>
        <v>3791.4887629999998</v>
      </c>
      <c r="I139" s="55">
        <f t="shared" si="10"/>
        <v>0</v>
      </c>
      <c r="J139" s="55">
        <f t="shared" si="10"/>
        <v>0</v>
      </c>
      <c r="K139" s="55">
        <f t="shared" si="10"/>
        <v>0</v>
      </c>
      <c r="L139" s="55">
        <f t="shared" si="10"/>
        <v>0</v>
      </c>
      <c r="M139" s="55">
        <f t="shared" si="10"/>
        <v>0</v>
      </c>
      <c r="N139" s="55">
        <f t="shared" si="10"/>
        <v>0</v>
      </c>
      <c r="O139" s="55">
        <f t="shared" si="10"/>
        <v>0</v>
      </c>
    </row>
    <row r="140" spans="1:15" s="2" customFormat="1" x14ac:dyDescent="0.3"/>
    <row r="141" spans="1:15" s="2" customFormat="1" x14ac:dyDescent="0.3">
      <c r="A141" s="5" t="s">
        <v>492</v>
      </c>
      <c r="B141" s="2" t="str">
        <f>B$1</f>
        <v>Elegir Trim.</v>
      </c>
      <c r="C141" s="83">
        <f>C$126</f>
        <v>44501</v>
      </c>
      <c r="D141" s="83">
        <f t="shared" ref="D141:K141" si="11">D$126</f>
        <v>44593</v>
      </c>
      <c r="E141" s="83">
        <f t="shared" si="11"/>
        <v>44682</v>
      </c>
      <c r="F141" s="83">
        <f t="shared" si="11"/>
        <v>44774</v>
      </c>
      <c r="G141" s="83">
        <f t="shared" si="11"/>
        <v>44866</v>
      </c>
      <c r="H141" s="83">
        <f t="shared" si="11"/>
        <v>44958</v>
      </c>
      <c r="I141" s="83">
        <f t="shared" si="11"/>
        <v>45047</v>
      </c>
      <c r="J141" s="83">
        <f t="shared" si="11"/>
        <v>45139</v>
      </c>
      <c r="K141" s="83">
        <f t="shared" si="11"/>
        <v>45231</v>
      </c>
    </row>
    <row r="142" spans="1:15" s="2" customFormat="1" x14ac:dyDescent="0.3">
      <c r="A142" s="53" t="s">
        <v>481</v>
      </c>
      <c r="B142" s="2" t="s">
        <v>493</v>
      </c>
      <c r="C142" s="3">
        <v>2.0604079999999998</v>
      </c>
      <c r="D142" s="2">
        <v>2.1084170000000002</v>
      </c>
      <c r="E142" s="2">
        <v>2.2484389999999999</v>
      </c>
      <c r="F142" s="2">
        <v>2.3284419999999999</v>
      </c>
      <c r="G142" s="3">
        <v>2.3284389999999999</v>
      </c>
      <c r="H142" s="3">
        <v>2.3284090000000002</v>
      </c>
      <c r="I142" s="3"/>
      <c r="J142" s="3"/>
      <c r="K142" s="3"/>
      <c r="L142" s="3"/>
      <c r="M142" s="3"/>
      <c r="N142" s="3"/>
      <c r="O142" s="3"/>
    </row>
    <row r="143" spans="1:15" s="2" customFormat="1" x14ac:dyDescent="0.3">
      <c r="A143" s="53" t="s">
        <v>489</v>
      </c>
      <c r="B143" s="2" t="s">
        <v>494</v>
      </c>
      <c r="C143" s="3">
        <v>1.890266</v>
      </c>
      <c r="D143" s="2">
        <v>1.9382740000000001</v>
      </c>
      <c r="E143" s="2">
        <v>2.0801340000000001</v>
      </c>
      <c r="F143" s="2">
        <v>2.1601370000000002</v>
      </c>
      <c r="G143" s="3">
        <v>2.1544310000000002</v>
      </c>
      <c r="H143" s="3">
        <v>2.1543999999999999</v>
      </c>
      <c r="I143" s="3"/>
      <c r="J143" s="3"/>
      <c r="K143" s="3"/>
      <c r="L143" s="3"/>
      <c r="M143" s="3"/>
      <c r="N143" s="3"/>
      <c r="O143" s="3"/>
    </row>
    <row r="144" spans="1:15" s="2" customFormat="1" x14ac:dyDescent="0.3">
      <c r="A144" s="53" t="s">
        <v>482</v>
      </c>
      <c r="B144" s="2" t="s">
        <v>495</v>
      </c>
      <c r="C144" s="3">
        <v>2.1445690000000002</v>
      </c>
      <c r="D144" s="2">
        <v>2.1925780000000001</v>
      </c>
      <c r="E144" s="2">
        <v>2.3252449999999998</v>
      </c>
      <c r="F144" s="2">
        <v>2.4052479999999998</v>
      </c>
      <c r="G144" s="2">
        <v>2.4052449999999999</v>
      </c>
      <c r="H144" s="3">
        <v>2.405214</v>
      </c>
      <c r="I144" s="3"/>
      <c r="J144" s="3"/>
      <c r="K144" s="3"/>
      <c r="L144" s="3"/>
      <c r="M144" s="3"/>
      <c r="N144" s="3"/>
      <c r="O144" s="3"/>
    </row>
    <row r="145" spans="1:15" s="2" customFormat="1" x14ac:dyDescent="0.3">
      <c r="A145" s="53" t="s">
        <v>483</v>
      </c>
      <c r="B145" s="2" t="s">
        <v>496</v>
      </c>
      <c r="C145" s="3">
        <v>1.2064950000000001</v>
      </c>
      <c r="D145" s="2">
        <v>1.2545040000000001</v>
      </c>
      <c r="E145" s="2">
        <v>1.388458</v>
      </c>
      <c r="F145" s="2">
        <v>1.468461</v>
      </c>
      <c r="G145" s="2">
        <v>1.4389110000000001</v>
      </c>
      <c r="H145" s="3">
        <v>1.4388799999999999</v>
      </c>
      <c r="I145" s="3"/>
      <c r="J145" s="3"/>
      <c r="K145" s="3"/>
      <c r="L145" s="3"/>
      <c r="M145" s="3"/>
      <c r="N145" s="3"/>
      <c r="O145" s="3"/>
    </row>
    <row r="146" spans="1:15" s="2" customFormat="1" x14ac:dyDescent="0.3">
      <c r="A146" s="53" t="s">
        <v>484</v>
      </c>
      <c r="B146" s="2" t="s">
        <v>497</v>
      </c>
      <c r="C146" s="3">
        <v>1.209967</v>
      </c>
      <c r="D146" s="2">
        <v>1.257976</v>
      </c>
      <c r="E146" s="2">
        <v>1.3897980000000001</v>
      </c>
      <c r="F146" s="2">
        <v>1.4698009999999999</v>
      </c>
      <c r="G146" s="2">
        <v>1.4402509999999999</v>
      </c>
      <c r="H146" s="3">
        <v>1.4402200000000001</v>
      </c>
      <c r="I146" s="3"/>
      <c r="J146" s="3"/>
      <c r="K146" s="3"/>
      <c r="L146" s="3"/>
      <c r="M146" s="3"/>
      <c r="N146" s="3"/>
      <c r="O146" s="3"/>
    </row>
    <row r="147" spans="1:15" s="2" customFormat="1" x14ac:dyDescent="0.3">
      <c r="A147" s="53" t="s">
        <v>485</v>
      </c>
      <c r="B147" s="2" t="s">
        <v>498</v>
      </c>
      <c r="C147" s="3">
        <v>1.2455339999999999</v>
      </c>
      <c r="D147" s="2">
        <v>1.2935430000000001</v>
      </c>
      <c r="E147" s="2">
        <v>1.2307539999999999</v>
      </c>
      <c r="F147" s="2">
        <v>1.3107569999999999</v>
      </c>
      <c r="G147" s="2">
        <v>1.464844</v>
      </c>
      <c r="H147" s="3">
        <v>1.4648129999999999</v>
      </c>
      <c r="I147" s="3"/>
      <c r="J147" s="3"/>
      <c r="K147" s="3"/>
      <c r="L147" s="3"/>
      <c r="M147" s="3"/>
      <c r="N147" s="3"/>
      <c r="O147" s="3"/>
    </row>
    <row r="148" spans="1:15" s="2" customFormat="1" x14ac:dyDescent="0.3">
      <c r="A148" s="53" t="s">
        <v>633</v>
      </c>
      <c r="B148" s="2" t="s">
        <v>606</v>
      </c>
      <c r="C148" s="3">
        <v>1.206766</v>
      </c>
      <c r="D148" s="2">
        <v>1.254775</v>
      </c>
      <c r="E148" s="3">
        <v>1.3887499999999999</v>
      </c>
      <c r="F148" s="2">
        <v>1.468753</v>
      </c>
      <c r="G148" s="2">
        <v>1.439203</v>
      </c>
      <c r="H148" s="3">
        <v>1.4391719999999999</v>
      </c>
      <c r="I148" s="3"/>
      <c r="J148" s="3"/>
      <c r="K148" s="3"/>
      <c r="L148" s="3"/>
      <c r="M148" s="3"/>
      <c r="N148" s="3"/>
      <c r="O148" s="3"/>
    </row>
    <row r="149" spans="1:15" s="2" customFormat="1" x14ac:dyDescent="0.3">
      <c r="A149" s="53" t="s">
        <v>634</v>
      </c>
      <c r="B149" s="2" t="s">
        <v>607</v>
      </c>
      <c r="C149" s="55">
        <f t="shared" ref="C149:O149" si="12">C148</f>
        <v>1.206766</v>
      </c>
      <c r="D149" s="55">
        <f t="shared" si="12"/>
        <v>1.254775</v>
      </c>
      <c r="E149" s="55">
        <f t="shared" si="12"/>
        <v>1.3887499999999999</v>
      </c>
      <c r="F149" s="55">
        <f t="shared" si="12"/>
        <v>1.468753</v>
      </c>
      <c r="G149" s="55">
        <f t="shared" si="12"/>
        <v>1.439203</v>
      </c>
      <c r="H149" s="55">
        <f t="shared" si="12"/>
        <v>1.4391719999999999</v>
      </c>
      <c r="I149" s="55">
        <f t="shared" si="12"/>
        <v>0</v>
      </c>
      <c r="J149" s="55">
        <f t="shared" si="12"/>
        <v>0</v>
      </c>
      <c r="K149" s="55">
        <f t="shared" si="12"/>
        <v>0</v>
      </c>
      <c r="L149" s="55">
        <f t="shared" si="12"/>
        <v>0</v>
      </c>
      <c r="M149" s="55">
        <f t="shared" si="12"/>
        <v>0</v>
      </c>
      <c r="N149" s="55">
        <f t="shared" si="12"/>
        <v>0</v>
      </c>
      <c r="O149" s="55">
        <f t="shared" si="12"/>
        <v>0</v>
      </c>
    </row>
    <row r="150" spans="1:15" s="2" customFormat="1" x14ac:dyDescent="0.3">
      <c r="A150" s="53" t="s">
        <v>486</v>
      </c>
      <c r="B150" s="2" t="s">
        <v>500</v>
      </c>
      <c r="C150" s="3">
        <v>1.0826960000000001</v>
      </c>
      <c r="D150" s="2">
        <v>1.1307050000000001</v>
      </c>
      <c r="E150" s="3">
        <v>1.244051</v>
      </c>
      <c r="F150" s="2">
        <v>1.3240540000000001</v>
      </c>
      <c r="G150" s="2">
        <v>1.2945040000000001</v>
      </c>
      <c r="H150" s="3">
        <v>1.294473</v>
      </c>
      <c r="I150" s="3"/>
      <c r="J150" s="3"/>
      <c r="K150" s="3"/>
      <c r="L150" s="3"/>
      <c r="M150" s="3"/>
      <c r="N150" s="3"/>
      <c r="O150" s="3"/>
    </row>
    <row r="151" spans="1:15" s="2" customFormat="1" x14ac:dyDescent="0.3">
      <c r="A151" s="8" t="s">
        <v>487</v>
      </c>
      <c r="B151" s="2" t="s">
        <v>501</v>
      </c>
      <c r="C151" s="3">
        <v>1.084244</v>
      </c>
      <c r="D151" s="2">
        <v>1.132253</v>
      </c>
      <c r="E151" s="3">
        <v>1.244551</v>
      </c>
      <c r="F151" s="2">
        <v>1.324554</v>
      </c>
      <c r="G151" s="2">
        <v>1.295004</v>
      </c>
      <c r="H151" s="3">
        <v>1.2949729999999999</v>
      </c>
      <c r="I151" s="3"/>
      <c r="J151" s="3"/>
      <c r="K151" s="3"/>
      <c r="L151" s="3"/>
      <c r="M151" s="3"/>
      <c r="N151" s="3"/>
      <c r="O151" s="3"/>
    </row>
    <row r="152" spans="1:15" s="2" customFormat="1" x14ac:dyDescent="0.3">
      <c r="A152" s="8" t="s">
        <v>488</v>
      </c>
      <c r="B152" s="2" t="s">
        <v>502</v>
      </c>
      <c r="C152" s="3">
        <v>1.1181829999999999</v>
      </c>
      <c r="D152" s="2">
        <v>1.1661919999999999</v>
      </c>
      <c r="E152" s="3">
        <v>1.1034029999999999</v>
      </c>
      <c r="F152" s="2">
        <v>1.183406</v>
      </c>
      <c r="G152" s="2">
        <v>1.317744</v>
      </c>
      <c r="H152" s="3">
        <v>1.3177129999999999</v>
      </c>
      <c r="I152" s="3"/>
      <c r="J152" s="3"/>
      <c r="K152" s="3"/>
      <c r="L152" s="3"/>
      <c r="M152" s="3"/>
      <c r="N152" s="3"/>
      <c r="O152" s="3"/>
    </row>
    <row r="153" spans="1:15" s="2" customFormat="1" x14ac:dyDescent="0.3">
      <c r="A153" s="8" t="s">
        <v>635</v>
      </c>
      <c r="B153" s="2" t="s">
        <v>608</v>
      </c>
      <c r="C153" s="3">
        <v>1.083707</v>
      </c>
      <c r="D153" s="2">
        <v>1.1317159999999999</v>
      </c>
      <c r="E153" s="3">
        <v>1.2449049999999999</v>
      </c>
      <c r="F153" s="2">
        <v>1.324908</v>
      </c>
      <c r="G153" s="2">
        <v>1.295358</v>
      </c>
      <c r="H153" s="3">
        <v>1.2953269999999999</v>
      </c>
      <c r="I153" s="3"/>
      <c r="J153" s="3"/>
      <c r="K153" s="3"/>
      <c r="L153" s="3"/>
      <c r="M153" s="3"/>
      <c r="N153" s="3"/>
      <c r="O153" s="3"/>
    </row>
    <row r="154" spans="1:15" s="2" customFormat="1" x14ac:dyDescent="0.3">
      <c r="A154" s="8" t="s">
        <v>636</v>
      </c>
      <c r="B154" s="2" t="s">
        <v>609</v>
      </c>
      <c r="C154" s="55">
        <f t="shared" ref="C154:O154" si="13">C153</f>
        <v>1.083707</v>
      </c>
      <c r="D154" s="55">
        <f t="shared" si="13"/>
        <v>1.1317159999999999</v>
      </c>
      <c r="E154" s="55">
        <f t="shared" si="13"/>
        <v>1.2449049999999999</v>
      </c>
      <c r="F154" s="55">
        <f t="shared" si="13"/>
        <v>1.324908</v>
      </c>
      <c r="G154" s="55">
        <f t="shared" si="13"/>
        <v>1.295358</v>
      </c>
      <c r="H154" s="55">
        <f t="shared" si="13"/>
        <v>1.2953269999999999</v>
      </c>
      <c r="I154" s="55">
        <f t="shared" si="13"/>
        <v>0</v>
      </c>
      <c r="J154" s="55">
        <f t="shared" si="13"/>
        <v>0</v>
      </c>
      <c r="K154" s="55">
        <f t="shared" si="13"/>
        <v>0</v>
      </c>
      <c r="L154" s="55">
        <f t="shared" si="13"/>
        <v>0</v>
      </c>
      <c r="M154" s="55">
        <f t="shared" si="13"/>
        <v>0</v>
      </c>
      <c r="N154" s="55">
        <f t="shared" si="13"/>
        <v>0</v>
      </c>
      <c r="O154" s="55">
        <f t="shared" si="13"/>
        <v>0</v>
      </c>
    </row>
    <row r="155" spans="1:15" s="2" customFormat="1" x14ac:dyDescent="0.3">
      <c r="C155" s="3"/>
    </row>
    <row r="156" spans="1:15" s="2" customFormat="1" x14ac:dyDescent="0.3">
      <c r="A156" s="5" t="s">
        <v>504</v>
      </c>
      <c r="B156" s="2" t="str">
        <f>B$1</f>
        <v>Elegir Trim.</v>
      </c>
      <c r="C156" s="83">
        <f>C$126</f>
        <v>44501</v>
      </c>
      <c r="D156" s="83">
        <f t="shared" ref="D156:K156" si="14">D$126</f>
        <v>44593</v>
      </c>
      <c r="E156" s="83">
        <f t="shared" si="14"/>
        <v>44682</v>
      </c>
      <c r="F156" s="83">
        <f t="shared" si="14"/>
        <v>44774</v>
      </c>
      <c r="G156" s="83">
        <f t="shared" si="14"/>
        <v>44866</v>
      </c>
      <c r="H156" s="83">
        <f t="shared" si="14"/>
        <v>44958</v>
      </c>
      <c r="I156" s="83">
        <f t="shared" si="14"/>
        <v>45047</v>
      </c>
      <c r="J156" s="83">
        <f t="shared" si="14"/>
        <v>45139</v>
      </c>
      <c r="K156" s="83">
        <f t="shared" si="14"/>
        <v>45231</v>
      </c>
    </row>
    <row r="157" spans="1:15" s="2" customFormat="1" x14ac:dyDescent="0.3">
      <c r="A157" s="53" t="s">
        <v>481</v>
      </c>
      <c r="B157" s="2" t="s">
        <v>505</v>
      </c>
      <c r="C157" s="55">
        <f t="shared" ref="C157:O158" si="15">C142</f>
        <v>2.0604079999999998</v>
      </c>
      <c r="D157" s="55">
        <f t="shared" si="15"/>
        <v>2.1084170000000002</v>
      </c>
      <c r="E157" s="55">
        <f t="shared" si="15"/>
        <v>2.2484389999999999</v>
      </c>
      <c r="F157" s="55">
        <f t="shared" si="15"/>
        <v>2.3284419999999999</v>
      </c>
      <c r="G157" s="55">
        <f t="shared" si="15"/>
        <v>2.3284389999999999</v>
      </c>
      <c r="H157" s="55">
        <f t="shared" si="15"/>
        <v>2.3284090000000002</v>
      </c>
      <c r="I157" s="55">
        <f t="shared" si="15"/>
        <v>0</v>
      </c>
      <c r="J157" s="55">
        <f t="shared" si="15"/>
        <v>0</v>
      </c>
      <c r="K157" s="55">
        <f t="shared" si="15"/>
        <v>0</v>
      </c>
      <c r="L157" s="55">
        <f t="shared" si="15"/>
        <v>0</v>
      </c>
      <c r="M157" s="55">
        <f t="shared" si="15"/>
        <v>0</v>
      </c>
      <c r="N157" s="55">
        <f t="shared" si="15"/>
        <v>0</v>
      </c>
      <c r="O157" s="55">
        <f t="shared" si="15"/>
        <v>0</v>
      </c>
    </row>
    <row r="158" spans="1:15" s="2" customFormat="1" x14ac:dyDescent="0.3">
      <c r="A158" s="53" t="s">
        <v>489</v>
      </c>
      <c r="B158" s="2" t="s">
        <v>506</v>
      </c>
      <c r="C158" s="55">
        <f>C143</f>
        <v>1.890266</v>
      </c>
      <c r="D158" s="55">
        <f t="shared" si="15"/>
        <v>1.9382740000000001</v>
      </c>
      <c r="E158" s="55">
        <f t="shared" si="15"/>
        <v>2.0801340000000001</v>
      </c>
      <c r="F158" s="55">
        <f t="shared" si="15"/>
        <v>2.1601370000000002</v>
      </c>
      <c r="G158" s="55">
        <f t="shared" si="15"/>
        <v>2.1544310000000002</v>
      </c>
      <c r="H158" s="55">
        <f t="shared" si="15"/>
        <v>2.1543999999999999</v>
      </c>
      <c r="I158" s="55">
        <f t="shared" si="15"/>
        <v>0</v>
      </c>
      <c r="J158" s="55">
        <f t="shared" si="15"/>
        <v>0</v>
      </c>
      <c r="K158" s="55">
        <f t="shared" si="15"/>
        <v>0</v>
      </c>
      <c r="L158" s="55">
        <f t="shared" si="15"/>
        <v>0</v>
      </c>
      <c r="M158" s="55">
        <f t="shared" si="15"/>
        <v>0</v>
      </c>
      <c r="N158" s="55">
        <f t="shared" si="15"/>
        <v>0</v>
      </c>
      <c r="O158" s="55">
        <f t="shared" si="15"/>
        <v>0</v>
      </c>
    </row>
    <row r="159" spans="1:15" s="2" customFormat="1" x14ac:dyDescent="0.3">
      <c r="A159" s="53" t="s">
        <v>482</v>
      </c>
      <c r="B159" s="2" t="s">
        <v>507</v>
      </c>
      <c r="C159" s="3">
        <v>2.0986630000000002</v>
      </c>
      <c r="D159" s="2">
        <v>2.1466720000000001</v>
      </c>
      <c r="E159" s="2">
        <v>2.2845339999999998</v>
      </c>
      <c r="F159" s="2">
        <v>2.3645369999999999</v>
      </c>
      <c r="G159" s="2">
        <v>2.3645339999999999</v>
      </c>
      <c r="H159" s="3">
        <v>2.364503</v>
      </c>
      <c r="I159" s="3"/>
      <c r="J159" s="3"/>
      <c r="K159" s="3"/>
      <c r="L159" s="3"/>
      <c r="M159" s="3"/>
      <c r="N159" s="3"/>
      <c r="O159" s="3"/>
    </row>
    <row r="160" spans="1:15" s="2" customFormat="1" x14ac:dyDescent="0.3">
      <c r="A160" s="53" t="s">
        <v>483</v>
      </c>
      <c r="B160" s="2" t="s">
        <v>508</v>
      </c>
      <c r="C160" s="55">
        <f t="shared" ref="C160:O161" si="16">C145</f>
        <v>1.2064950000000001</v>
      </c>
      <c r="D160" s="55">
        <f t="shared" si="16"/>
        <v>1.2545040000000001</v>
      </c>
      <c r="E160" s="55">
        <f t="shared" si="16"/>
        <v>1.388458</v>
      </c>
      <c r="F160" s="55">
        <f t="shared" si="16"/>
        <v>1.468461</v>
      </c>
      <c r="G160" s="55">
        <f t="shared" si="16"/>
        <v>1.4389110000000001</v>
      </c>
      <c r="H160" s="55">
        <f t="shared" si="16"/>
        <v>1.4388799999999999</v>
      </c>
      <c r="I160" s="55">
        <f t="shared" si="16"/>
        <v>0</v>
      </c>
      <c r="J160" s="55">
        <f t="shared" si="16"/>
        <v>0</v>
      </c>
      <c r="K160" s="55">
        <f t="shared" si="16"/>
        <v>0</v>
      </c>
      <c r="L160" s="55">
        <f t="shared" si="16"/>
        <v>0</v>
      </c>
      <c r="M160" s="55">
        <f t="shared" si="16"/>
        <v>0</v>
      </c>
      <c r="N160" s="55">
        <f t="shared" si="16"/>
        <v>0</v>
      </c>
      <c r="O160" s="55">
        <f t="shared" si="16"/>
        <v>0</v>
      </c>
    </row>
    <row r="161" spans="1:15" s="2" customFormat="1" x14ac:dyDescent="0.3">
      <c r="A161" s="53" t="s">
        <v>484</v>
      </c>
      <c r="B161" s="2" t="s">
        <v>509</v>
      </c>
      <c r="C161" s="55">
        <f t="shared" si="16"/>
        <v>1.209967</v>
      </c>
      <c r="D161" s="55">
        <f t="shared" si="16"/>
        <v>1.257976</v>
      </c>
      <c r="E161" s="55">
        <f t="shared" si="16"/>
        <v>1.3897980000000001</v>
      </c>
      <c r="F161" s="55">
        <f t="shared" si="16"/>
        <v>1.4698009999999999</v>
      </c>
      <c r="G161" s="55">
        <f t="shared" si="16"/>
        <v>1.4402509999999999</v>
      </c>
      <c r="H161" s="55">
        <f t="shared" si="16"/>
        <v>1.4402200000000001</v>
      </c>
      <c r="I161" s="55">
        <f t="shared" si="16"/>
        <v>0</v>
      </c>
      <c r="J161" s="55">
        <f t="shared" si="16"/>
        <v>0</v>
      </c>
      <c r="K161" s="55">
        <f t="shared" si="16"/>
        <v>0</v>
      </c>
      <c r="L161" s="55">
        <f t="shared" si="16"/>
        <v>0</v>
      </c>
      <c r="M161" s="55">
        <f t="shared" si="16"/>
        <v>0</v>
      </c>
      <c r="N161" s="55">
        <f t="shared" si="16"/>
        <v>0</v>
      </c>
      <c r="O161" s="55">
        <f t="shared" si="16"/>
        <v>0</v>
      </c>
    </row>
    <row r="162" spans="1:15" s="2" customFormat="1" x14ac:dyDescent="0.3">
      <c r="A162" s="53" t="s">
        <v>485</v>
      </c>
      <c r="B162" s="2" t="s">
        <v>510</v>
      </c>
      <c r="C162" s="3">
        <v>1.228947</v>
      </c>
      <c r="D162" s="2">
        <v>1.276956</v>
      </c>
      <c r="E162" s="2">
        <v>1.214167</v>
      </c>
      <c r="F162" s="3">
        <v>1.29417</v>
      </c>
      <c r="G162" s="2">
        <v>1.4372240000000001</v>
      </c>
      <c r="H162" s="3">
        <v>1.4371929999999999</v>
      </c>
      <c r="I162" s="3"/>
      <c r="J162" s="3"/>
      <c r="K162" s="3"/>
      <c r="L162" s="3"/>
      <c r="M162" s="3"/>
      <c r="N162" s="3"/>
      <c r="O162" s="3"/>
    </row>
    <row r="163" spans="1:15" s="2" customFormat="1" x14ac:dyDescent="0.3">
      <c r="A163" s="53" t="s">
        <v>633</v>
      </c>
      <c r="B163" s="2" t="s">
        <v>610</v>
      </c>
      <c r="C163" s="55">
        <f t="shared" ref="C163:O166" si="17">C148</f>
        <v>1.206766</v>
      </c>
      <c r="D163" s="55">
        <f t="shared" si="17"/>
        <v>1.254775</v>
      </c>
      <c r="E163" s="55">
        <f t="shared" si="17"/>
        <v>1.3887499999999999</v>
      </c>
      <c r="F163" s="55">
        <f t="shared" si="17"/>
        <v>1.468753</v>
      </c>
      <c r="G163" s="55">
        <f t="shared" si="17"/>
        <v>1.439203</v>
      </c>
      <c r="H163" s="55">
        <f t="shared" si="17"/>
        <v>1.4391719999999999</v>
      </c>
      <c r="I163" s="55">
        <f t="shared" si="17"/>
        <v>0</v>
      </c>
      <c r="J163" s="55">
        <f t="shared" si="17"/>
        <v>0</v>
      </c>
      <c r="K163" s="55">
        <f t="shared" si="17"/>
        <v>0</v>
      </c>
      <c r="L163" s="55">
        <f t="shared" si="17"/>
        <v>0</v>
      </c>
      <c r="M163" s="55">
        <f t="shared" si="17"/>
        <v>0</v>
      </c>
      <c r="N163" s="55">
        <f t="shared" si="17"/>
        <v>0</v>
      </c>
      <c r="O163" s="55">
        <f t="shared" si="17"/>
        <v>0</v>
      </c>
    </row>
    <row r="164" spans="1:15" s="2" customFormat="1" x14ac:dyDescent="0.3">
      <c r="A164" s="53" t="s">
        <v>634</v>
      </c>
      <c r="B164" s="2" t="s">
        <v>611</v>
      </c>
      <c r="C164" s="55">
        <f t="shared" si="17"/>
        <v>1.206766</v>
      </c>
      <c r="D164" s="55">
        <f t="shared" si="17"/>
        <v>1.254775</v>
      </c>
      <c r="E164" s="55">
        <f t="shared" si="17"/>
        <v>1.3887499999999999</v>
      </c>
      <c r="F164" s="55">
        <f t="shared" si="17"/>
        <v>1.468753</v>
      </c>
      <c r="G164" s="55">
        <f t="shared" si="17"/>
        <v>1.439203</v>
      </c>
      <c r="H164" s="55">
        <f t="shared" si="17"/>
        <v>1.4391719999999999</v>
      </c>
      <c r="I164" s="55">
        <f t="shared" si="17"/>
        <v>0</v>
      </c>
      <c r="J164" s="55">
        <f t="shared" si="17"/>
        <v>0</v>
      </c>
      <c r="K164" s="55">
        <f t="shared" si="17"/>
        <v>0</v>
      </c>
      <c r="L164" s="55">
        <f t="shared" si="17"/>
        <v>0</v>
      </c>
      <c r="M164" s="55">
        <f t="shared" si="17"/>
        <v>0</v>
      </c>
      <c r="N164" s="55">
        <f t="shared" si="17"/>
        <v>0</v>
      </c>
      <c r="O164" s="55">
        <f t="shared" si="17"/>
        <v>0</v>
      </c>
    </row>
    <row r="165" spans="1:15" s="2" customFormat="1" x14ac:dyDescent="0.3">
      <c r="A165" s="53" t="s">
        <v>486</v>
      </c>
      <c r="B165" s="2" t="s">
        <v>512</v>
      </c>
      <c r="C165" s="55">
        <f t="shared" si="17"/>
        <v>1.0826960000000001</v>
      </c>
      <c r="D165" s="55">
        <f t="shared" si="17"/>
        <v>1.1307050000000001</v>
      </c>
      <c r="E165" s="55">
        <f t="shared" si="17"/>
        <v>1.244051</v>
      </c>
      <c r="F165" s="55">
        <f t="shared" si="17"/>
        <v>1.3240540000000001</v>
      </c>
      <c r="G165" s="55">
        <f t="shared" si="17"/>
        <v>1.2945040000000001</v>
      </c>
      <c r="H165" s="55">
        <f t="shared" si="17"/>
        <v>1.294473</v>
      </c>
      <c r="I165" s="55">
        <f t="shared" si="17"/>
        <v>0</v>
      </c>
      <c r="J165" s="55">
        <f t="shared" si="17"/>
        <v>0</v>
      </c>
      <c r="K165" s="55">
        <f t="shared" si="17"/>
        <v>0</v>
      </c>
      <c r="L165" s="55">
        <f t="shared" si="17"/>
        <v>0</v>
      </c>
      <c r="M165" s="55">
        <f t="shared" si="17"/>
        <v>0</v>
      </c>
      <c r="N165" s="55">
        <f t="shared" si="17"/>
        <v>0</v>
      </c>
      <c r="O165" s="55">
        <f t="shared" si="17"/>
        <v>0</v>
      </c>
    </row>
    <row r="166" spans="1:15" s="2" customFormat="1" x14ac:dyDescent="0.3">
      <c r="A166" s="8" t="s">
        <v>487</v>
      </c>
      <c r="B166" s="2" t="s">
        <v>513</v>
      </c>
      <c r="C166" s="55">
        <f t="shared" si="17"/>
        <v>1.084244</v>
      </c>
      <c r="D166" s="55">
        <f t="shared" si="17"/>
        <v>1.132253</v>
      </c>
      <c r="E166" s="55">
        <f t="shared" si="17"/>
        <v>1.244551</v>
      </c>
      <c r="F166" s="55">
        <f t="shared" si="17"/>
        <v>1.324554</v>
      </c>
      <c r="G166" s="55">
        <f t="shared" si="17"/>
        <v>1.295004</v>
      </c>
      <c r="H166" s="55">
        <f t="shared" si="17"/>
        <v>1.2949729999999999</v>
      </c>
      <c r="I166" s="55">
        <f t="shared" si="17"/>
        <v>0</v>
      </c>
      <c r="J166" s="55">
        <f t="shared" si="17"/>
        <v>0</v>
      </c>
      <c r="K166" s="55">
        <f t="shared" si="17"/>
        <v>0</v>
      </c>
      <c r="L166" s="55">
        <f t="shared" si="17"/>
        <v>0</v>
      </c>
      <c r="M166" s="55">
        <f t="shared" si="17"/>
        <v>0</v>
      </c>
      <c r="N166" s="55">
        <f t="shared" si="17"/>
        <v>0</v>
      </c>
      <c r="O166" s="55">
        <f t="shared" si="17"/>
        <v>0</v>
      </c>
    </row>
    <row r="167" spans="1:15" s="2" customFormat="1" x14ac:dyDescent="0.3">
      <c r="A167" s="8" t="s">
        <v>488</v>
      </c>
      <c r="B167" s="2" t="s">
        <v>514</v>
      </c>
      <c r="C167" s="3">
        <v>1.10338</v>
      </c>
      <c r="D167" s="2">
        <v>1.151389</v>
      </c>
      <c r="E167" s="3">
        <v>1.0886</v>
      </c>
      <c r="F167" s="2">
        <v>1.1686030000000001</v>
      </c>
      <c r="G167" s="2">
        <v>1.293094</v>
      </c>
      <c r="H167" s="3">
        <v>1.2930630000000001</v>
      </c>
      <c r="I167" s="3"/>
      <c r="J167" s="3"/>
      <c r="K167" s="3"/>
      <c r="L167" s="3"/>
      <c r="M167" s="3"/>
      <c r="N167" s="3"/>
      <c r="O167" s="3"/>
    </row>
    <row r="168" spans="1:15" s="2" customFormat="1" x14ac:dyDescent="0.3">
      <c r="A168" s="8" t="s">
        <v>635</v>
      </c>
      <c r="B168" s="2" t="s">
        <v>612</v>
      </c>
      <c r="C168" s="55">
        <f t="shared" ref="C168:O169" si="18">C153</f>
        <v>1.083707</v>
      </c>
      <c r="D168" s="55">
        <f t="shared" si="18"/>
        <v>1.1317159999999999</v>
      </c>
      <c r="E168" s="55">
        <f t="shared" si="18"/>
        <v>1.2449049999999999</v>
      </c>
      <c r="F168" s="55">
        <f t="shared" si="18"/>
        <v>1.324908</v>
      </c>
      <c r="G168" s="55">
        <f t="shared" si="18"/>
        <v>1.295358</v>
      </c>
      <c r="H168" s="55">
        <f t="shared" si="18"/>
        <v>1.2953269999999999</v>
      </c>
      <c r="I168" s="55">
        <f t="shared" si="18"/>
        <v>0</v>
      </c>
      <c r="J168" s="55">
        <f t="shared" si="18"/>
        <v>0</v>
      </c>
      <c r="K168" s="55">
        <f t="shared" si="18"/>
        <v>0</v>
      </c>
      <c r="L168" s="55">
        <f t="shared" si="18"/>
        <v>0</v>
      </c>
      <c r="M168" s="55">
        <f t="shared" si="18"/>
        <v>0</v>
      </c>
      <c r="N168" s="55">
        <f t="shared" si="18"/>
        <v>0</v>
      </c>
      <c r="O168" s="55">
        <f t="shared" si="18"/>
        <v>0</v>
      </c>
    </row>
    <row r="169" spans="1:15" s="2" customFormat="1" x14ac:dyDescent="0.3">
      <c r="A169" s="8" t="s">
        <v>636</v>
      </c>
      <c r="B169" s="2" t="s">
        <v>613</v>
      </c>
      <c r="C169" s="55">
        <f>C154</f>
        <v>1.083707</v>
      </c>
      <c r="D169" s="55">
        <f t="shared" si="18"/>
        <v>1.1317159999999999</v>
      </c>
      <c r="E169" s="55">
        <f t="shared" si="18"/>
        <v>1.2449049999999999</v>
      </c>
      <c r="F169" s="55">
        <f t="shared" si="18"/>
        <v>1.324908</v>
      </c>
      <c r="G169" s="55">
        <f t="shared" si="18"/>
        <v>1.295358</v>
      </c>
      <c r="H169" s="55">
        <f t="shared" si="18"/>
        <v>1.2953269999999999</v>
      </c>
      <c r="I169" s="55">
        <f t="shared" si="18"/>
        <v>0</v>
      </c>
      <c r="J169" s="55">
        <f t="shared" si="18"/>
        <v>0</v>
      </c>
      <c r="K169" s="55">
        <f t="shared" si="18"/>
        <v>0</v>
      </c>
      <c r="L169" s="55">
        <f t="shared" si="18"/>
        <v>0</v>
      </c>
      <c r="M169" s="55">
        <f t="shared" si="18"/>
        <v>0</v>
      </c>
      <c r="N169" s="55">
        <f t="shared" si="18"/>
        <v>0</v>
      </c>
      <c r="O169" s="55">
        <f t="shared" si="18"/>
        <v>0</v>
      </c>
    </row>
    <row r="170" spans="1:15" s="2" customFormat="1" x14ac:dyDescent="0.3">
      <c r="C170" s="3"/>
    </row>
    <row r="171" spans="1:15" s="2" customFormat="1" x14ac:dyDescent="0.3">
      <c r="A171" s="5" t="s">
        <v>516</v>
      </c>
      <c r="B171" s="2" t="str">
        <f>B$1</f>
        <v>Elegir Trim.</v>
      </c>
      <c r="C171" s="83">
        <f>C$126</f>
        <v>44501</v>
      </c>
      <c r="D171" s="83">
        <f t="shared" ref="D171:K171" si="19">D$126</f>
        <v>44593</v>
      </c>
      <c r="E171" s="83">
        <f t="shared" si="19"/>
        <v>44682</v>
      </c>
      <c r="F171" s="83">
        <f t="shared" si="19"/>
        <v>44774</v>
      </c>
      <c r="G171" s="83">
        <f t="shared" si="19"/>
        <v>44866</v>
      </c>
      <c r="H171" s="83">
        <f t="shared" si="19"/>
        <v>44958</v>
      </c>
      <c r="I171" s="83">
        <f t="shared" si="19"/>
        <v>45047</v>
      </c>
      <c r="J171" s="83">
        <f t="shared" si="19"/>
        <v>45139</v>
      </c>
      <c r="K171" s="83">
        <f t="shared" si="19"/>
        <v>45231</v>
      </c>
    </row>
    <row r="172" spans="1:15" s="2" customFormat="1" x14ac:dyDescent="0.3">
      <c r="A172" s="53" t="s">
        <v>481</v>
      </c>
      <c r="B172" s="2" t="s">
        <v>517</v>
      </c>
      <c r="C172" s="55">
        <f t="shared" ref="C172:O172" si="20">C142</f>
        <v>2.0604079999999998</v>
      </c>
      <c r="D172" s="55">
        <f t="shared" si="20"/>
        <v>2.1084170000000002</v>
      </c>
      <c r="E172" s="55">
        <f t="shared" si="20"/>
        <v>2.2484389999999999</v>
      </c>
      <c r="F172" s="55">
        <f t="shared" si="20"/>
        <v>2.3284419999999999</v>
      </c>
      <c r="G172" s="55">
        <f t="shared" si="20"/>
        <v>2.3284389999999999</v>
      </c>
      <c r="H172" s="55">
        <f t="shared" si="20"/>
        <v>2.3284090000000002</v>
      </c>
      <c r="I172" s="55">
        <f t="shared" si="20"/>
        <v>0</v>
      </c>
      <c r="J172" s="55">
        <f t="shared" si="20"/>
        <v>0</v>
      </c>
      <c r="K172" s="55">
        <f t="shared" si="20"/>
        <v>0</v>
      </c>
      <c r="L172" s="55">
        <f t="shared" si="20"/>
        <v>0</v>
      </c>
      <c r="M172" s="55">
        <f t="shared" si="20"/>
        <v>0</v>
      </c>
      <c r="N172" s="55">
        <f t="shared" si="20"/>
        <v>0</v>
      </c>
      <c r="O172" s="55">
        <f t="shared" si="20"/>
        <v>0</v>
      </c>
    </row>
    <row r="173" spans="1:15" s="2" customFormat="1" x14ac:dyDescent="0.3">
      <c r="A173" s="53" t="s">
        <v>489</v>
      </c>
      <c r="B173" s="2" t="s">
        <v>518</v>
      </c>
      <c r="C173" s="55">
        <f>C158</f>
        <v>1.890266</v>
      </c>
      <c r="D173" s="55">
        <f>D158</f>
        <v>1.9382740000000001</v>
      </c>
      <c r="E173" s="55">
        <f t="shared" ref="E173:O173" si="21">E158</f>
        <v>2.0801340000000001</v>
      </c>
      <c r="F173" s="55">
        <f t="shared" si="21"/>
        <v>2.1601370000000002</v>
      </c>
      <c r="G173" s="55">
        <f t="shared" si="21"/>
        <v>2.1544310000000002</v>
      </c>
      <c r="H173" s="55">
        <f t="shared" si="21"/>
        <v>2.1543999999999999</v>
      </c>
      <c r="I173" s="55">
        <f t="shared" si="21"/>
        <v>0</v>
      </c>
      <c r="J173" s="55">
        <f t="shared" si="21"/>
        <v>0</v>
      </c>
      <c r="K173" s="55">
        <f t="shared" si="21"/>
        <v>0</v>
      </c>
      <c r="L173" s="55">
        <f t="shared" si="21"/>
        <v>0</v>
      </c>
      <c r="M173" s="55">
        <f t="shared" si="21"/>
        <v>0</v>
      </c>
      <c r="N173" s="55">
        <f t="shared" si="21"/>
        <v>0</v>
      </c>
      <c r="O173" s="55">
        <f t="shared" si="21"/>
        <v>0</v>
      </c>
    </row>
    <row r="174" spans="1:15" s="2" customFormat="1" x14ac:dyDescent="0.3">
      <c r="A174" s="53" t="s">
        <v>482</v>
      </c>
      <c r="B174" s="2" t="s">
        <v>519</v>
      </c>
      <c r="C174" s="3">
        <v>1.846592</v>
      </c>
      <c r="D174" s="2">
        <v>1.894601</v>
      </c>
      <c r="E174" s="2">
        <v>2.050535</v>
      </c>
      <c r="F174" s="2">
        <v>2.130538</v>
      </c>
      <c r="G174" s="2">
        <v>2.1305350000000001</v>
      </c>
      <c r="H174" s="3">
        <v>2.1305040000000002</v>
      </c>
      <c r="I174" s="3"/>
      <c r="J174" s="3"/>
      <c r="K174" s="3"/>
      <c r="L174" s="3"/>
      <c r="M174" s="3"/>
      <c r="N174" s="3"/>
      <c r="O174" s="3"/>
    </row>
    <row r="175" spans="1:15" s="2" customFormat="1" x14ac:dyDescent="0.3">
      <c r="A175" s="53" t="s">
        <v>483</v>
      </c>
      <c r="B175" s="2" t="s">
        <v>520</v>
      </c>
      <c r="C175" s="55">
        <f t="shared" ref="C175:O176" si="22">C145</f>
        <v>1.2064950000000001</v>
      </c>
      <c r="D175" s="55">
        <f t="shared" si="22"/>
        <v>1.2545040000000001</v>
      </c>
      <c r="E175" s="55">
        <f t="shared" si="22"/>
        <v>1.388458</v>
      </c>
      <c r="F175" s="55">
        <f t="shared" si="22"/>
        <v>1.468461</v>
      </c>
      <c r="G175" s="55">
        <f t="shared" si="22"/>
        <v>1.4389110000000001</v>
      </c>
      <c r="H175" s="55">
        <f t="shared" si="22"/>
        <v>1.4388799999999999</v>
      </c>
      <c r="I175" s="55">
        <f t="shared" si="22"/>
        <v>0</v>
      </c>
      <c r="J175" s="55">
        <f t="shared" si="22"/>
        <v>0</v>
      </c>
      <c r="K175" s="55">
        <f t="shared" si="22"/>
        <v>0</v>
      </c>
      <c r="L175" s="55">
        <f t="shared" si="22"/>
        <v>0</v>
      </c>
      <c r="M175" s="55">
        <f t="shared" si="22"/>
        <v>0</v>
      </c>
      <c r="N175" s="55">
        <f t="shared" si="22"/>
        <v>0</v>
      </c>
      <c r="O175" s="55">
        <f t="shared" si="22"/>
        <v>0</v>
      </c>
    </row>
    <row r="176" spans="1:15" s="2" customFormat="1" x14ac:dyDescent="0.3">
      <c r="A176" s="53" t="s">
        <v>484</v>
      </c>
      <c r="B176" s="2" t="s">
        <v>521</v>
      </c>
      <c r="C176" s="55">
        <f t="shared" si="22"/>
        <v>1.209967</v>
      </c>
      <c r="D176" s="55">
        <f t="shared" si="22"/>
        <v>1.257976</v>
      </c>
      <c r="E176" s="55">
        <f t="shared" si="22"/>
        <v>1.3897980000000001</v>
      </c>
      <c r="F176" s="55">
        <f t="shared" si="22"/>
        <v>1.4698009999999999</v>
      </c>
      <c r="G176" s="55">
        <f t="shared" si="22"/>
        <v>1.4402509999999999</v>
      </c>
      <c r="H176" s="55">
        <f t="shared" si="22"/>
        <v>1.4402200000000001</v>
      </c>
      <c r="I176" s="55">
        <f t="shared" si="22"/>
        <v>0</v>
      </c>
      <c r="J176" s="55">
        <f t="shared" si="22"/>
        <v>0</v>
      </c>
      <c r="K176" s="55">
        <f t="shared" si="22"/>
        <v>0</v>
      </c>
      <c r="L176" s="55">
        <f t="shared" si="22"/>
        <v>0</v>
      </c>
      <c r="M176" s="55">
        <f t="shared" si="22"/>
        <v>0</v>
      </c>
      <c r="N176" s="55">
        <f t="shared" si="22"/>
        <v>0</v>
      </c>
      <c r="O176" s="55">
        <f t="shared" si="22"/>
        <v>0</v>
      </c>
    </row>
    <row r="177" spans="1:15" s="2" customFormat="1" x14ac:dyDescent="0.3">
      <c r="A177" s="53" t="s">
        <v>485</v>
      </c>
      <c r="B177" s="2" t="s">
        <v>522</v>
      </c>
      <c r="C177" s="3">
        <v>1.2212080000000001</v>
      </c>
      <c r="D177" s="2">
        <v>1.269217</v>
      </c>
      <c r="E177" s="2">
        <v>1.2064280000000001</v>
      </c>
      <c r="F177" s="2">
        <v>1.2864310000000001</v>
      </c>
      <c r="G177" s="2">
        <v>1.4277660000000001</v>
      </c>
      <c r="H177" s="3">
        <v>1.427735</v>
      </c>
      <c r="I177" s="3"/>
      <c r="J177" s="3"/>
      <c r="K177" s="3"/>
      <c r="L177" s="3"/>
      <c r="M177" s="3"/>
      <c r="N177" s="3"/>
      <c r="O177" s="3"/>
    </row>
    <row r="178" spans="1:15" s="2" customFormat="1" x14ac:dyDescent="0.3">
      <c r="A178" s="53" t="s">
        <v>633</v>
      </c>
      <c r="B178" s="2" t="s">
        <v>614</v>
      </c>
      <c r="C178" s="55">
        <f t="shared" ref="C178:O181" si="23">C148</f>
        <v>1.206766</v>
      </c>
      <c r="D178" s="55">
        <f t="shared" si="23"/>
        <v>1.254775</v>
      </c>
      <c r="E178" s="55">
        <f t="shared" si="23"/>
        <v>1.3887499999999999</v>
      </c>
      <c r="F178" s="55">
        <f t="shared" si="23"/>
        <v>1.468753</v>
      </c>
      <c r="G178" s="55">
        <f t="shared" si="23"/>
        <v>1.439203</v>
      </c>
      <c r="H178" s="55">
        <f t="shared" si="23"/>
        <v>1.4391719999999999</v>
      </c>
      <c r="I178" s="55">
        <f t="shared" si="23"/>
        <v>0</v>
      </c>
      <c r="J178" s="55">
        <f t="shared" si="23"/>
        <v>0</v>
      </c>
      <c r="K178" s="55">
        <f t="shared" si="23"/>
        <v>0</v>
      </c>
      <c r="L178" s="55">
        <f t="shared" si="23"/>
        <v>0</v>
      </c>
      <c r="M178" s="55">
        <f t="shared" si="23"/>
        <v>0</v>
      </c>
      <c r="N178" s="55">
        <f t="shared" si="23"/>
        <v>0</v>
      </c>
      <c r="O178" s="55">
        <f t="shared" si="23"/>
        <v>0</v>
      </c>
    </row>
    <row r="179" spans="1:15" s="2" customFormat="1" x14ac:dyDescent="0.3">
      <c r="A179" s="53" t="s">
        <v>634</v>
      </c>
      <c r="B179" s="2" t="s">
        <v>615</v>
      </c>
      <c r="C179" s="55">
        <f t="shared" si="23"/>
        <v>1.206766</v>
      </c>
      <c r="D179" s="55">
        <f t="shared" si="23"/>
        <v>1.254775</v>
      </c>
      <c r="E179" s="55">
        <f t="shared" si="23"/>
        <v>1.3887499999999999</v>
      </c>
      <c r="F179" s="55">
        <f t="shared" si="23"/>
        <v>1.468753</v>
      </c>
      <c r="G179" s="55">
        <f t="shared" si="23"/>
        <v>1.439203</v>
      </c>
      <c r="H179" s="55">
        <f t="shared" si="23"/>
        <v>1.4391719999999999</v>
      </c>
      <c r="I179" s="55">
        <f t="shared" si="23"/>
        <v>0</v>
      </c>
      <c r="J179" s="55">
        <f t="shared" si="23"/>
        <v>0</v>
      </c>
      <c r="K179" s="55">
        <f t="shared" si="23"/>
        <v>0</v>
      </c>
      <c r="L179" s="55">
        <f t="shared" si="23"/>
        <v>0</v>
      </c>
      <c r="M179" s="55">
        <f t="shared" si="23"/>
        <v>0</v>
      </c>
      <c r="N179" s="55">
        <f t="shared" si="23"/>
        <v>0</v>
      </c>
      <c r="O179" s="55">
        <f t="shared" si="23"/>
        <v>0</v>
      </c>
    </row>
    <row r="180" spans="1:15" s="2" customFormat="1" x14ac:dyDescent="0.3">
      <c r="A180" s="53" t="s">
        <v>486</v>
      </c>
      <c r="B180" s="2" t="s">
        <v>524</v>
      </c>
      <c r="C180" s="55">
        <f t="shared" si="23"/>
        <v>1.0826960000000001</v>
      </c>
      <c r="D180" s="55">
        <f t="shared" si="23"/>
        <v>1.1307050000000001</v>
      </c>
      <c r="E180" s="55">
        <f t="shared" si="23"/>
        <v>1.244051</v>
      </c>
      <c r="F180" s="55">
        <f t="shared" si="23"/>
        <v>1.3240540000000001</v>
      </c>
      <c r="G180" s="55">
        <f t="shared" si="23"/>
        <v>1.2945040000000001</v>
      </c>
      <c r="H180" s="55">
        <f t="shared" si="23"/>
        <v>1.294473</v>
      </c>
      <c r="I180" s="55">
        <f t="shared" si="23"/>
        <v>0</v>
      </c>
      <c r="J180" s="55">
        <f t="shared" si="23"/>
        <v>0</v>
      </c>
      <c r="K180" s="55">
        <f t="shared" si="23"/>
        <v>0</v>
      </c>
      <c r="L180" s="55">
        <f t="shared" si="23"/>
        <v>0</v>
      </c>
      <c r="M180" s="55">
        <f t="shared" si="23"/>
        <v>0</v>
      </c>
      <c r="N180" s="55">
        <f t="shared" si="23"/>
        <v>0</v>
      </c>
      <c r="O180" s="55">
        <f t="shared" si="23"/>
        <v>0</v>
      </c>
    </row>
    <row r="181" spans="1:15" s="2" customFormat="1" x14ac:dyDescent="0.3">
      <c r="A181" s="8" t="s">
        <v>487</v>
      </c>
      <c r="B181" s="2" t="s">
        <v>525</v>
      </c>
      <c r="C181" s="55">
        <f t="shared" si="23"/>
        <v>1.084244</v>
      </c>
      <c r="D181" s="55">
        <f t="shared" si="23"/>
        <v>1.132253</v>
      </c>
      <c r="E181" s="55">
        <f t="shared" si="23"/>
        <v>1.244551</v>
      </c>
      <c r="F181" s="55">
        <f t="shared" si="23"/>
        <v>1.324554</v>
      </c>
      <c r="G181" s="55">
        <f t="shared" si="23"/>
        <v>1.295004</v>
      </c>
      <c r="H181" s="55">
        <f t="shared" si="23"/>
        <v>1.2949729999999999</v>
      </c>
      <c r="I181" s="55">
        <f t="shared" si="23"/>
        <v>0</v>
      </c>
      <c r="J181" s="55">
        <f t="shared" si="23"/>
        <v>0</v>
      </c>
      <c r="K181" s="55">
        <f t="shared" si="23"/>
        <v>0</v>
      </c>
      <c r="L181" s="55">
        <f t="shared" si="23"/>
        <v>0</v>
      </c>
      <c r="M181" s="55">
        <f t="shared" si="23"/>
        <v>0</v>
      </c>
      <c r="N181" s="55">
        <f t="shared" si="23"/>
        <v>0</v>
      </c>
      <c r="O181" s="55">
        <f t="shared" si="23"/>
        <v>0</v>
      </c>
    </row>
    <row r="182" spans="1:15" s="2" customFormat="1" x14ac:dyDescent="0.3">
      <c r="A182" s="8" t="s">
        <v>488</v>
      </c>
      <c r="B182" s="2" t="s">
        <v>526</v>
      </c>
      <c r="C182" s="3">
        <v>1.096473</v>
      </c>
      <c r="D182" s="2">
        <v>1.144482</v>
      </c>
      <c r="E182" s="2">
        <v>1.081693</v>
      </c>
      <c r="F182" s="2">
        <v>1.1616960000000001</v>
      </c>
      <c r="G182" s="2">
        <v>1.284654</v>
      </c>
      <c r="H182" s="3">
        <v>1.2846230000000001</v>
      </c>
      <c r="I182" s="3"/>
      <c r="J182" s="3"/>
      <c r="K182" s="3"/>
      <c r="L182" s="3"/>
      <c r="M182" s="3"/>
      <c r="N182" s="3"/>
      <c r="O182" s="3"/>
    </row>
    <row r="183" spans="1:15" s="2" customFormat="1" x14ac:dyDescent="0.3">
      <c r="A183" s="8" t="s">
        <v>635</v>
      </c>
      <c r="B183" s="2" t="s">
        <v>616</v>
      </c>
      <c r="C183" s="55">
        <f t="shared" ref="C183:O183" si="24">C153</f>
        <v>1.083707</v>
      </c>
      <c r="D183" s="55">
        <f t="shared" si="24"/>
        <v>1.1317159999999999</v>
      </c>
      <c r="E183" s="55">
        <f t="shared" si="24"/>
        <v>1.2449049999999999</v>
      </c>
      <c r="F183" s="55">
        <f t="shared" si="24"/>
        <v>1.324908</v>
      </c>
      <c r="G183" s="55">
        <f t="shared" si="24"/>
        <v>1.295358</v>
      </c>
      <c r="H183" s="55">
        <f t="shared" si="24"/>
        <v>1.2953269999999999</v>
      </c>
      <c r="I183" s="55">
        <f t="shared" si="24"/>
        <v>0</v>
      </c>
      <c r="J183" s="55">
        <f t="shared" si="24"/>
        <v>0</v>
      </c>
      <c r="K183" s="55">
        <f t="shared" si="24"/>
        <v>0</v>
      </c>
      <c r="L183" s="55">
        <f t="shared" si="24"/>
        <v>0</v>
      </c>
      <c r="M183" s="55">
        <f t="shared" si="24"/>
        <v>0</v>
      </c>
      <c r="N183" s="55">
        <f t="shared" si="24"/>
        <v>0</v>
      </c>
      <c r="O183" s="55">
        <f t="shared" si="24"/>
        <v>0</v>
      </c>
    </row>
    <row r="184" spans="1:15" s="2" customFormat="1" x14ac:dyDescent="0.3">
      <c r="A184" s="8" t="s">
        <v>636</v>
      </c>
      <c r="B184" s="2" t="s">
        <v>617</v>
      </c>
      <c r="C184" s="55">
        <f>C169</f>
        <v>1.083707</v>
      </c>
      <c r="D184" s="55">
        <f t="shared" ref="D184:O184" si="25">D169</f>
        <v>1.1317159999999999</v>
      </c>
      <c r="E184" s="55">
        <f t="shared" si="25"/>
        <v>1.2449049999999999</v>
      </c>
      <c r="F184" s="55">
        <f t="shared" si="25"/>
        <v>1.324908</v>
      </c>
      <c r="G184" s="55">
        <f t="shared" si="25"/>
        <v>1.295358</v>
      </c>
      <c r="H184" s="55">
        <f t="shared" si="25"/>
        <v>1.2953269999999999</v>
      </c>
      <c r="I184" s="55">
        <f t="shared" si="25"/>
        <v>0</v>
      </c>
      <c r="J184" s="55">
        <f t="shared" si="25"/>
        <v>0</v>
      </c>
      <c r="K184" s="55">
        <f t="shared" si="25"/>
        <v>0</v>
      </c>
      <c r="L184" s="55">
        <f t="shared" si="25"/>
        <v>0</v>
      </c>
      <c r="M184" s="55">
        <f t="shared" si="25"/>
        <v>0</v>
      </c>
      <c r="N184" s="55">
        <f t="shared" si="25"/>
        <v>0</v>
      </c>
      <c r="O184" s="55">
        <f t="shared" si="25"/>
        <v>0</v>
      </c>
    </row>
    <row r="185" spans="1:15" s="2" customFormat="1" x14ac:dyDescent="0.3"/>
    <row r="186" spans="1:15" s="2" customFormat="1" x14ac:dyDescent="0.3">
      <c r="A186" s="5" t="s">
        <v>528</v>
      </c>
      <c r="C186" s="83">
        <f>C$126</f>
        <v>44501</v>
      </c>
      <c r="D186" s="83">
        <f t="shared" ref="D186:K186" si="26">D$126</f>
        <v>44593</v>
      </c>
      <c r="E186" s="83">
        <f t="shared" si="26"/>
        <v>44682</v>
      </c>
      <c r="F186" s="83">
        <f t="shared" si="26"/>
        <v>44774</v>
      </c>
      <c r="G186" s="83">
        <f t="shared" si="26"/>
        <v>44866</v>
      </c>
      <c r="H186" s="83">
        <f t="shared" si="26"/>
        <v>44958</v>
      </c>
      <c r="I186" s="83">
        <f t="shared" si="26"/>
        <v>45047</v>
      </c>
      <c r="J186" s="83">
        <f t="shared" si="26"/>
        <v>45139</v>
      </c>
      <c r="K186" s="83">
        <f t="shared" si="26"/>
        <v>45231</v>
      </c>
    </row>
    <row r="187" spans="1:15" s="2" customFormat="1" x14ac:dyDescent="0.3">
      <c r="A187" s="53" t="s">
        <v>482</v>
      </c>
      <c r="B187" s="2" t="s">
        <v>673</v>
      </c>
      <c r="C187" s="3">
        <v>1.638395</v>
      </c>
      <c r="D187" s="2">
        <v>1.6864030000000001</v>
      </c>
      <c r="E187" s="2">
        <v>1.9143110000000001</v>
      </c>
      <c r="F187" s="2">
        <v>1.994313</v>
      </c>
      <c r="G187" s="3">
        <v>1.99431</v>
      </c>
      <c r="H187" s="3">
        <v>1.9942800000000001</v>
      </c>
      <c r="I187" s="3"/>
      <c r="J187" s="3"/>
      <c r="K187" s="3"/>
      <c r="L187" s="3"/>
      <c r="M187" s="3"/>
      <c r="N187" s="3"/>
      <c r="O187" s="3"/>
    </row>
    <row r="188" spans="1:15" s="2" customFormat="1" x14ac:dyDescent="0.3">
      <c r="A188" s="53" t="s">
        <v>485</v>
      </c>
      <c r="B188" s="2" t="s">
        <v>674</v>
      </c>
      <c r="C188" s="3">
        <v>0.96731800000000001</v>
      </c>
      <c r="D188" s="2">
        <v>1.0153270000000001</v>
      </c>
      <c r="E188" s="2">
        <v>0.952538</v>
      </c>
      <c r="F188" s="2">
        <v>1.0325409999999999</v>
      </c>
      <c r="G188" s="2">
        <v>1.2915410000000001</v>
      </c>
      <c r="H188" s="3">
        <v>1.2915099999999999</v>
      </c>
      <c r="I188" s="3"/>
      <c r="J188" s="3"/>
      <c r="K188" s="3"/>
      <c r="L188" s="3"/>
      <c r="M188" s="3"/>
      <c r="N188" s="3"/>
      <c r="O188" s="3"/>
    </row>
    <row r="189" spans="1:15" s="2" customFormat="1" x14ac:dyDescent="0.3">
      <c r="A189" s="8" t="s">
        <v>488</v>
      </c>
      <c r="B189" s="2" t="s">
        <v>676</v>
      </c>
      <c r="C189" s="3">
        <v>0.86988699999999997</v>
      </c>
      <c r="D189" s="2">
        <v>0.91789600000000005</v>
      </c>
      <c r="E189" s="2">
        <v>0.85510699999999995</v>
      </c>
      <c r="F189" s="3">
        <v>0.93511</v>
      </c>
      <c r="G189" s="2">
        <v>1.163079</v>
      </c>
      <c r="H189" s="3">
        <v>1.1630480000000001</v>
      </c>
      <c r="I189" s="3"/>
      <c r="J189" s="3"/>
      <c r="K189" s="3"/>
      <c r="L189" s="3"/>
      <c r="M189" s="3"/>
      <c r="N189" s="3"/>
      <c r="O189" s="3"/>
    </row>
    <row r="190" spans="1:15" s="2" customFormat="1" x14ac:dyDescent="0.3"/>
    <row r="191" spans="1:15" s="2" customFormat="1" x14ac:dyDescent="0.3">
      <c r="A191" s="5" t="s">
        <v>529</v>
      </c>
      <c r="B191" s="2" t="str">
        <f>B$1</f>
        <v>Elegir Trim.</v>
      </c>
      <c r="C191" s="83">
        <f>C$126</f>
        <v>44501</v>
      </c>
      <c r="D191" s="83">
        <f t="shared" ref="D191:K191" si="27">D$126</f>
        <v>44593</v>
      </c>
      <c r="E191" s="83">
        <f t="shared" si="27"/>
        <v>44682</v>
      </c>
      <c r="F191" s="83">
        <f t="shared" si="27"/>
        <v>44774</v>
      </c>
      <c r="G191" s="83">
        <f t="shared" si="27"/>
        <v>44866</v>
      </c>
      <c r="H191" s="83">
        <f t="shared" si="27"/>
        <v>44958</v>
      </c>
      <c r="I191" s="83">
        <f t="shared" si="27"/>
        <v>45047</v>
      </c>
      <c r="J191" s="83">
        <f t="shared" si="27"/>
        <v>45139</v>
      </c>
      <c r="K191" s="83">
        <f t="shared" si="27"/>
        <v>45231</v>
      </c>
    </row>
    <row r="192" spans="1:15" s="2" customFormat="1" x14ac:dyDescent="0.3">
      <c r="A192" s="53" t="s">
        <v>481</v>
      </c>
      <c r="B192" s="2" t="s">
        <v>530</v>
      </c>
      <c r="C192" s="55">
        <v>0</v>
      </c>
      <c r="D192" s="55">
        <v>0</v>
      </c>
      <c r="E192" s="55">
        <v>0</v>
      </c>
      <c r="F192" s="55">
        <v>0</v>
      </c>
      <c r="G192" s="55">
        <v>0</v>
      </c>
      <c r="H192" s="55">
        <v>0</v>
      </c>
      <c r="I192" s="55">
        <v>0</v>
      </c>
      <c r="J192" s="55">
        <v>0</v>
      </c>
      <c r="K192" s="55">
        <v>0</v>
      </c>
      <c r="L192" s="55">
        <v>0</v>
      </c>
      <c r="M192" s="55">
        <v>0</v>
      </c>
      <c r="N192" s="55">
        <v>0</v>
      </c>
      <c r="O192" s="55">
        <v>0</v>
      </c>
    </row>
    <row r="193" spans="1:15" s="2" customFormat="1" x14ac:dyDescent="0.3">
      <c r="A193" s="53" t="s">
        <v>489</v>
      </c>
      <c r="B193" s="2" t="s">
        <v>531</v>
      </c>
      <c r="C193" s="55">
        <v>0</v>
      </c>
      <c r="D193" s="55">
        <v>0</v>
      </c>
      <c r="E193" s="55">
        <v>0</v>
      </c>
      <c r="F193" s="55">
        <v>0</v>
      </c>
      <c r="G193" s="55">
        <v>0</v>
      </c>
      <c r="H193" s="55">
        <v>0</v>
      </c>
      <c r="I193" s="55">
        <v>0</v>
      </c>
      <c r="J193" s="55">
        <v>0</v>
      </c>
      <c r="K193" s="55">
        <v>0</v>
      </c>
      <c r="L193" s="55">
        <v>0</v>
      </c>
      <c r="M193" s="55">
        <v>0</v>
      </c>
      <c r="N193" s="55">
        <v>0</v>
      </c>
      <c r="O193" s="55">
        <v>0</v>
      </c>
    </row>
    <row r="194" spans="1:15" s="2" customFormat="1" x14ac:dyDescent="0.3">
      <c r="A194" s="53" t="s">
        <v>482</v>
      </c>
      <c r="B194" s="2" t="s">
        <v>532</v>
      </c>
      <c r="C194" s="55">
        <v>0</v>
      </c>
      <c r="D194" s="55">
        <v>0</v>
      </c>
      <c r="E194" s="55">
        <v>0</v>
      </c>
      <c r="F194" s="55">
        <v>0</v>
      </c>
      <c r="G194" s="55">
        <v>0</v>
      </c>
      <c r="H194" s="55">
        <v>0</v>
      </c>
      <c r="I194" s="55">
        <v>0</v>
      </c>
      <c r="J194" s="55">
        <v>0</v>
      </c>
      <c r="K194" s="55">
        <v>0</v>
      </c>
      <c r="L194" s="55">
        <v>0</v>
      </c>
      <c r="M194" s="55">
        <v>0</v>
      </c>
      <c r="N194" s="55">
        <v>0</v>
      </c>
      <c r="O194" s="55">
        <v>0</v>
      </c>
    </row>
    <row r="195" spans="1:15" s="2" customFormat="1" x14ac:dyDescent="0.3">
      <c r="A195" s="53" t="s">
        <v>483</v>
      </c>
      <c r="B195" s="2" t="s">
        <v>533</v>
      </c>
      <c r="C195" s="3">
        <v>42.748648000000003</v>
      </c>
      <c r="D195" s="2">
        <v>42.748648000000003</v>
      </c>
      <c r="E195" s="2">
        <v>42.748885000000001</v>
      </c>
      <c r="F195" s="2">
        <v>42.748885000000001</v>
      </c>
      <c r="G195" s="2">
        <v>42.748885000000001</v>
      </c>
      <c r="H195" s="3">
        <v>42.748885000000001</v>
      </c>
      <c r="I195" s="3"/>
      <c r="J195" s="3"/>
      <c r="K195" s="3"/>
      <c r="L195" s="3"/>
      <c r="M195" s="3"/>
      <c r="N195" s="3"/>
      <c r="O195" s="3"/>
    </row>
    <row r="196" spans="1:15" s="2" customFormat="1" x14ac:dyDescent="0.3">
      <c r="A196" s="53" t="s">
        <v>484</v>
      </c>
      <c r="B196" s="2" t="s">
        <v>534</v>
      </c>
      <c r="C196" s="3">
        <v>25.985327000000002</v>
      </c>
      <c r="D196" s="2">
        <v>25.985327000000002</v>
      </c>
      <c r="E196" s="2">
        <v>25.985471</v>
      </c>
      <c r="F196" s="2">
        <v>25.985471</v>
      </c>
      <c r="G196" s="2">
        <v>25.985471</v>
      </c>
      <c r="H196" s="3">
        <v>25.985471</v>
      </c>
      <c r="I196" s="3"/>
      <c r="J196" s="3"/>
      <c r="K196" s="3"/>
      <c r="L196" s="3"/>
      <c r="M196" s="3"/>
      <c r="N196" s="3"/>
      <c r="O196" s="3"/>
    </row>
    <row r="197" spans="1:15" s="2" customFormat="1" x14ac:dyDescent="0.3">
      <c r="A197" s="53" t="s">
        <v>485</v>
      </c>
      <c r="B197" s="2" t="s">
        <v>535</v>
      </c>
      <c r="C197" s="3">
        <v>49.230023000000003</v>
      </c>
      <c r="D197" s="2">
        <v>49.230023000000003</v>
      </c>
      <c r="E197" s="2">
        <v>49.230297</v>
      </c>
      <c r="F197" s="2">
        <v>49.230297</v>
      </c>
      <c r="G197" s="2">
        <v>49.230297</v>
      </c>
      <c r="H197" s="3">
        <v>49.230297</v>
      </c>
      <c r="I197" s="3"/>
      <c r="J197" s="3"/>
      <c r="K197" s="3"/>
      <c r="L197" s="3"/>
      <c r="M197" s="3"/>
      <c r="N197" s="3"/>
      <c r="O197" s="3"/>
    </row>
    <row r="198" spans="1:15" s="2" customFormat="1" x14ac:dyDescent="0.3">
      <c r="A198" s="53" t="s">
        <v>633</v>
      </c>
      <c r="B198" s="2" t="s">
        <v>618</v>
      </c>
      <c r="C198" s="3">
        <v>61.287567000000003</v>
      </c>
      <c r="D198" s="2">
        <v>61.287567000000003</v>
      </c>
      <c r="E198" s="2">
        <v>61.287906999999997</v>
      </c>
      <c r="F198" s="2">
        <v>61.287906999999997</v>
      </c>
      <c r="G198" s="2">
        <v>61.287906999999997</v>
      </c>
      <c r="H198" s="3">
        <v>61.287906999999997</v>
      </c>
      <c r="I198" s="3"/>
      <c r="J198" s="3"/>
      <c r="K198" s="3"/>
      <c r="L198" s="3"/>
      <c r="M198" s="3"/>
      <c r="N198" s="3"/>
      <c r="O198" s="3"/>
    </row>
    <row r="199" spans="1:15" s="2" customFormat="1" x14ac:dyDescent="0.3">
      <c r="A199" s="53" t="s">
        <v>634</v>
      </c>
      <c r="B199" s="2" t="s">
        <v>619</v>
      </c>
      <c r="C199" s="3">
        <v>44.533534000000003</v>
      </c>
      <c r="D199" s="2">
        <v>44.533534000000003</v>
      </c>
      <c r="E199" s="2">
        <v>44.533780999999998</v>
      </c>
      <c r="F199" s="2">
        <v>44.533780999999998</v>
      </c>
      <c r="G199" s="2">
        <v>44.533780999999998</v>
      </c>
      <c r="H199" s="3">
        <v>44.533780999999998</v>
      </c>
      <c r="I199" s="3"/>
      <c r="J199" s="3"/>
      <c r="K199" s="3"/>
      <c r="L199" s="3"/>
      <c r="M199" s="3"/>
      <c r="N199" s="3"/>
      <c r="O199" s="3"/>
    </row>
    <row r="200" spans="1:15" s="2" customFormat="1" x14ac:dyDescent="0.3">
      <c r="A200" s="53" t="s">
        <v>486</v>
      </c>
      <c r="B200" s="2" t="s">
        <v>537</v>
      </c>
      <c r="C200" s="3">
        <v>45.678330000000003</v>
      </c>
      <c r="D200" s="3">
        <v>45.678330000000003</v>
      </c>
      <c r="E200" s="2">
        <v>45.678584000000001</v>
      </c>
      <c r="F200" s="2">
        <v>45.678584000000001</v>
      </c>
      <c r="G200" s="2">
        <v>45.678584000000001</v>
      </c>
      <c r="H200" s="3">
        <v>45.678584000000001</v>
      </c>
      <c r="I200" s="3"/>
      <c r="J200" s="3"/>
      <c r="K200" s="3"/>
      <c r="L200" s="3"/>
      <c r="M200" s="3"/>
      <c r="N200" s="3"/>
      <c r="O200" s="3"/>
    </row>
    <row r="201" spans="1:15" s="2" customFormat="1" x14ac:dyDescent="0.3">
      <c r="A201" s="8" t="s">
        <v>487</v>
      </c>
      <c r="B201" s="2" t="s">
        <v>538</v>
      </c>
      <c r="C201" s="3">
        <v>36.724189000000003</v>
      </c>
      <c r="D201" s="3">
        <v>36.724189000000003</v>
      </c>
      <c r="E201" s="2">
        <v>36.724392999999999</v>
      </c>
      <c r="F201" s="2">
        <v>36.724392999999999</v>
      </c>
      <c r="G201" s="2">
        <v>36.724392999999999</v>
      </c>
      <c r="H201" s="3">
        <v>36.724392999999999</v>
      </c>
      <c r="I201" s="3"/>
      <c r="J201" s="3"/>
      <c r="K201" s="3"/>
      <c r="L201" s="3"/>
      <c r="M201" s="3"/>
      <c r="N201" s="3"/>
      <c r="O201" s="3"/>
    </row>
    <row r="202" spans="1:15" s="2" customFormat="1" x14ac:dyDescent="0.3">
      <c r="A202" s="8" t="s">
        <v>488</v>
      </c>
      <c r="B202" s="2" t="s">
        <v>539</v>
      </c>
      <c r="C202" s="3">
        <v>52.603892000000002</v>
      </c>
      <c r="D202" s="3">
        <v>52.603892000000002</v>
      </c>
      <c r="E202" s="2">
        <v>52.604183999999997</v>
      </c>
      <c r="F202" s="2">
        <v>52.604183999999997</v>
      </c>
      <c r="G202" s="2">
        <v>52.604183999999997</v>
      </c>
      <c r="H202" s="3">
        <v>52.604183999999997</v>
      </c>
      <c r="I202" s="3"/>
      <c r="J202" s="3"/>
      <c r="K202" s="3"/>
      <c r="L202" s="3"/>
      <c r="M202" s="3"/>
      <c r="N202" s="3"/>
      <c r="O202" s="3"/>
    </row>
    <row r="203" spans="1:15" s="2" customFormat="1" x14ac:dyDescent="0.3">
      <c r="A203" s="8" t="s">
        <v>635</v>
      </c>
      <c r="B203" s="2" t="s">
        <v>620</v>
      </c>
      <c r="C203" s="3">
        <v>44.592804000000001</v>
      </c>
      <c r="D203" s="3">
        <v>44.592804000000001</v>
      </c>
      <c r="E203" s="2">
        <v>44.593051000000003</v>
      </c>
      <c r="F203" s="2">
        <v>44.593051000000003</v>
      </c>
      <c r="G203" s="2">
        <v>44.593051000000003</v>
      </c>
      <c r="H203" s="3">
        <v>44.593051000000003</v>
      </c>
      <c r="I203" s="3"/>
      <c r="J203" s="3"/>
      <c r="K203" s="3"/>
      <c r="L203" s="3"/>
      <c r="M203" s="3"/>
      <c r="N203" s="3"/>
      <c r="O203" s="3"/>
    </row>
    <row r="204" spans="1:15" s="2" customFormat="1" x14ac:dyDescent="0.3">
      <c r="A204" s="8" t="s">
        <v>636</v>
      </c>
      <c r="B204" s="2" t="s">
        <v>621</v>
      </c>
      <c r="C204" s="3">
        <v>35.813248000000002</v>
      </c>
      <c r="D204" s="3">
        <v>35.813248000000002</v>
      </c>
      <c r="E204" s="2">
        <v>35.813446999999996</v>
      </c>
      <c r="F204" s="2">
        <v>35.813446999999996</v>
      </c>
      <c r="G204" s="2">
        <v>35.813446999999996</v>
      </c>
      <c r="H204" s="3">
        <v>35.813446999999996</v>
      </c>
      <c r="I204" s="3"/>
      <c r="J204" s="3"/>
      <c r="K204" s="3"/>
      <c r="L204" s="3"/>
      <c r="M204" s="3"/>
      <c r="N204" s="3"/>
      <c r="O204" s="3"/>
    </row>
    <row r="205" spans="1:15" s="2" customFormat="1" x14ac:dyDescent="0.3"/>
    <row r="206" spans="1:15" s="2" customFormat="1" x14ac:dyDescent="0.3">
      <c r="A206" s="5" t="s">
        <v>541</v>
      </c>
      <c r="B206" s="2" t="str">
        <f>B$1</f>
        <v>Elegir Trim.</v>
      </c>
      <c r="C206" s="83">
        <f>C$126</f>
        <v>44501</v>
      </c>
      <c r="D206" s="83">
        <f t="shared" ref="D206:K206" si="28">D$126</f>
        <v>44593</v>
      </c>
      <c r="E206" s="83">
        <f t="shared" si="28"/>
        <v>44682</v>
      </c>
      <c r="F206" s="83">
        <f t="shared" si="28"/>
        <v>44774</v>
      </c>
      <c r="G206" s="83">
        <f t="shared" si="28"/>
        <v>44866</v>
      </c>
      <c r="H206" s="83">
        <f t="shared" si="28"/>
        <v>44958</v>
      </c>
      <c r="I206" s="83">
        <f t="shared" si="28"/>
        <v>45047</v>
      </c>
      <c r="J206" s="83">
        <f t="shared" si="28"/>
        <v>45139</v>
      </c>
      <c r="K206" s="83">
        <f t="shared" si="28"/>
        <v>45231</v>
      </c>
    </row>
    <row r="207" spans="1:15" s="2" customFormat="1" x14ac:dyDescent="0.3">
      <c r="A207" s="53" t="s">
        <v>481</v>
      </c>
      <c r="B207" s="2" t="s">
        <v>542</v>
      </c>
      <c r="C207" s="55">
        <v>0</v>
      </c>
      <c r="D207" s="55">
        <v>0</v>
      </c>
      <c r="E207" s="55">
        <v>0</v>
      </c>
      <c r="F207" s="55">
        <v>0</v>
      </c>
      <c r="G207" s="55">
        <v>0</v>
      </c>
      <c r="H207" s="55">
        <v>0</v>
      </c>
      <c r="I207" s="55">
        <v>0</v>
      </c>
      <c r="J207" s="55">
        <v>0</v>
      </c>
      <c r="K207" s="55">
        <v>0</v>
      </c>
      <c r="L207" s="55">
        <v>0</v>
      </c>
      <c r="M207" s="55">
        <v>0</v>
      </c>
      <c r="N207" s="55">
        <v>0</v>
      </c>
      <c r="O207" s="55">
        <v>0</v>
      </c>
    </row>
    <row r="208" spans="1:15" s="2" customFormat="1" x14ac:dyDescent="0.3">
      <c r="A208" s="53" t="s">
        <v>489</v>
      </c>
      <c r="B208" s="2" t="s">
        <v>543</v>
      </c>
      <c r="C208" s="55">
        <v>0</v>
      </c>
      <c r="D208" s="55">
        <v>0</v>
      </c>
      <c r="E208" s="55">
        <v>0</v>
      </c>
      <c r="F208" s="55">
        <v>0</v>
      </c>
      <c r="G208" s="55">
        <v>0</v>
      </c>
      <c r="H208" s="55">
        <v>0</v>
      </c>
      <c r="I208" s="55">
        <v>0</v>
      </c>
      <c r="J208" s="55">
        <v>0</v>
      </c>
      <c r="K208" s="55">
        <v>0</v>
      </c>
      <c r="L208" s="55">
        <v>0</v>
      </c>
      <c r="M208" s="55">
        <v>0</v>
      </c>
      <c r="N208" s="55">
        <v>0</v>
      </c>
      <c r="O208" s="55">
        <v>0</v>
      </c>
    </row>
    <row r="209" spans="1:15" s="2" customFormat="1" x14ac:dyDescent="0.3">
      <c r="A209" s="53" t="s">
        <v>482</v>
      </c>
      <c r="B209" s="2" t="s">
        <v>544</v>
      </c>
      <c r="C209" s="55">
        <v>0</v>
      </c>
      <c r="D209" s="55">
        <v>0</v>
      </c>
      <c r="E209" s="55">
        <v>0</v>
      </c>
      <c r="F209" s="55">
        <v>0</v>
      </c>
      <c r="G209" s="55">
        <v>0</v>
      </c>
      <c r="H209" s="55">
        <v>0</v>
      </c>
      <c r="I209" s="55">
        <v>0</v>
      </c>
      <c r="J209" s="55">
        <v>0</v>
      </c>
      <c r="K209" s="55">
        <v>0</v>
      </c>
      <c r="L209" s="55">
        <v>0</v>
      </c>
      <c r="M209" s="55">
        <v>0</v>
      </c>
      <c r="N209" s="55">
        <v>0</v>
      </c>
      <c r="O209" s="55">
        <v>0</v>
      </c>
    </row>
    <row r="210" spans="1:15" s="2" customFormat="1" x14ac:dyDescent="0.3">
      <c r="A210" s="53" t="s">
        <v>483</v>
      </c>
      <c r="B210" s="2" t="s">
        <v>545</v>
      </c>
      <c r="C210" s="3">
        <v>75.815749999999994</v>
      </c>
      <c r="D210" s="3">
        <v>75.815749999999994</v>
      </c>
      <c r="E210" s="2">
        <v>76.778678999999997</v>
      </c>
      <c r="F210" s="2">
        <v>76.778678999999997</v>
      </c>
      <c r="G210" s="3">
        <v>80.148452000000006</v>
      </c>
      <c r="H210" s="3">
        <v>80.148452000000006</v>
      </c>
      <c r="I210" s="3"/>
      <c r="J210" s="3"/>
      <c r="K210" s="3"/>
      <c r="L210" s="3"/>
      <c r="M210" s="3"/>
      <c r="N210" s="3"/>
      <c r="O210" s="3"/>
    </row>
    <row r="211" spans="1:15" s="2" customFormat="1" x14ac:dyDescent="0.3">
      <c r="A211" s="53" t="s">
        <v>484</v>
      </c>
      <c r="B211" s="2" t="s">
        <v>546</v>
      </c>
      <c r="C211" s="3">
        <v>65.131540000000001</v>
      </c>
      <c r="D211" s="3">
        <v>65.131540000000001</v>
      </c>
      <c r="E211" s="3">
        <v>65.958770000000001</v>
      </c>
      <c r="F211" s="3">
        <v>65.958770000000001</v>
      </c>
      <c r="G211" s="3">
        <v>68.853663999999995</v>
      </c>
      <c r="H211" s="3">
        <v>68.853663999999995</v>
      </c>
      <c r="I211" s="3"/>
      <c r="J211" s="3"/>
      <c r="K211" s="3"/>
      <c r="L211" s="3"/>
      <c r="M211" s="3"/>
      <c r="N211" s="3"/>
      <c r="O211" s="3"/>
    </row>
    <row r="212" spans="1:15" s="2" customFormat="1" x14ac:dyDescent="0.3">
      <c r="A212" s="53" t="s">
        <v>485</v>
      </c>
      <c r="B212" s="2" t="s">
        <v>547</v>
      </c>
      <c r="C212" s="3">
        <v>113.197513</v>
      </c>
      <c r="D212" s="2">
        <v>113.197513</v>
      </c>
      <c r="E212" s="3">
        <v>114.633376</v>
      </c>
      <c r="F212" s="2">
        <v>114.633376</v>
      </c>
      <c r="G212" s="3">
        <v>119.671244</v>
      </c>
      <c r="H212" s="3">
        <v>119.671244</v>
      </c>
      <c r="I212" s="3"/>
      <c r="J212" s="3"/>
      <c r="K212" s="3"/>
      <c r="L212" s="3"/>
      <c r="M212" s="3"/>
      <c r="N212" s="3"/>
      <c r="O212" s="3"/>
    </row>
    <row r="213" spans="1:15" s="2" customFormat="1" x14ac:dyDescent="0.3">
      <c r="A213" s="53" t="s">
        <v>633</v>
      </c>
      <c r="B213" s="2" t="s">
        <v>622</v>
      </c>
      <c r="C213" s="3">
        <v>75.50779</v>
      </c>
      <c r="D213" s="3">
        <v>75.50779</v>
      </c>
      <c r="E213" s="3">
        <v>76.466807000000003</v>
      </c>
      <c r="F213" s="2">
        <v>76.466807000000003</v>
      </c>
      <c r="G213" s="3">
        <v>79.822892999999993</v>
      </c>
      <c r="H213" s="3">
        <v>79.822892999999993</v>
      </c>
      <c r="I213" s="3"/>
      <c r="J213" s="3"/>
      <c r="K213" s="3"/>
      <c r="L213" s="3"/>
      <c r="M213" s="3"/>
      <c r="N213" s="3"/>
      <c r="O213" s="3"/>
    </row>
    <row r="214" spans="1:15" s="2" customFormat="1" x14ac:dyDescent="0.3">
      <c r="A214" s="53" t="s">
        <v>634</v>
      </c>
      <c r="B214" s="2" t="s">
        <v>623</v>
      </c>
      <c r="C214" s="3">
        <v>66.318151999999998</v>
      </c>
      <c r="D214" s="2">
        <v>66.318151999999998</v>
      </c>
      <c r="E214" s="3">
        <v>67.160452000000006</v>
      </c>
      <c r="F214" s="2">
        <v>67.160452000000006</v>
      </c>
      <c r="G214" s="3">
        <v>70.108086999999998</v>
      </c>
      <c r="H214" s="3">
        <v>70.108086999999998</v>
      </c>
      <c r="I214" s="3"/>
      <c r="J214" s="3"/>
      <c r="K214" s="3"/>
      <c r="L214" s="3"/>
      <c r="M214" s="3"/>
      <c r="N214" s="3"/>
      <c r="O214" s="3"/>
    </row>
    <row r="215" spans="1:15" s="2" customFormat="1" x14ac:dyDescent="0.3">
      <c r="A215" s="53" t="s">
        <v>486</v>
      </c>
      <c r="B215" s="2" t="s">
        <v>549</v>
      </c>
      <c r="C215" s="3">
        <v>53.993067000000003</v>
      </c>
      <c r="D215" s="2">
        <v>51.485754</v>
      </c>
      <c r="E215" s="3">
        <v>54.591132000000002</v>
      </c>
      <c r="F215" s="2">
        <v>54.691132000000003</v>
      </c>
      <c r="G215" s="3">
        <v>57.047055</v>
      </c>
      <c r="H215" s="3">
        <v>57.047055</v>
      </c>
      <c r="I215" s="3"/>
      <c r="J215" s="3"/>
      <c r="K215" s="3"/>
      <c r="L215" s="3"/>
      <c r="M215" s="3"/>
      <c r="N215" s="3"/>
      <c r="O215" s="3"/>
    </row>
    <row r="216" spans="1:15" s="2" customFormat="1" x14ac:dyDescent="0.3">
      <c r="A216" s="8" t="s">
        <v>487</v>
      </c>
      <c r="B216" s="2" t="s">
        <v>550</v>
      </c>
      <c r="C216" s="3">
        <v>46.313037000000001</v>
      </c>
      <c r="D216" s="3">
        <v>46.313037000000001</v>
      </c>
      <c r="E216" s="3">
        <v>46.911808000000001</v>
      </c>
      <c r="F216" s="2">
        <v>46.911808000000001</v>
      </c>
      <c r="G216" s="3">
        <v>48.932622000000002</v>
      </c>
      <c r="H216" s="3">
        <v>48.932622000000002</v>
      </c>
      <c r="I216" s="3"/>
      <c r="J216" s="3"/>
      <c r="K216" s="3"/>
      <c r="L216" s="3"/>
      <c r="M216" s="3"/>
      <c r="N216" s="3"/>
      <c r="O216" s="3"/>
    </row>
    <row r="217" spans="1:15" s="2" customFormat="1" x14ac:dyDescent="0.3">
      <c r="A217" s="8" t="s">
        <v>488</v>
      </c>
      <c r="B217" s="2" t="s">
        <v>551</v>
      </c>
      <c r="C217" s="3">
        <v>50.816988000000002</v>
      </c>
      <c r="D217" s="3">
        <v>50.816988000000002</v>
      </c>
      <c r="E217" s="3">
        <v>51.473990000000001</v>
      </c>
      <c r="F217" s="3">
        <v>51.473990000000001</v>
      </c>
      <c r="G217" s="3">
        <v>53.691329000000003</v>
      </c>
      <c r="H217" s="3">
        <v>53.691329000000003</v>
      </c>
      <c r="I217" s="3"/>
      <c r="J217" s="3"/>
      <c r="K217" s="3"/>
      <c r="L217" s="3"/>
      <c r="M217" s="3"/>
      <c r="N217" s="3"/>
      <c r="O217" s="3"/>
    </row>
    <row r="218" spans="1:15" s="2" customFormat="1" x14ac:dyDescent="0.3">
      <c r="A218" s="8" t="s">
        <v>635</v>
      </c>
      <c r="B218" s="2" t="s">
        <v>624</v>
      </c>
      <c r="C218" s="3">
        <v>54.540826000000003</v>
      </c>
      <c r="D218" s="3">
        <v>54.540826000000003</v>
      </c>
      <c r="E218" s="3">
        <v>55.245972999999999</v>
      </c>
      <c r="F218" s="3">
        <v>55.245972999999999</v>
      </c>
      <c r="G218" s="3">
        <v>57.625796999999999</v>
      </c>
      <c r="H218" s="3">
        <v>57.625796999999999</v>
      </c>
      <c r="I218" s="3"/>
      <c r="J218" s="3"/>
      <c r="K218" s="3"/>
      <c r="L218" s="3"/>
      <c r="M218" s="3"/>
      <c r="N218" s="3"/>
      <c r="O218" s="3"/>
    </row>
    <row r="219" spans="1:15" s="2" customFormat="1" x14ac:dyDescent="0.3">
      <c r="A219" s="8" t="s">
        <v>636</v>
      </c>
      <c r="B219" s="2" t="s">
        <v>625</v>
      </c>
      <c r="C219" s="3">
        <v>46.313037000000001</v>
      </c>
      <c r="D219" s="3">
        <v>46.313037000000001</v>
      </c>
      <c r="E219" s="3">
        <v>46.911808000000001</v>
      </c>
      <c r="F219" s="3">
        <v>46.911808000000001</v>
      </c>
      <c r="G219" s="3">
        <v>48.932622000000002</v>
      </c>
      <c r="H219" s="3">
        <v>48.932622000000002</v>
      </c>
      <c r="I219" s="3"/>
      <c r="J219" s="3"/>
      <c r="K219" s="3"/>
      <c r="L219" s="3"/>
      <c r="M219" s="3"/>
      <c r="N219" s="3"/>
      <c r="O219" s="3"/>
    </row>
    <row r="220" spans="1:15" s="2" customFormat="1" x14ac:dyDescent="0.3"/>
    <row r="221" spans="1:15" s="2" customFormat="1" x14ac:dyDescent="0.3">
      <c r="B221" s="56" t="s">
        <v>553</v>
      </c>
      <c r="C221" s="57">
        <v>1.9907710000000001</v>
      </c>
      <c r="D221" s="57">
        <v>2.03878</v>
      </c>
      <c r="E221" s="57">
        <v>2.186296</v>
      </c>
      <c r="F221" s="57">
        <v>2.2662990000000001</v>
      </c>
      <c r="G221" s="57">
        <v>2.2642820000000001</v>
      </c>
      <c r="H221" s="3">
        <v>2.2642509999999998</v>
      </c>
      <c r="I221" s="3"/>
      <c r="J221" s="3"/>
      <c r="K221" s="3"/>
      <c r="L221" s="3"/>
      <c r="M221" s="3"/>
      <c r="N221" s="3"/>
      <c r="O221" s="3"/>
    </row>
    <row r="222" spans="1:15" s="2" customFormat="1" x14ac:dyDescent="0.3">
      <c r="B222" s="58" t="s">
        <v>554</v>
      </c>
      <c r="C222" s="59">
        <v>9.5988900000000005E-3</v>
      </c>
      <c r="D222" s="59">
        <v>9.5063200000000004E-3</v>
      </c>
      <c r="E222" s="59">
        <v>9.4362000000000005E-3</v>
      </c>
      <c r="F222" s="59">
        <v>9.4512299999999997E-3</v>
      </c>
      <c r="G222" s="59">
        <v>9.4737699999999994E-3</v>
      </c>
      <c r="H222" s="59">
        <v>9.3635200000000002E-3</v>
      </c>
      <c r="I222" s="59"/>
      <c r="J222" s="59"/>
      <c r="K222" s="59"/>
      <c r="L222" s="59"/>
      <c r="M222" s="59"/>
      <c r="N222" s="59"/>
      <c r="O222" s="59"/>
    </row>
    <row r="223" spans="1:15" s="2" customFormat="1" x14ac:dyDescent="0.3">
      <c r="B223" s="58"/>
      <c r="C223" s="59"/>
      <c r="D223" s="59"/>
      <c r="E223" s="59"/>
      <c r="F223" s="59"/>
      <c r="G223" s="59"/>
      <c r="H223" s="59"/>
      <c r="I223" s="59"/>
      <c r="J223" s="59"/>
      <c r="K223" s="59"/>
    </row>
    <row r="224" spans="1:15" x14ac:dyDescent="0.3">
      <c r="B224" s="60"/>
      <c r="C224" s="61" t="s">
        <v>555</v>
      </c>
      <c r="D224" s="61" t="s">
        <v>556</v>
      </c>
      <c r="E224" s="61" t="s">
        <v>557</v>
      </c>
      <c r="F224" s="61" t="s">
        <v>463</v>
      </c>
      <c r="G224" s="2"/>
      <c r="H224" s="2"/>
      <c r="I224" s="2"/>
    </row>
    <row r="225" spans="2:9" x14ac:dyDescent="0.3">
      <c r="B225" s="61" t="s">
        <v>558</v>
      </c>
      <c r="C225" s="62"/>
      <c r="D225" s="62"/>
      <c r="E225" s="62"/>
      <c r="F225" s="62">
        <f t="shared" ref="F225:F232" si="29">SUM(C225:E225)</f>
        <v>0</v>
      </c>
      <c r="G225" s="2"/>
      <c r="H225" s="2"/>
      <c r="I225" s="2"/>
    </row>
    <row r="226" spans="2:9" x14ac:dyDescent="0.3">
      <c r="B226" s="61" t="s">
        <v>559</v>
      </c>
      <c r="C226" s="62"/>
      <c r="D226" s="62"/>
      <c r="E226" s="62"/>
      <c r="F226" s="62">
        <f t="shared" si="29"/>
        <v>0</v>
      </c>
      <c r="G226" s="2"/>
      <c r="H226" s="2"/>
      <c r="I226" s="2"/>
    </row>
    <row r="227" spans="2:9" x14ac:dyDescent="0.3">
      <c r="B227" s="61" t="s">
        <v>560</v>
      </c>
      <c r="C227" s="62"/>
      <c r="D227" s="62"/>
      <c r="E227" s="62"/>
      <c r="F227" s="62">
        <f t="shared" si="29"/>
        <v>0</v>
      </c>
      <c r="G227" s="2"/>
      <c r="H227" s="2"/>
      <c r="I227" s="2"/>
    </row>
    <row r="228" spans="2:9" x14ac:dyDescent="0.3">
      <c r="B228" s="61" t="s">
        <v>561</v>
      </c>
      <c r="C228" s="62"/>
      <c r="D228" s="62"/>
      <c r="E228" s="62"/>
      <c r="F228" s="62">
        <f t="shared" si="29"/>
        <v>0</v>
      </c>
      <c r="G228" s="2"/>
      <c r="H228" s="2"/>
      <c r="I228" s="2"/>
    </row>
    <row r="229" spans="2:9" x14ac:dyDescent="0.3">
      <c r="B229" s="61" t="s">
        <v>562</v>
      </c>
      <c r="C229" s="62"/>
      <c r="D229" s="62"/>
      <c r="E229" s="62"/>
      <c r="F229" s="62">
        <f t="shared" si="29"/>
        <v>0</v>
      </c>
      <c r="G229" s="2"/>
      <c r="H229" s="2"/>
      <c r="I229" s="2"/>
    </row>
    <row r="230" spans="2:9" x14ac:dyDescent="0.3">
      <c r="B230" s="61" t="s">
        <v>563</v>
      </c>
      <c r="C230" s="62"/>
      <c r="D230" s="62"/>
      <c r="E230" s="62"/>
      <c r="F230" s="62">
        <f t="shared" si="29"/>
        <v>0</v>
      </c>
      <c r="G230" s="2"/>
      <c r="H230" s="2"/>
      <c r="I230" s="2"/>
    </row>
    <row r="231" spans="2:9" x14ac:dyDescent="0.3">
      <c r="B231" s="61" t="s">
        <v>564</v>
      </c>
      <c r="C231" s="72"/>
      <c r="D231" s="72"/>
      <c r="E231" s="72"/>
      <c r="F231" s="62">
        <f t="shared" si="29"/>
        <v>0</v>
      </c>
      <c r="G231" s="2"/>
      <c r="H231" s="2"/>
      <c r="I231" s="2"/>
    </row>
    <row r="232" spans="2:9" x14ac:dyDescent="0.3">
      <c r="B232" s="61" t="s">
        <v>565</v>
      </c>
      <c r="C232" s="72"/>
      <c r="D232" s="72"/>
      <c r="E232" s="72"/>
      <c r="F232" s="62">
        <f t="shared" si="29"/>
        <v>0</v>
      </c>
      <c r="G232" s="2"/>
      <c r="H232" s="2"/>
      <c r="I232" s="2"/>
    </row>
    <row r="233" spans="2:9" x14ac:dyDescent="0.3">
      <c r="B233" s="2"/>
      <c r="C233" s="2"/>
      <c r="D233" s="2"/>
      <c r="E233" s="2"/>
      <c r="F233" s="2"/>
      <c r="G233" s="2"/>
      <c r="H233" s="2"/>
      <c r="I233" s="2"/>
    </row>
    <row r="234" spans="2:9" x14ac:dyDescent="0.3">
      <c r="B234" s="61" t="s">
        <v>566</v>
      </c>
      <c r="C234" s="61" t="s">
        <v>567</v>
      </c>
      <c r="D234" s="61" t="s">
        <v>568</v>
      </c>
      <c r="E234" s="61" t="s">
        <v>569</v>
      </c>
      <c r="F234" s="61" t="s">
        <v>570</v>
      </c>
      <c r="G234" s="61" t="s">
        <v>571</v>
      </c>
      <c r="H234" s="61" t="s">
        <v>572</v>
      </c>
      <c r="I234" s="61" t="s">
        <v>573</v>
      </c>
    </row>
    <row r="235" spans="2:9" x14ac:dyDescent="0.3">
      <c r="B235" s="63" t="s">
        <v>558</v>
      </c>
      <c r="C235" s="64"/>
      <c r="D235" s="64"/>
      <c r="E235" s="65"/>
      <c r="F235" s="65"/>
      <c r="G235" s="64"/>
      <c r="H235" s="65"/>
      <c r="I235" s="65"/>
    </row>
    <row r="236" spans="2:9" x14ac:dyDescent="0.3">
      <c r="B236" s="63" t="s">
        <v>559</v>
      </c>
      <c r="C236" s="64"/>
      <c r="D236" s="64"/>
      <c r="E236" s="65"/>
      <c r="F236" s="65"/>
      <c r="G236" s="64"/>
      <c r="H236" s="65"/>
      <c r="I236" s="65"/>
    </row>
    <row r="237" spans="2:9" x14ac:dyDescent="0.3">
      <c r="B237" s="63" t="s">
        <v>574</v>
      </c>
      <c r="C237" s="65"/>
      <c r="D237" s="64"/>
      <c r="E237" s="65"/>
      <c r="F237" s="65"/>
      <c r="G237" s="64"/>
      <c r="H237" s="64"/>
      <c r="I237" s="64"/>
    </row>
    <row r="238" spans="2:9" x14ac:dyDescent="0.3">
      <c r="B238" s="63" t="s">
        <v>560</v>
      </c>
      <c r="C238" s="65"/>
      <c r="D238" s="64"/>
      <c r="E238" s="65"/>
      <c r="F238" s="65"/>
      <c r="G238" s="64"/>
      <c r="H238" s="64"/>
      <c r="I238" s="64"/>
    </row>
    <row r="239" spans="2:9" x14ac:dyDescent="0.3">
      <c r="B239" s="63" t="s">
        <v>563</v>
      </c>
      <c r="C239" s="65"/>
      <c r="D239" s="65"/>
      <c r="E239" s="65"/>
      <c r="F239" s="65"/>
      <c r="G239" s="64"/>
      <c r="H239" s="64"/>
      <c r="I239" s="64"/>
    </row>
    <row r="240" spans="2:9" x14ac:dyDescent="0.3">
      <c r="B240" s="63" t="s">
        <v>562</v>
      </c>
      <c r="C240" s="65"/>
      <c r="D240" s="65"/>
      <c r="E240" s="65"/>
      <c r="F240" s="65"/>
      <c r="G240" s="64"/>
      <c r="H240" s="64"/>
      <c r="I240" s="64"/>
    </row>
    <row r="241" spans="2:9" x14ac:dyDescent="0.3">
      <c r="B241" s="63" t="s">
        <v>575</v>
      </c>
      <c r="C241" s="65"/>
      <c r="D241" s="65"/>
      <c r="E241" s="64"/>
      <c r="F241" s="64"/>
      <c r="G241" s="65"/>
      <c r="H241" s="65"/>
      <c r="I241" s="64"/>
    </row>
    <row r="242" spans="2:9" x14ac:dyDescent="0.3">
      <c r="B242" s="63" t="s">
        <v>576</v>
      </c>
      <c r="C242" s="65"/>
      <c r="D242" s="65"/>
      <c r="E242" s="65"/>
      <c r="F242" s="64"/>
      <c r="G242" s="65"/>
      <c r="H242" s="65"/>
      <c r="I242" s="64"/>
    </row>
    <row r="243" spans="2:9" x14ac:dyDescent="0.3">
      <c r="B243" s="63" t="s">
        <v>564</v>
      </c>
      <c r="C243" s="65"/>
      <c r="D243" s="64"/>
      <c r="E243" s="65"/>
      <c r="F243" s="65"/>
      <c r="G243" s="64"/>
      <c r="H243" s="64"/>
      <c r="I243" s="65"/>
    </row>
    <row r="244" spans="2:9" x14ac:dyDescent="0.3">
      <c r="B244" s="63" t="s">
        <v>565</v>
      </c>
      <c r="C244" s="65"/>
      <c r="D244" s="65"/>
      <c r="E244" s="65"/>
      <c r="F244" s="65"/>
      <c r="G244" s="64"/>
      <c r="H244" s="64"/>
      <c r="I244" s="65"/>
    </row>
  </sheetData>
  <mergeCells count="9">
    <mergeCell ref="A85:B85"/>
    <mergeCell ref="A86:B86"/>
    <mergeCell ref="A87:B87"/>
    <mergeCell ref="A79:B79"/>
    <mergeCell ref="A80:B80"/>
    <mergeCell ref="A81:B81"/>
    <mergeCell ref="A82:B82"/>
    <mergeCell ref="A83:B83"/>
    <mergeCell ref="A84:B84"/>
  </mergeCells>
  <pageMargins left="0.75" right="0.75" top="1" bottom="1" header="0" footer="0"/>
  <pageSetup paperSize="9" orientation="portrait" horizontalDpi="4294967293" verticalDpi="12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44"/>
  <sheetViews>
    <sheetView workbookViewId="0">
      <pane xSplit="2" ySplit="1" topLeftCell="C99" activePane="bottomRight" state="frozen"/>
      <selection activeCell="B396" sqref="B396:B398"/>
      <selection pane="topRight" activeCell="B396" sqref="B396:B398"/>
      <selection pane="bottomLeft" activeCell="B396" sqref="B396:B398"/>
      <selection pane="bottomRight" activeCell="B396" sqref="B396:B398"/>
    </sheetView>
  </sheetViews>
  <sheetFormatPr defaultColWidth="11.44140625" defaultRowHeight="13.8" x14ac:dyDescent="0.3"/>
  <cols>
    <col min="1" max="1" width="56.33203125" style="73" customWidth="1"/>
    <col min="2" max="2" width="16.88671875" style="73" customWidth="1"/>
    <col min="3" max="12" width="12.88671875" style="73" customWidth="1"/>
    <col min="13" max="16384" width="11.44140625" style="73"/>
  </cols>
  <sheetData>
    <row r="1" spans="1:11" x14ac:dyDescent="0.3">
      <c r="B1" s="2" t="s">
        <v>353</v>
      </c>
      <c r="C1" s="73" t="s">
        <v>354</v>
      </c>
      <c r="D1" s="73" t="s">
        <v>355</v>
      </c>
      <c r="E1" s="73" t="s">
        <v>356</v>
      </c>
      <c r="F1" s="73" t="s">
        <v>357</v>
      </c>
      <c r="G1" s="73" t="s">
        <v>358</v>
      </c>
      <c r="H1" s="73" t="s">
        <v>359</v>
      </c>
      <c r="I1" s="73" t="s">
        <v>360</v>
      </c>
      <c r="J1" s="73" t="s">
        <v>361</v>
      </c>
      <c r="K1" s="73" t="s">
        <v>362</v>
      </c>
    </row>
    <row r="2" spans="1:11" x14ac:dyDescent="0.3">
      <c r="A2" s="73" t="s">
        <v>363</v>
      </c>
      <c r="B2" s="73" t="s">
        <v>364</v>
      </c>
    </row>
    <row r="3" spans="1:11" x14ac:dyDescent="0.3">
      <c r="A3" s="73" t="s">
        <v>365</v>
      </c>
      <c r="B3" s="73" t="s">
        <v>366</v>
      </c>
    </row>
    <row r="4" spans="1:11" x14ac:dyDescent="0.3">
      <c r="A4" s="73" t="s">
        <v>367</v>
      </c>
      <c r="B4" s="73" t="s">
        <v>368</v>
      </c>
    </row>
    <row r="5" spans="1:11" x14ac:dyDescent="0.3">
      <c r="A5" s="73" t="s">
        <v>369</v>
      </c>
      <c r="B5" s="73" t="s">
        <v>370</v>
      </c>
    </row>
    <row r="6" spans="1:11" x14ac:dyDescent="0.3">
      <c r="A6" s="73" t="s">
        <v>371</v>
      </c>
      <c r="B6" s="73" t="s">
        <v>372</v>
      </c>
    </row>
    <row r="7" spans="1:11" x14ac:dyDescent="0.3">
      <c r="A7" s="73" t="s">
        <v>373</v>
      </c>
      <c r="B7" s="73" t="s">
        <v>374</v>
      </c>
    </row>
    <row r="8" spans="1:11" x14ac:dyDescent="0.3">
      <c r="A8" s="73" t="s">
        <v>375</v>
      </c>
      <c r="B8" s="73" t="s">
        <v>376</v>
      </c>
    </row>
    <row r="9" spans="1:11" x14ac:dyDescent="0.3">
      <c r="A9" s="73" t="s">
        <v>377</v>
      </c>
      <c r="B9" s="73" t="s">
        <v>378</v>
      </c>
    </row>
    <row r="10" spans="1:11" x14ac:dyDescent="0.3">
      <c r="A10" s="73" t="s">
        <v>379</v>
      </c>
      <c r="B10" s="73" t="s">
        <v>380</v>
      </c>
    </row>
    <row r="11" spans="1:11" x14ac:dyDescent="0.3">
      <c r="A11" s="73" t="s">
        <v>381</v>
      </c>
      <c r="B11" s="73" t="s">
        <v>382</v>
      </c>
    </row>
    <row r="12" spans="1:11" x14ac:dyDescent="0.3">
      <c r="A12" s="73" t="s">
        <v>383</v>
      </c>
      <c r="B12" s="73" t="s">
        <v>384</v>
      </c>
    </row>
    <row r="14" spans="1:11" x14ac:dyDescent="0.3">
      <c r="A14" s="73" t="s">
        <v>385</v>
      </c>
      <c r="B14" s="73" t="s">
        <v>386</v>
      </c>
    </row>
    <row r="15" spans="1:11" x14ac:dyDescent="0.3">
      <c r="A15" s="73" t="s">
        <v>387</v>
      </c>
      <c r="B15" s="73" t="s">
        <v>388</v>
      </c>
    </row>
    <row r="17" spans="1:11" x14ac:dyDescent="0.3">
      <c r="A17" s="73" t="s">
        <v>389</v>
      </c>
      <c r="B17" s="73" t="s">
        <v>390</v>
      </c>
    </row>
    <row r="18" spans="1:11" x14ac:dyDescent="0.3">
      <c r="A18" s="73" t="s">
        <v>391</v>
      </c>
      <c r="B18" s="73" t="s">
        <v>392</v>
      </c>
    </row>
    <row r="19" spans="1:11" x14ac:dyDescent="0.3">
      <c r="A19" s="73" t="s">
        <v>393</v>
      </c>
      <c r="B19" s="73" t="s">
        <v>394</v>
      </c>
    </row>
    <row r="21" spans="1:11" x14ac:dyDescent="0.3">
      <c r="A21" s="73" t="s">
        <v>395</v>
      </c>
      <c r="B21" s="73" t="s">
        <v>396</v>
      </c>
    </row>
    <row r="22" spans="1:11" x14ac:dyDescent="0.3">
      <c r="A22" s="73" t="s">
        <v>397</v>
      </c>
      <c r="B22" s="73" t="s">
        <v>398</v>
      </c>
    </row>
    <row r="23" spans="1:11" x14ac:dyDescent="0.3">
      <c r="A23" s="73" t="s">
        <v>399</v>
      </c>
      <c r="B23" s="73" t="s">
        <v>400</v>
      </c>
    </row>
    <row r="24" spans="1:11" x14ac:dyDescent="0.3">
      <c r="A24" s="73" t="s">
        <v>401</v>
      </c>
      <c r="B24" s="73" t="s">
        <v>402</v>
      </c>
    </row>
    <row r="25" spans="1:11" x14ac:dyDescent="0.3">
      <c r="A25" s="73" t="s">
        <v>403</v>
      </c>
      <c r="B25" s="73" t="s">
        <v>404</v>
      </c>
    </row>
    <row r="26" spans="1:11" x14ac:dyDescent="0.3">
      <c r="A26" s="73" t="s">
        <v>405</v>
      </c>
      <c r="B26" s="73" t="s">
        <v>406</v>
      </c>
    </row>
    <row r="27" spans="1:11" x14ac:dyDescent="0.3">
      <c r="A27" s="73" t="s">
        <v>407</v>
      </c>
      <c r="B27" s="73" t="s">
        <v>408</v>
      </c>
    </row>
    <row r="28" spans="1:11" x14ac:dyDescent="0.3">
      <c r="A28" s="73" t="s">
        <v>409</v>
      </c>
      <c r="B28" s="73" t="s">
        <v>410</v>
      </c>
      <c r="C28" s="4"/>
      <c r="D28" s="4"/>
      <c r="E28" s="4"/>
      <c r="F28" s="4"/>
      <c r="G28" s="4"/>
      <c r="H28" s="4"/>
      <c r="I28" s="4"/>
      <c r="J28" s="4"/>
      <c r="K28" s="4"/>
    </row>
    <row r="29" spans="1:11" x14ac:dyDescent="0.3">
      <c r="A29" s="73" t="s">
        <v>411</v>
      </c>
      <c r="B29" s="73" t="s">
        <v>412</v>
      </c>
      <c r="C29" s="4"/>
      <c r="D29" s="4"/>
      <c r="E29" s="4"/>
      <c r="F29" s="4"/>
      <c r="G29" s="4"/>
      <c r="H29" s="4"/>
      <c r="I29" s="4"/>
      <c r="J29" s="4"/>
      <c r="K29" s="4"/>
    </row>
    <row r="31" spans="1:11" x14ac:dyDescent="0.3">
      <c r="A31" s="73" t="s">
        <v>413</v>
      </c>
      <c r="B31" s="73" t="s">
        <v>414</v>
      </c>
    </row>
    <row r="32" spans="1:11" x14ac:dyDescent="0.3">
      <c r="A32" s="73" t="s">
        <v>415</v>
      </c>
      <c r="B32" s="73" t="s">
        <v>416</v>
      </c>
    </row>
    <row r="33" spans="1:11" x14ac:dyDescent="0.3">
      <c r="A33" s="73" t="s">
        <v>417</v>
      </c>
      <c r="B33" s="73" t="s">
        <v>418</v>
      </c>
    </row>
    <row r="34" spans="1:11" x14ac:dyDescent="0.3">
      <c r="A34" s="73" t="s">
        <v>419</v>
      </c>
      <c r="B34" s="73" t="s">
        <v>578</v>
      </c>
    </row>
    <row r="35" spans="1:11" x14ac:dyDescent="0.3">
      <c r="A35" s="66" t="s">
        <v>579</v>
      </c>
      <c r="B35" s="66" t="s">
        <v>580</v>
      </c>
    </row>
    <row r="36" spans="1:11" x14ac:dyDescent="0.3">
      <c r="A36" s="66" t="s">
        <v>581</v>
      </c>
      <c r="B36" s="66" t="s">
        <v>582</v>
      </c>
    </row>
    <row r="37" spans="1:11" x14ac:dyDescent="0.3">
      <c r="A37" s="66" t="s">
        <v>583</v>
      </c>
      <c r="B37" s="66" t="s">
        <v>584</v>
      </c>
    </row>
    <row r="38" spans="1:11" x14ac:dyDescent="0.3">
      <c r="A38" s="66" t="s">
        <v>585</v>
      </c>
      <c r="B38" s="66" t="s">
        <v>586</v>
      </c>
    </row>
    <row r="39" spans="1:11" x14ac:dyDescent="0.3">
      <c r="A39" s="66" t="s">
        <v>587</v>
      </c>
      <c r="B39" s="66" t="s">
        <v>588</v>
      </c>
    </row>
    <row r="40" spans="1:11" x14ac:dyDescent="0.3">
      <c r="A40" s="66" t="s">
        <v>589</v>
      </c>
      <c r="B40" s="66" t="s">
        <v>590</v>
      </c>
    </row>
    <row r="41" spans="1:11" x14ac:dyDescent="0.3">
      <c r="A41" s="66" t="s">
        <v>591</v>
      </c>
      <c r="B41" s="66" t="s">
        <v>592</v>
      </c>
    </row>
    <row r="42" spans="1:11" x14ac:dyDescent="0.3">
      <c r="A42" s="66" t="s">
        <v>593</v>
      </c>
      <c r="B42" s="66" t="s">
        <v>594</v>
      </c>
    </row>
    <row r="43" spans="1:11" x14ac:dyDescent="0.3">
      <c r="A43" s="66" t="s">
        <v>595</v>
      </c>
      <c r="B43" s="66" t="s">
        <v>596</v>
      </c>
    </row>
    <row r="44" spans="1:11" x14ac:dyDescent="0.3">
      <c r="A44" s="73" t="s">
        <v>421</v>
      </c>
      <c r="B44" s="73" t="s">
        <v>422</v>
      </c>
    </row>
    <row r="46" spans="1:11" x14ac:dyDescent="0.3">
      <c r="A46" s="73" t="s">
        <v>423</v>
      </c>
      <c r="B46" s="73" t="s">
        <v>424</v>
      </c>
      <c r="C46" s="74"/>
      <c r="D46" s="74"/>
      <c r="E46" s="74"/>
      <c r="F46" s="74"/>
      <c r="G46" s="74"/>
      <c r="H46" s="74"/>
      <c r="I46" s="74"/>
      <c r="J46" s="74"/>
      <c r="K46" s="74"/>
    </row>
    <row r="47" spans="1:11" x14ac:dyDescent="0.3">
      <c r="A47" s="73" t="s">
        <v>425</v>
      </c>
      <c r="B47" s="73" t="s">
        <v>426</v>
      </c>
      <c r="C47" s="74"/>
      <c r="D47" s="74"/>
      <c r="E47" s="74"/>
      <c r="F47" s="74"/>
      <c r="G47" s="74"/>
      <c r="H47" s="74"/>
      <c r="I47" s="74"/>
      <c r="J47" s="74"/>
      <c r="K47" s="74"/>
    </row>
    <row r="48" spans="1:11" x14ac:dyDescent="0.3">
      <c r="A48" s="73" t="s">
        <v>427</v>
      </c>
      <c r="B48" s="73" t="s">
        <v>428</v>
      </c>
      <c r="C48" s="74"/>
      <c r="D48" s="74"/>
      <c r="E48" s="74"/>
      <c r="F48" s="74"/>
      <c r="G48" s="74"/>
      <c r="H48" s="74"/>
      <c r="I48" s="74"/>
      <c r="J48" s="74"/>
      <c r="K48" s="74"/>
    </row>
    <row r="49" spans="1:11" x14ac:dyDescent="0.3">
      <c r="A49" s="73" t="s">
        <v>429</v>
      </c>
      <c r="B49" s="73" t="s">
        <v>430</v>
      </c>
      <c r="C49" s="74"/>
      <c r="D49" s="74"/>
      <c r="E49" s="74"/>
      <c r="F49" s="74"/>
      <c r="G49" s="74"/>
      <c r="H49" s="74"/>
      <c r="I49" s="74"/>
      <c r="J49" s="74"/>
      <c r="K49" s="74"/>
    </row>
    <row r="50" spans="1:11" x14ac:dyDescent="0.3">
      <c r="A50" s="73" t="s">
        <v>431</v>
      </c>
      <c r="B50" s="73" t="s">
        <v>432</v>
      </c>
      <c r="C50" s="4"/>
      <c r="D50" s="4"/>
      <c r="E50" s="4"/>
      <c r="F50" s="4"/>
      <c r="G50" s="4"/>
      <c r="H50" s="4"/>
      <c r="I50" s="4"/>
      <c r="J50" s="4"/>
      <c r="K50" s="4"/>
    </row>
    <row r="52" spans="1:11" s="2" customFormat="1" x14ac:dyDescent="0.3">
      <c r="A52" s="5" t="s">
        <v>433</v>
      </c>
    </row>
    <row r="53" spans="1:11" s="2" customFormat="1" x14ac:dyDescent="0.3">
      <c r="A53" s="2" t="s">
        <v>434</v>
      </c>
      <c r="C53" s="6"/>
      <c r="D53" s="6"/>
      <c r="E53" s="6"/>
      <c r="F53" s="6"/>
      <c r="G53" s="6"/>
      <c r="H53" s="6"/>
      <c r="I53" s="6"/>
      <c r="J53" s="6"/>
      <c r="K53" s="6"/>
    </row>
    <row r="54" spans="1:11" s="2" customFormat="1" x14ac:dyDescent="0.3">
      <c r="A54" s="2" t="s">
        <v>435</v>
      </c>
      <c r="C54" s="6"/>
      <c r="D54" s="6"/>
      <c r="E54" s="6"/>
      <c r="F54" s="6"/>
      <c r="G54" s="6"/>
      <c r="H54" s="6"/>
      <c r="I54" s="6"/>
      <c r="J54" s="6"/>
      <c r="K54" s="6"/>
    </row>
    <row r="55" spans="1:11" s="2" customFormat="1" x14ac:dyDescent="0.3">
      <c r="A55" s="2" t="s">
        <v>436</v>
      </c>
      <c r="C55" s="6"/>
      <c r="D55" s="6"/>
      <c r="E55" s="6"/>
      <c r="F55" s="6"/>
      <c r="G55" s="6"/>
      <c r="H55" s="6"/>
      <c r="I55" s="6"/>
      <c r="J55" s="6"/>
      <c r="K55" s="6"/>
    </row>
    <row r="56" spans="1:11" s="2" customFormat="1" x14ac:dyDescent="0.3">
      <c r="A56" s="2" t="s">
        <v>437</v>
      </c>
      <c r="C56" s="6"/>
      <c r="D56" s="6"/>
      <c r="E56" s="6"/>
      <c r="F56" s="6"/>
      <c r="G56" s="6"/>
      <c r="H56" s="6"/>
      <c r="I56" s="6"/>
      <c r="J56" s="6"/>
      <c r="K56" s="6"/>
    </row>
    <row r="57" spans="1:11" s="2" customFormat="1" x14ac:dyDescent="0.3"/>
    <row r="58" spans="1:11" s="2" customFormat="1" x14ac:dyDescent="0.3">
      <c r="A58" s="5" t="s">
        <v>438</v>
      </c>
    </row>
    <row r="59" spans="1:11" s="2" customFormat="1" x14ac:dyDescent="0.3">
      <c r="A59" s="2" t="s">
        <v>434</v>
      </c>
      <c r="C59" s="6"/>
      <c r="D59" s="6"/>
      <c r="E59" s="6"/>
      <c r="F59" s="6"/>
      <c r="G59" s="6"/>
      <c r="H59" s="6"/>
      <c r="I59" s="6"/>
      <c r="J59" s="6"/>
      <c r="K59" s="6"/>
    </row>
    <row r="60" spans="1:11" s="2" customFormat="1" x14ac:dyDescent="0.3">
      <c r="A60" s="2" t="s">
        <v>435</v>
      </c>
      <c r="C60" s="6"/>
      <c r="D60" s="6"/>
      <c r="E60" s="6"/>
      <c r="F60" s="6"/>
      <c r="G60" s="6"/>
      <c r="H60" s="6"/>
      <c r="I60" s="6"/>
      <c r="J60" s="6"/>
      <c r="K60" s="6"/>
    </row>
    <row r="61" spans="1:11" s="2" customFormat="1" x14ac:dyDescent="0.3">
      <c r="A61" s="2" t="s">
        <v>436</v>
      </c>
      <c r="C61" s="6"/>
      <c r="D61" s="6"/>
      <c r="E61" s="6"/>
      <c r="F61" s="6"/>
      <c r="G61" s="6"/>
      <c r="H61" s="6"/>
      <c r="I61" s="6"/>
      <c r="J61" s="6"/>
      <c r="K61" s="6"/>
    </row>
    <row r="62" spans="1:11" s="2" customFormat="1" x14ac:dyDescent="0.3">
      <c r="A62" s="2" t="s">
        <v>437</v>
      </c>
      <c r="C62" s="6"/>
      <c r="D62" s="6"/>
      <c r="E62" s="6"/>
      <c r="F62" s="6"/>
      <c r="G62" s="6"/>
      <c r="H62" s="6"/>
      <c r="I62" s="6"/>
      <c r="J62" s="6"/>
      <c r="K62" s="6"/>
    </row>
    <row r="63" spans="1:11" s="2" customFormat="1" x14ac:dyDescent="0.3"/>
    <row r="64" spans="1:11" x14ac:dyDescent="0.3">
      <c r="A64" s="75" t="s">
        <v>439</v>
      </c>
      <c r="B64" s="2" t="str">
        <f>B$1</f>
        <v>Elegir Trim.</v>
      </c>
      <c r="C64" s="2" t="str">
        <f t="shared" ref="C64:K64" si="0">C$1</f>
        <v>Nov 21-Ene 22</v>
      </c>
      <c r="D64" s="2" t="str">
        <f t="shared" si="0"/>
        <v>Feb-Abr 22</v>
      </c>
      <c r="E64" s="2" t="str">
        <f t="shared" si="0"/>
        <v>May-Jul 22</v>
      </c>
      <c r="F64" s="2" t="str">
        <f t="shared" si="0"/>
        <v>Ago-Oct 22</v>
      </c>
      <c r="G64" s="2" t="str">
        <f t="shared" si="0"/>
        <v>Nov 22-Ene 23</v>
      </c>
      <c r="H64" s="2" t="str">
        <f t="shared" si="0"/>
        <v>Feb-Abr 23</v>
      </c>
      <c r="I64" s="2" t="str">
        <f t="shared" si="0"/>
        <v>May-Jul 23</v>
      </c>
      <c r="J64" s="2" t="str">
        <f t="shared" si="0"/>
        <v>Ago-Oct 23</v>
      </c>
      <c r="K64" s="2" t="str">
        <f t="shared" si="0"/>
        <v>Nov 23-Ene 24</v>
      </c>
    </row>
    <row r="65" spans="1:15" x14ac:dyDescent="0.3">
      <c r="A65" s="73" t="s">
        <v>440</v>
      </c>
      <c r="B65" s="73" t="s">
        <v>441</v>
      </c>
      <c r="C65" s="74">
        <v>0.16839599999999999</v>
      </c>
      <c r="D65" s="74">
        <v>0.176569</v>
      </c>
      <c r="E65" s="74">
        <v>0.19474900000000001</v>
      </c>
      <c r="F65" s="74">
        <v>0.207982</v>
      </c>
      <c r="G65" s="74">
        <v>0.203538</v>
      </c>
      <c r="H65" s="74">
        <v>0.20352300000000001</v>
      </c>
      <c r="I65" s="74"/>
      <c r="J65" s="74"/>
      <c r="K65" s="74"/>
      <c r="L65" s="74"/>
      <c r="M65" s="74"/>
      <c r="N65" s="74"/>
      <c r="O65" s="74"/>
    </row>
    <row r="66" spans="1:15" x14ac:dyDescent="0.3">
      <c r="A66" s="73" t="s">
        <v>442</v>
      </c>
      <c r="B66" s="73" t="s">
        <v>443</v>
      </c>
      <c r="C66" s="74">
        <v>0.16678100000000001</v>
      </c>
      <c r="D66" s="74">
        <v>0.174954</v>
      </c>
      <c r="E66" s="74">
        <v>0.19226299999999999</v>
      </c>
      <c r="F66" s="74">
        <v>0.20549700000000001</v>
      </c>
      <c r="G66" s="74">
        <v>0.20105300000000001</v>
      </c>
      <c r="H66" s="74">
        <v>0.20103799999999999</v>
      </c>
      <c r="I66" s="74"/>
      <c r="J66" s="74"/>
      <c r="K66" s="74"/>
      <c r="L66" s="74"/>
      <c r="M66" s="74"/>
      <c r="N66" s="74"/>
      <c r="O66" s="74"/>
    </row>
    <row r="67" spans="1:15" x14ac:dyDescent="0.3">
      <c r="A67" s="73" t="s">
        <v>444</v>
      </c>
      <c r="B67" s="73" t="s">
        <v>445</v>
      </c>
      <c r="C67" s="74">
        <v>0.165851</v>
      </c>
      <c r="D67" s="74">
        <v>0.17402400000000001</v>
      </c>
      <c r="E67" s="74">
        <v>0.189999</v>
      </c>
      <c r="F67" s="74">
        <v>0.203232</v>
      </c>
      <c r="G67" s="74">
        <v>0.19878799999999999</v>
      </c>
      <c r="H67" s="74">
        <v>0.19877300000000001</v>
      </c>
      <c r="I67" s="74"/>
      <c r="J67" s="74"/>
      <c r="K67" s="74"/>
      <c r="L67" s="74"/>
      <c r="M67" s="74"/>
      <c r="N67" s="74"/>
      <c r="O67" s="74"/>
    </row>
    <row r="68" spans="1:15" x14ac:dyDescent="0.3">
      <c r="A68" s="73" t="s">
        <v>446</v>
      </c>
      <c r="B68" s="73" t="s">
        <v>447</v>
      </c>
      <c r="C68" s="74">
        <v>176.108723</v>
      </c>
      <c r="D68" s="74">
        <v>176.108723</v>
      </c>
      <c r="E68" s="74">
        <v>179.54125099999999</v>
      </c>
      <c r="F68" s="74">
        <v>179.54125099999999</v>
      </c>
      <c r="G68" s="74">
        <v>187.11644200000001</v>
      </c>
      <c r="H68" s="74">
        <v>187.11644200000001</v>
      </c>
      <c r="I68" s="74"/>
      <c r="J68" s="74"/>
      <c r="K68" s="74"/>
      <c r="L68" s="74"/>
      <c r="M68" s="74"/>
      <c r="N68" s="74"/>
      <c r="O68" s="74"/>
    </row>
    <row r="69" spans="1:15" x14ac:dyDescent="0.3"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</row>
    <row r="70" spans="1:15" x14ac:dyDescent="0.3">
      <c r="A70" s="75" t="s">
        <v>448</v>
      </c>
      <c r="B70" s="2" t="str">
        <f>B$1</f>
        <v>Elegir Trim.</v>
      </c>
      <c r="C70" s="2" t="str">
        <f t="shared" ref="C70:K70" si="1">C$1</f>
        <v>Nov 21-Ene 22</v>
      </c>
      <c r="D70" s="2" t="str">
        <f t="shared" si="1"/>
        <v>Feb-Abr 22</v>
      </c>
      <c r="E70" s="2" t="str">
        <f t="shared" si="1"/>
        <v>May-Jul 22</v>
      </c>
      <c r="F70" s="2" t="str">
        <f t="shared" si="1"/>
        <v>Ago-Oct 22</v>
      </c>
      <c r="G70" s="2" t="str">
        <f t="shared" si="1"/>
        <v>Nov 22-Ene 23</v>
      </c>
      <c r="H70" s="2" t="str">
        <f t="shared" si="1"/>
        <v>Feb-Abr 23</v>
      </c>
      <c r="I70" s="2" t="str">
        <f t="shared" si="1"/>
        <v>May-Jul 23</v>
      </c>
      <c r="J70" s="2" t="str">
        <f t="shared" si="1"/>
        <v>Ago-Oct 23</v>
      </c>
      <c r="K70" s="2" t="str">
        <f t="shared" si="1"/>
        <v>Nov 23-Ene 24</v>
      </c>
      <c r="L70" s="2"/>
      <c r="M70" s="2"/>
      <c r="N70" s="2"/>
      <c r="O70" s="2"/>
    </row>
    <row r="71" spans="1:15" x14ac:dyDescent="0.3">
      <c r="A71" s="73" t="s">
        <v>440</v>
      </c>
      <c r="B71" s="73" t="s">
        <v>441</v>
      </c>
      <c r="C71" s="74">
        <v>4.8545999999999999E-2</v>
      </c>
      <c r="D71" s="74">
        <v>5.0902000000000003E-2</v>
      </c>
      <c r="E71" s="74">
        <v>5.6142999999999998E-2</v>
      </c>
      <c r="F71" s="74">
        <v>5.9957999999999997E-2</v>
      </c>
      <c r="G71" s="74">
        <v>5.8677E-2</v>
      </c>
      <c r="H71" s="74">
        <v>5.8673000000000003E-2</v>
      </c>
      <c r="I71" s="74"/>
      <c r="J71" s="74"/>
      <c r="K71" s="74"/>
      <c r="L71" s="74"/>
      <c r="M71" s="74"/>
      <c r="N71" s="74"/>
      <c r="O71" s="74"/>
    </row>
    <row r="72" spans="1:15" x14ac:dyDescent="0.3">
      <c r="A72" s="73" t="s">
        <v>442</v>
      </c>
      <c r="B72" s="73" t="s">
        <v>443</v>
      </c>
      <c r="C72" s="74">
        <v>4.8079999999999998E-2</v>
      </c>
      <c r="D72" s="74">
        <v>5.0437000000000003E-2</v>
      </c>
      <c r="E72" s="74">
        <v>5.5426999999999997E-2</v>
      </c>
      <c r="F72" s="74">
        <v>5.9242000000000003E-2</v>
      </c>
      <c r="G72" s="74">
        <v>5.7960999999999999E-2</v>
      </c>
      <c r="H72" s="74">
        <v>5.7956000000000001E-2</v>
      </c>
      <c r="I72" s="74"/>
      <c r="J72" s="74"/>
      <c r="K72" s="74"/>
      <c r="L72" s="74"/>
      <c r="M72" s="74"/>
      <c r="N72" s="74"/>
      <c r="O72" s="74"/>
    </row>
    <row r="73" spans="1:15" x14ac:dyDescent="0.3">
      <c r="A73" s="73" t="s">
        <v>444</v>
      </c>
      <c r="B73" s="73" t="s">
        <v>445</v>
      </c>
      <c r="C73" s="74">
        <v>4.7812E-2</v>
      </c>
      <c r="D73" s="74">
        <v>5.0167999999999997E-2</v>
      </c>
      <c r="E73" s="74">
        <v>5.4774000000000003E-2</v>
      </c>
      <c r="F73" s="74">
        <v>5.8589000000000002E-2</v>
      </c>
      <c r="G73" s="74">
        <v>5.7307999999999998E-2</v>
      </c>
      <c r="H73" s="74">
        <v>5.7303E-2</v>
      </c>
      <c r="I73" s="74"/>
      <c r="J73" s="74"/>
      <c r="K73" s="74"/>
      <c r="L73" s="74"/>
      <c r="M73" s="74"/>
      <c r="N73" s="74"/>
      <c r="O73" s="74"/>
    </row>
    <row r="74" spans="1:15" x14ac:dyDescent="0.3">
      <c r="A74" s="73" t="s">
        <v>446</v>
      </c>
      <c r="B74" s="73" t="s">
        <v>447</v>
      </c>
      <c r="C74" s="74">
        <v>59.440145000000001</v>
      </c>
      <c r="D74" s="74">
        <v>59.440145000000001</v>
      </c>
      <c r="E74" s="74">
        <v>61.183954</v>
      </c>
      <c r="F74" s="74">
        <v>61.183954</v>
      </c>
      <c r="G74" s="74">
        <v>63.710771999999999</v>
      </c>
      <c r="H74" s="74">
        <v>63.710771999999999</v>
      </c>
      <c r="I74" s="74"/>
      <c r="J74" s="74"/>
      <c r="K74" s="74"/>
      <c r="L74" s="74"/>
      <c r="M74" s="74"/>
      <c r="N74" s="74"/>
      <c r="O74" s="74"/>
    </row>
    <row r="76" spans="1:15" x14ac:dyDescent="0.3">
      <c r="A76" s="8" t="s">
        <v>597</v>
      </c>
      <c r="B76" s="2"/>
    </row>
    <row r="77" spans="1:15" x14ac:dyDescent="0.3">
      <c r="A77" s="2" t="s">
        <v>598</v>
      </c>
      <c r="B77" s="5" t="s">
        <v>451</v>
      </c>
      <c r="C77" s="9" t="s">
        <v>626</v>
      </c>
      <c r="D77" s="9" t="s">
        <v>627</v>
      </c>
      <c r="E77" s="9" t="s">
        <v>628</v>
      </c>
      <c r="F77" s="9" t="s">
        <v>629</v>
      </c>
      <c r="G77" s="9" t="s">
        <v>630</v>
      </c>
      <c r="H77" s="9" t="s">
        <v>631</v>
      </c>
      <c r="I77" s="9"/>
      <c r="J77" s="9"/>
      <c r="K77" s="9"/>
      <c r="L77" s="9"/>
      <c r="M77" s="9"/>
      <c r="N77" s="9"/>
      <c r="O77" s="9"/>
    </row>
    <row r="78" spans="1:15" ht="14.4" thickBot="1" x14ac:dyDescent="0.35">
      <c r="A78" s="2"/>
      <c r="B78" s="2"/>
      <c r="C78" s="2"/>
      <c r="D78" s="2"/>
      <c r="E78" s="2"/>
      <c r="F78" s="2"/>
      <c r="G78" s="2"/>
      <c r="I78" s="2"/>
    </row>
    <row r="79" spans="1:15" ht="14.4" thickBot="1" x14ac:dyDescent="0.35">
      <c r="A79" s="141" t="s">
        <v>458</v>
      </c>
      <c r="B79" s="142"/>
      <c r="C79" s="10"/>
      <c r="D79" s="2"/>
      <c r="E79" s="11" t="s">
        <v>459</v>
      </c>
      <c r="F79" s="2"/>
      <c r="G79" s="2"/>
      <c r="I79" s="2"/>
    </row>
    <row r="80" spans="1:15" x14ac:dyDescent="0.3">
      <c r="A80" s="137" t="s">
        <v>460</v>
      </c>
      <c r="B80" s="138" t="s">
        <v>460</v>
      </c>
      <c r="C80" s="12" t="e">
        <f>F83/SUM(E80:E82)</f>
        <v>#DIV/0!</v>
      </c>
      <c r="D80" s="2"/>
      <c r="E80" s="13">
        <v>0</v>
      </c>
      <c r="F80" s="69">
        <v>0</v>
      </c>
      <c r="G80" s="2"/>
      <c r="I80" s="2"/>
    </row>
    <row r="81" spans="1:9" x14ac:dyDescent="0.3">
      <c r="A81" s="137" t="s">
        <v>461</v>
      </c>
      <c r="B81" s="138"/>
      <c r="C81" s="12">
        <v>0</v>
      </c>
      <c r="D81" s="2"/>
      <c r="E81" s="13">
        <v>0</v>
      </c>
      <c r="F81" s="70">
        <v>0</v>
      </c>
      <c r="G81" s="2"/>
      <c r="H81" s="2"/>
      <c r="I81" s="2"/>
    </row>
    <row r="82" spans="1:9" ht="14.4" thickBot="1" x14ac:dyDescent="0.35">
      <c r="A82" s="137" t="s">
        <v>462</v>
      </c>
      <c r="B82" s="138"/>
      <c r="C82" s="15">
        <v>0</v>
      </c>
      <c r="D82" s="2"/>
      <c r="E82" s="17">
        <v>0</v>
      </c>
      <c r="F82" s="71">
        <v>0</v>
      </c>
      <c r="G82" s="2"/>
      <c r="H82" s="2"/>
      <c r="I82" s="2"/>
    </row>
    <row r="83" spans="1:9" ht="14.4" thickBot="1" x14ac:dyDescent="0.35">
      <c r="A83" s="137"/>
      <c r="B83" s="138"/>
      <c r="C83" s="12"/>
      <c r="D83" s="2"/>
      <c r="E83" s="19" t="s">
        <v>463</v>
      </c>
      <c r="F83" s="20">
        <f>SUM(F80:F82)</f>
        <v>0</v>
      </c>
      <c r="G83" s="2"/>
      <c r="H83" s="2"/>
      <c r="I83" s="2"/>
    </row>
    <row r="84" spans="1:9" ht="14.4" thickBot="1" x14ac:dyDescent="0.35">
      <c r="A84" s="137" t="s">
        <v>464</v>
      </c>
      <c r="B84" s="138"/>
      <c r="C84" s="12"/>
      <c r="D84" s="2"/>
      <c r="E84" s="11" t="s">
        <v>459</v>
      </c>
      <c r="F84" s="2"/>
      <c r="G84" s="2"/>
      <c r="H84" s="2"/>
      <c r="I84" s="2"/>
    </row>
    <row r="85" spans="1:9" x14ac:dyDescent="0.3">
      <c r="A85" s="137" t="s">
        <v>460</v>
      </c>
      <c r="B85" s="138"/>
      <c r="C85" s="12" t="e">
        <f>F88/SUM(E85:E87)</f>
        <v>#DIV/0!</v>
      </c>
      <c r="D85" s="2"/>
      <c r="E85" s="13">
        <v>0</v>
      </c>
      <c r="F85" s="69">
        <v>0</v>
      </c>
      <c r="G85" s="2"/>
      <c r="H85" s="2"/>
      <c r="I85" s="2"/>
    </row>
    <row r="86" spans="1:9" x14ac:dyDescent="0.3">
      <c r="A86" s="137" t="s">
        <v>461</v>
      </c>
      <c r="B86" s="138"/>
      <c r="C86" s="15">
        <v>0</v>
      </c>
      <c r="D86" s="2"/>
      <c r="E86" s="13">
        <v>0</v>
      </c>
      <c r="F86" s="70">
        <v>0</v>
      </c>
      <c r="G86" s="2"/>
      <c r="H86" s="2"/>
      <c r="I86" s="2"/>
    </row>
    <row r="87" spans="1:9" ht="14.4" thickBot="1" x14ac:dyDescent="0.35">
      <c r="A87" s="139" t="s">
        <v>462</v>
      </c>
      <c r="B87" s="140"/>
      <c r="C87" s="22">
        <v>0</v>
      </c>
      <c r="D87" s="2"/>
      <c r="E87" s="17">
        <v>0</v>
      </c>
      <c r="F87" s="71">
        <v>0</v>
      </c>
      <c r="G87" s="2"/>
      <c r="H87" s="2"/>
      <c r="I87" s="2"/>
    </row>
    <row r="88" spans="1:9" ht="14.4" thickBot="1" x14ac:dyDescent="0.35">
      <c r="A88" s="2"/>
      <c r="B88" s="2"/>
      <c r="C88" s="2"/>
      <c r="D88" s="2"/>
      <c r="E88" s="19" t="s">
        <v>463</v>
      </c>
      <c r="F88" s="20">
        <f>SUM(F85:F87)</f>
        <v>0</v>
      </c>
      <c r="G88" s="2"/>
      <c r="H88" s="2"/>
      <c r="I88" s="2"/>
    </row>
    <row r="89" spans="1:9" x14ac:dyDescent="0.3">
      <c r="A89" s="24" t="s">
        <v>632</v>
      </c>
      <c r="B89" s="8"/>
      <c r="C89" s="8"/>
      <c r="D89" s="25"/>
      <c r="E89" s="8"/>
      <c r="F89" s="8"/>
      <c r="G89" s="8"/>
      <c r="H89" s="8"/>
      <c r="I89" s="8"/>
    </row>
    <row r="90" spans="1:9" x14ac:dyDescent="0.3">
      <c r="A90" s="26" t="s">
        <v>466</v>
      </c>
      <c r="B90" s="26">
        <v>0</v>
      </c>
      <c r="C90" s="27" t="s">
        <v>467</v>
      </c>
      <c r="D90" s="28">
        <v>0</v>
      </c>
      <c r="E90" s="26"/>
      <c r="F90" s="29">
        <f>D90*B90</f>
        <v>0</v>
      </c>
      <c r="G90" s="8">
        <f>F90*1.12</f>
        <v>0</v>
      </c>
      <c r="H90" s="8"/>
      <c r="I90" s="8"/>
    </row>
    <row r="91" spans="1:9" x14ac:dyDescent="0.3">
      <c r="A91" s="26" t="s">
        <v>468</v>
      </c>
      <c r="B91" s="26">
        <v>0</v>
      </c>
      <c r="C91" s="27" t="s">
        <v>469</v>
      </c>
      <c r="D91" s="30">
        <v>0</v>
      </c>
      <c r="E91" s="26" t="s">
        <v>470</v>
      </c>
      <c r="F91" s="29">
        <f>D91*B91</f>
        <v>0</v>
      </c>
      <c r="G91" s="8">
        <f>F91*1.12</f>
        <v>0</v>
      </c>
      <c r="H91" s="8"/>
      <c r="I91" s="8"/>
    </row>
    <row r="92" spans="1:9" x14ac:dyDescent="0.3">
      <c r="A92" s="26" t="s">
        <v>471</v>
      </c>
      <c r="B92" s="26">
        <v>0</v>
      </c>
      <c r="C92" s="27" t="s">
        <v>472</v>
      </c>
      <c r="D92" s="30">
        <v>0</v>
      </c>
      <c r="E92" s="26"/>
      <c r="F92" s="29">
        <f>D92*B92</f>
        <v>0</v>
      </c>
      <c r="G92" s="8">
        <f>F92*1.12</f>
        <v>0</v>
      </c>
      <c r="H92" s="8"/>
      <c r="I92" s="8"/>
    </row>
    <row r="93" spans="1:9" ht="14.4" thickBot="1" x14ac:dyDescent="0.35">
      <c r="A93" s="26" t="s">
        <v>473</v>
      </c>
      <c r="B93" s="26">
        <v>0</v>
      </c>
      <c r="C93" s="27" t="s">
        <v>472</v>
      </c>
      <c r="D93" s="30">
        <v>0</v>
      </c>
      <c r="E93" s="26"/>
      <c r="F93" s="29">
        <f>D93*B93</f>
        <v>0</v>
      </c>
      <c r="G93" s="8">
        <f>F93*1.12</f>
        <v>0</v>
      </c>
      <c r="H93" s="8"/>
      <c r="I93" s="8"/>
    </row>
    <row r="94" spans="1:9" ht="15" thickTop="1" thickBot="1" x14ac:dyDescent="0.35">
      <c r="A94" s="26" t="s">
        <v>474</v>
      </c>
      <c r="B94" s="31"/>
      <c r="C94" s="32"/>
      <c r="D94" s="31"/>
      <c r="E94" s="33"/>
      <c r="F94" s="34">
        <f>SUM(F90:F93)</f>
        <v>0</v>
      </c>
      <c r="G94" s="8"/>
      <c r="H94" s="8"/>
      <c r="I94" s="8"/>
    </row>
    <row r="95" spans="1:9" ht="14.4" thickTop="1" x14ac:dyDescent="0.3">
      <c r="A95" s="26" t="s">
        <v>475</v>
      </c>
      <c r="B95" s="35">
        <v>0</v>
      </c>
      <c r="C95" s="27" t="s">
        <v>476</v>
      </c>
      <c r="D95" s="26"/>
      <c r="E95" s="26"/>
      <c r="F95" s="36">
        <f>F94*(1+C97)</f>
        <v>0</v>
      </c>
      <c r="G95" s="8"/>
      <c r="H95" s="8"/>
      <c r="I95" s="8"/>
    </row>
    <row r="96" spans="1:9" ht="14.4" thickBot="1" x14ac:dyDescent="0.35">
      <c r="A96" s="8"/>
      <c r="B96" s="8"/>
      <c r="C96" s="37"/>
      <c r="D96" s="8"/>
      <c r="E96" s="8"/>
      <c r="F96" s="29"/>
      <c r="G96" s="8"/>
      <c r="H96" s="8"/>
      <c r="I96" s="8"/>
    </row>
    <row r="97" spans="1:9" ht="14.4" thickBot="1" x14ac:dyDescent="0.35">
      <c r="A97" s="8"/>
      <c r="B97" s="38" t="s">
        <v>477</v>
      </c>
      <c r="C97" s="39">
        <v>0.12</v>
      </c>
      <c r="D97" s="38" t="s">
        <v>478</v>
      </c>
      <c r="E97" s="40">
        <v>0.9</v>
      </c>
      <c r="F97" s="29"/>
      <c r="G97" s="8"/>
      <c r="H97" s="8"/>
      <c r="I97" s="8"/>
    </row>
    <row r="98" spans="1:9" x14ac:dyDescent="0.3">
      <c r="A98" s="8"/>
      <c r="B98" s="8"/>
      <c r="C98" s="8"/>
      <c r="D98" s="8"/>
      <c r="E98" s="8"/>
      <c r="F98" s="8"/>
      <c r="G98" s="8"/>
      <c r="H98" s="8"/>
      <c r="I98" s="8"/>
    </row>
    <row r="99" spans="1:9" x14ac:dyDescent="0.3">
      <c r="A99" s="8" t="s">
        <v>479</v>
      </c>
      <c r="B99" s="8"/>
      <c r="C99" s="8"/>
      <c r="D99" s="8"/>
      <c r="E99" s="8"/>
      <c r="F99" s="29">
        <f>IF(E97&gt;=0.9,0,(F92+F93+F91)*(0.9-E97))*(1+C97)</f>
        <v>0</v>
      </c>
      <c r="G99" s="8"/>
      <c r="H99" s="8"/>
      <c r="I99" s="8"/>
    </row>
    <row r="100" spans="1:9" ht="14.4" thickBot="1" x14ac:dyDescent="0.35">
      <c r="A100" s="41" t="str">
        <f>"Tasa Municipal (cobro por cuenta de Terceros) "&amp;(D100*100)&amp;"%"</f>
        <v>Tasa Municipal (cobro por cuenta de Terceros) 0%</v>
      </c>
      <c r="B100" s="42"/>
      <c r="C100" s="43"/>
      <c r="D100" s="44">
        <v>0</v>
      </c>
      <c r="E100" s="33"/>
      <c r="F100" s="45">
        <f>D100*(F94+(F99/1.12))</f>
        <v>0</v>
      </c>
      <c r="G100" s="8"/>
      <c r="H100" s="8"/>
      <c r="I100" s="8"/>
    </row>
    <row r="101" spans="1:9" ht="15" thickTop="1" thickBot="1" x14ac:dyDescent="0.35">
      <c r="A101" s="8"/>
      <c r="B101" s="8"/>
      <c r="C101" s="8"/>
      <c r="D101" s="8"/>
      <c r="E101" s="8"/>
      <c r="F101" s="29"/>
      <c r="G101" s="8"/>
      <c r="H101" s="8"/>
      <c r="I101" s="8"/>
    </row>
    <row r="102" spans="1:9" ht="14.4" thickBot="1" x14ac:dyDescent="0.35">
      <c r="A102" s="46" t="s">
        <v>480</v>
      </c>
      <c r="B102" s="47"/>
      <c r="C102" s="47"/>
      <c r="D102" s="47"/>
      <c r="E102" s="47"/>
      <c r="F102" s="48">
        <f>F95+F100+F99</f>
        <v>0</v>
      </c>
      <c r="G102" s="8"/>
      <c r="H102" s="8"/>
      <c r="I102" s="8"/>
    </row>
    <row r="103" spans="1:9" s="2" customFormat="1" x14ac:dyDescent="0.3">
      <c r="A103" s="8"/>
      <c r="B103" s="8"/>
      <c r="C103" s="8"/>
      <c r="D103" s="8"/>
      <c r="E103" s="8"/>
      <c r="F103" s="8"/>
      <c r="G103" s="8"/>
      <c r="H103" s="8"/>
      <c r="I103" s="8"/>
    </row>
    <row r="104" spans="1:9" s="2" customFormat="1" ht="14.4" thickBot="1" x14ac:dyDescent="0.35">
      <c r="A104" s="8"/>
      <c r="B104" s="8"/>
      <c r="C104" s="8"/>
      <c r="D104" s="8"/>
      <c r="E104" s="8"/>
      <c r="F104" s="8"/>
      <c r="G104" s="8"/>
      <c r="H104" s="8"/>
      <c r="I104" s="8"/>
    </row>
    <row r="105" spans="1:9" s="2" customFormat="1" x14ac:dyDescent="0.3">
      <c r="A105" s="49" t="s">
        <v>641</v>
      </c>
    </row>
    <row r="106" spans="1:9" s="2" customFormat="1" x14ac:dyDescent="0.3">
      <c r="A106" s="50" t="s">
        <v>481</v>
      </c>
    </row>
    <row r="107" spans="1:9" s="2" customFormat="1" x14ac:dyDescent="0.3">
      <c r="A107" s="50" t="s">
        <v>489</v>
      </c>
    </row>
    <row r="108" spans="1:9" s="2" customFormat="1" x14ac:dyDescent="0.3">
      <c r="A108" s="50" t="s">
        <v>482</v>
      </c>
    </row>
    <row r="109" spans="1:9" s="2" customFormat="1" x14ac:dyDescent="0.3">
      <c r="A109" s="50" t="s">
        <v>483</v>
      </c>
    </row>
    <row r="110" spans="1:9" s="2" customFormat="1" x14ac:dyDescent="0.3">
      <c r="A110" s="50" t="s">
        <v>484</v>
      </c>
    </row>
    <row r="111" spans="1:9" s="2" customFormat="1" x14ac:dyDescent="0.3">
      <c r="A111" s="50" t="s">
        <v>485</v>
      </c>
    </row>
    <row r="112" spans="1:9" s="2" customFormat="1" x14ac:dyDescent="0.3">
      <c r="A112" s="50" t="s">
        <v>633</v>
      </c>
    </row>
    <row r="113" spans="1:15" s="2" customFormat="1" x14ac:dyDescent="0.3">
      <c r="A113" s="50" t="s">
        <v>634</v>
      </c>
    </row>
    <row r="114" spans="1:15" s="2" customFormat="1" x14ac:dyDescent="0.3">
      <c r="A114" s="50" t="s">
        <v>486</v>
      </c>
    </row>
    <row r="115" spans="1:15" s="2" customFormat="1" x14ac:dyDescent="0.3">
      <c r="A115" s="50" t="s">
        <v>487</v>
      </c>
    </row>
    <row r="116" spans="1:15" s="2" customFormat="1" x14ac:dyDescent="0.3">
      <c r="A116" s="50" t="s">
        <v>488</v>
      </c>
    </row>
    <row r="117" spans="1:15" s="2" customFormat="1" x14ac:dyDescent="0.3">
      <c r="A117" s="50" t="s">
        <v>635</v>
      </c>
    </row>
    <row r="118" spans="1:15" s="2" customFormat="1" ht="14.4" thickBot="1" x14ac:dyDescent="0.35">
      <c r="A118" s="51" t="s">
        <v>636</v>
      </c>
    </row>
    <row r="119" spans="1:15" s="2" customFormat="1" x14ac:dyDescent="0.3">
      <c r="A119" s="8"/>
      <c r="B119" s="52"/>
      <c r="C119" s="9"/>
      <c r="D119" s="9"/>
      <c r="E119" s="9"/>
      <c r="F119" s="9"/>
      <c r="G119" s="9"/>
      <c r="H119" s="9"/>
      <c r="I119" s="81"/>
      <c r="J119" s="81"/>
      <c r="K119" s="81"/>
    </row>
    <row r="120" spans="1:15" s="2" customFormat="1" x14ac:dyDescent="0.3">
      <c r="A120" s="109" t="s">
        <v>696</v>
      </c>
      <c r="B120" s="2" t="str">
        <f>B$1</f>
        <v>Elegir Trim.</v>
      </c>
      <c r="C120" s="82">
        <v>44501</v>
      </c>
      <c r="D120" s="82">
        <v>44593</v>
      </c>
      <c r="E120" s="82">
        <v>44682</v>
      </c>
      <c r="F120" s="82">
        <v>44774</v>
      </c>
      <c r="G120" s="82">
        <v>44866</v>
      </c>
      <c r="H120" s="82">
        <v>44958</v>
      </c>
      <c r="I120" s="82">
        <v>45047</v>
      </c>
      <c r="J120" s="82">
        <v>45139</v>
      </c>
      <c r="K120" s="82">
        <v>45231</v>
      </c>
    </row>
    <row r="121" spans="1:15" s="2" customFormat="1" x14ac:dyDescent="0.3">
      <c r="A121" s="8" t="s">
        <v>701</v>
      </c>
      <c r="B121" s="52" t="s">
        <v>702</v>
      </c>
      <c r="C121" s="3">
        <v>1.1771039999999999</v>
      </c>
      <c r="D121" s="3">
        <v>1.2264999999999999</v>
      </c>
      <c r="E121" s="3">
        <v>1.35402</v>
      </c>
      <c r="F121" s="3">
        <v>1.4339999999999999</v>
      </c>
      <c r="G121" s="3">
        <v>1.4071419999999999</v>
      </c>
      <c r="H121" s="3">
        <v>1.4070510000000001</v>
      </c>
      <c r="I121" s="82"/>
      <c r="J121" s="82"/>
      <c r="K121" s="82"/>
    </row>
    <row r="122" spans="1:15" s="2" customFormat="1" x14ac:dyDescent="0.3">
      <c r="A122" s="8" t="s">
        <v>699</v>
      </c>
      <c r="B122" s="52" t="s">
        <v>700</v>
      </c>
      <c r="C122" s="3">
        <v>0.751969</v>
      </c>
      <c r="D122" s="3">
        <v>0.751969</v>
      </c>
      <c r="E122" s="3">
        <v>0.76448899999999997</v>
      </c>
      <c r="F122" s="3">
        <v>0.76448899999999997</v>
      </c>
      <c r="G122" s="3">
        <v>0.79134599999999999</v>
      </c>
      <c r="H122" s="3">
        <v>0.79134599999999999</v>
      </c>
      <c r="I122" s="82"/>
      <c r="J122" s="82"/>
      <c r="K122" s="82"/>
    </row>
    <row r="123" spans="1:15" s="2" customFormat="1" x14ac:dyDescent="0.3">
      <c r="A123" s="8" t="s">
        <v>694</v>
      </c>
      <c r="B123" s="52" t="s">
        <v>697</v>
      </c>
      <c r="C123" s="3">
        <v>1.29026</v>
      </c>
      <c r="D123" s="3">
        <v>1.339655</v>
      </c>
      <c r="E123" s="3">
        <v>1.465457</v>
      </c>
      <c r="F123" s="3">
        <v>1.545436</v>
      </c>
      <c r="G123" s="3">
        <v>1.5185789999999999</v>
      </c>
      <c r="H123" s="3">
        <v>1.5184880000000001</v>
      </c>
      <c r="I123" s="81"/>
      <c r="J123" s="81"/>
      <c r="K123" s="81"/>
    </row>
    <row r="124" spans="1:15" s="2" customFormat="1" x14ac:dyDescent="0.3">
      <c r="A124" s="8" t="s">
        <v>695</v>
      </c>
      <c r="B124" s="52" t="s">
        <v>698</v>
      </c>
      <c r="C124" s="3">
        <v>0.43168000000000001</v>
      </c>
      <c r="D124" s="3">
        <v>0.43168000000000001</v>
      </c>
      <c r="E124" s="3">
        <v>0.440774</v>
      </c>
      <c r="F124" s="3">
        <v>0.440774</v>
      </c>
      <c r="G124" s="3">
        <v>0.460283</v>
      </c>
      <c r="H124" s="3">
        <v>0.460283</v>
      </c>
      <c r="I124" s="81"/>
      <c r="J124" s="81"/>
      <c r="K124" s="81"/>
    </row>
    <row r="125" spans="1:15" s="2" customFormat="1" x14ac:dyDescent="0.3">
      <c r="A125" s="8"/>
      <c r="B125" s="52"/>
      <c r="C125" s="81"/>
      <c r="D125" s="81"/>
      <c r="E125" s="81"/>
      <c r="F125" s="81"/>
      <c r="G125" s="81"/>
      <c r="H125" s="81"/>
      <c r="I125" s="81"/>
      <c r="J125" s="81"/>
      <c r="K125" s="81"/>
    </row>
    <row r="126" spans="1:15" s="2" customFormat="1" x14ac:dyDescent="0.3">
      <c r="A126" s="5" t="s">
        <v>466</v>
      </c>
      <c r="B126" s="2" t="str">
        <f>B$1</f>
        <v>Elegir Trim.</v>
      </c>
      <c r="C126" s="82">
        <v>44501</v>
      </c>
      <c r="D126" s="82">
        <v>44593</v>
      </c>
      <c r="E126" s="82">
        <v>44682</v>
      </c>
      <c r="F126" s="82">
        <v>44774</v>
      </c>
      <c r="G126" s="82">
        <v>44866</v>
      </c>
      <c r="H126" s="82">
        <v>44958</v>
      </c>
      <c r="I126" s="82">
        <v>45047</v>
      </c>
      <c r="J126" s="82">
        <v>45139</v>
      </c>
      <c r="K126" s="82">
        <v>45231</v>
      </c>
    </row>
    <row r="127" spans="1:15" s="2" customFormat="1" x14ac:dyDescent="0.3">
      <c r="A127" s="53" t="s">
        <v>481</v>
      </c>
      <c r="B127" s="2" t="s">
        <v>558</v>
      </c>
      <c r="C127" s="2">
        <v>20.456251999999999</v>
      </c>
      <c r="D127" s="2">
        <v>20.456251999999999</v>
      </c>
      <c r="E127" s="2">
        <v>20.943950999999998</v>
      </c>
      <c r="F127" s="3">
        <v>20.943950999999998</v>
      </c>
      <c r="G127" s="3">
        <v>22.086207000000002</v>
      </c>
      <c r="H127" s="3">
        <v>22.086207000000002</v>
      </c>
      <c r="I127" s="3"/>
      <c r="J127" s="3"/>
      <c r="K127" s="3"/>
      <c r="L127" s="3"/>
      <c r="M127" s="3"/>
      <c r="N127" s="3"/>
      <c r="O127" s="3"/>
    </row>
    <row r="128" spans="1:15" s="2" customFormat="1" x14ac:dyDescent="0.3">
      <c r="A128" s="53" t="s">
        <v>489</v>
      </c>
      <c r="B128" s="2" t="s">
        <v>672</v>
      </c>
      <c r="C128" s="54">
        <f>C127</f>
        <v>20.456251999999999</v>
      </c>
      <c r="D128" s="54">
        <f t="shared" ref="D128:O128" si="2">D127</f>
        <v>20.456251999999999</v>
      </c>
      <c r="E128" s="54">
        <f t="shared" si="2"/>
        <v>20.943950999999998</v>
      </c>
      <c r="F128" s="54">
        <f t="shared" si="2"/>
        <v>20.943950999999998</v>
      </c>
      <c r="G128" s="55">
        <f t="shared" si="2"/>
        <v>22.086207000000002</v>
      </c>
      <c r="H128" s="55">
        <f t="shared" si="2"/>
        <v>22.086207000000002</v>
      </c>
      <c r="I128" s="55">
        <f t="shared" si="2"/>
        <v>0</v>
      </c>
      <c r="J128" s="55">
        <f t="shared" si="2"/>
        <v>0</v>
      </c>
      <c r="K128" s="55">
        <f t="shared" si="2"/>
        <v>0</v>
      </c>
      <c r="L128" s="55">
        <f t="shared" si="2"/>
        <v>0</v>
      </c>
      <c r="M128" s="55">
        <f t="shared" si="2"/>
        <v>0</v>
      </c>
      <c r="N128" s="55">
        <f t="shared" si="2"/>
        <v>0</v>
      </c>
      <c r="O128" s="55">
        <f t="shared" si="2"/>
        <v>0</v>
      </c>
    </row>
    <row r="129" spans="1:15" s="2" customFormat="1" x14ac:dyDescent="0.3">
      <c r="A129" s="53" t="s">
        <v>482</v>
      </c>
      <c r="B129" s="2" t="s">
        <v>673</v>
      </c>
      <c r="C129" s="55">
        <v>20.456251999999999</v>
      </c>
      <c r="D129" s="55">
        <f t="shared" ref="D129:O129" si="3">D127</f>
        <v>20.456251999999999</v>
      </c>
      <c r="E129" s="55">
        <f t="shared" si="3"/>
        <v>20.943950999999998</v>
      </c>
      <c r="F129" s="55">
        <f t="shared" si="3"/>
        <v>20.943950999999998</v>
      </c>
      <c r="G129" s="55">
        <f t="shared" si="3"/>
        <v>22.086207000000002</v>
      </c>
      <c r="H129" s="55">
        <f t="shared" si="3"/>
        <v>22.086207000000002</v>
      </c>
      <c r="I129" s="55">
        <f t="shared" si="3"/>
        <v>0</v>
      </c>
      <c r="J129" s="55">
        <f t="shared" si="3"/>
        <v>0</v>
      </c>
      <c r="K129" s="55">
        <f t="shared" si="3"/>
        <v>0</v>
      </c>
      <c r="L129" s="55">
        <f t="shared" si="3"/>
        <v>0</v>
      </c>
      <c r="M129" s="55">
        <f t="shared" si="3"/>
        <v>0</v>
      </c>
      <c r="N129" s="55">
        <f t="shared" si="3"/>
        <v>0</v>
      </c>
      <c r="O129" s="55">
        <f t="shared" si="3"/>
        <v>0</v>
      </c>
    </row>
    <row r="130" spans="1:15" s="2" customFormat="1" x14ac:dyDescent="0.3">
      <c r="A130" s="53" t="s">
        <v>483</v>
      </c>
      <c r="B130" s="2" t="s">
        <v>561</v>
      </c>
      <c r="C130" s="3">
        <v>921.62179400000002</v>
      </c>
      <c r="D130" s="2">
        <v>921.62179400000002</v>
      </c>
      <c r="E130" s="3">
        <v>943.59424300000001</v>
      </c>
      <c r="F130" s="3">
        <v>943.59424300000001</v>
      </c>
      <c r="G130" s="3">
        <v>995.056691</v>
      </c>
      <c r="H130" s="3">
        <v>995.056691</v>
      </c>
      <c r="I130" s="3"/>
      <c r="J130" s="3"/>
      <c r="K130" s="3"/>
      <c r="L130" s="3"/>
      <c r="M130" s="3"/>
      <c r="N130" s="3"/>
      <c r="O130" s="3"/>
    </row>
    <row r="131" spans="1:15" s="2" customFormat="1" x14ac:dyDescent="0.3">
      <c r="A131" s="53" t="s">
        <v>484</v>
      </c>
      <c r="B131" s="2" t="s">
        <v>560</v>
      </c>
      <c r="C131" s="55">
        <v>921.62179400000002</v>
      </c>
      <c r="D131" s="55">
        <f t="shared" ref="D131:O131" si="4">D130</f>
        <v>921.62179400000002</v>
      </c>
      <c r="E131" s="55">
        <f t="shared" si="4"/>
        <v>943.59424300000001</v>
      </c>
      <c r="F131" s="55">
        <f t="shared" si="4"/>
        <v>943.59424300000001</v>
      </c>
      <c r="G131" s="55">
        <f t="shared" si="4"/>
        <v>995.056691</v>
      </c>
      <c r="H131" s="55">
        <f t="shared" si="4"/>
        <v>995.056691</v>
      </c>
      <c r="I131" s="55">
        <f t="shared" si="4"/>
        <v>0</v>
      </c>
      <c r="J131" s="55">
        <f t="shared" si="4"/>
        <v>0</v>
      </c>
      <c r="K131" s="55">
        <f t="shared" si="4"/>
        <v>0</v>
      </c>
      <c r="L131" s="55">
        <f t="shared" si="4"/>
        <v>0</v>
      </c>
      <c r="M131" s="55">
        <f t="shared" si="4"/>
        <v>0</v>
      </c>
      <c r="N131" s="55">
        <f t="shared" si="4"/>
        <v>0</v>
      </c>
      <c r="O131" s="55">
        <f t="shared" si="4"/>
        <v>0</v>
      </c>
    </row>
    <row r="132" spans="1:15" s="2" customFormat="1" x14ac:dyDescent="0.3">
      <c r="A132" s="53" t="s">
        <v>485</v>
      </c>
      <c r="B132" s="2" t="s">
        <v>674</v>
      </c>
      <c r="C132" s="55">
        <v>921.62179400000002</v>
      </c>
      <c r="D132" s="55">
        <f t="shared" ref="D132:E132" si="5">D130</f>
        <v>921.62179400000002</v>
      </c>
      <c r="E132" s="55">
        <f t="shared" si="5"/>
        <v>943.59424300000001</v>
      </c>
      <c r="F132" s="55">
        <f>F130</f>
        <v>943.59424300000001</v>
      </c>
      <c r="G132" s="55">
        <f t="shared" ref="G132:O132" si="6">G130</f>
        <v>995.056691</v>
      </c>
      <c r="H132" s="55">
        <f t="shared" si="6"/>
        <v>995.056691</v>
      </c>
      <c r="I132" s="55">
        <f t="shared" si="6"/>
        <v>0</v>
      </c>
      <c r="J132" s="55">
        <f t="shared" si="6"/>
        <v>0</v>
      </c>
      <c r="K132" s="55">
        <f t="shared" si="6"/>
        <v>0</v>
      </c>
      <c r="L132" s="55">
        <f t="shared" si="6"/>
        <v>0</v>
      </c>
      <c r="M132" s="55">
        <f t="shared" si="6"/>
        <v>0</v>
      </c>
      <c r="N132" s="55">
        <f t="shared" si="6"/>
        <v>0</v>
      </c>
      <c r="O132" s="55">
        <f t="shared" si="6"/>
        <v>0</v>
      </c>
    </row>
    <row r="133" spans="1:15" s="2" customFormat="1" x14ac:dyDescent="0.3">
      <c r="A133" s="53" t="s">
        <v>633</v>
      </c>
      <c r="B133" s="2" t="s">
        <v>678</v>
      </c>
      <c r="C133" s="55">
        <f>C130</f>
        <v>921.62179400000002</v>
      </c>
      <c r="D133" s="55">
        <f t="shared" ref="D133:O133" si="7">D130</f>
        <v>921.62179400000002</v>
      </c>
      <c r="E133" s="55">
        <f t="shared" si="7"/>
        <v>943.59424300000001</v>
      </c>
      <c r="F133" s="55">
        <f t="shared" si="7"/>
        <v>943.59424300000001</v>
      </c>
      <c r="G133" s="55">
        <f t="shared" si="7"/>
        <v>995.056691</v>
      </c>
      <c r="H133" s="55">
        <f t="shared" si="7"/>
        <v>995.056691</v>
      </c>
      <c r="I133" s="55">
        <f t="shared" si="7"/>
        <v>0</v>
      </c>
      <c r="J133" s="55">
        <f t="shared" si="7"/>
        <v>0</v>
      </c>
      <c r="K133" s="55">
        <f t="shared" si="7"/>
        <v>0</v>
      </c>
      <c r="L133" s="55">
        <f t="shared" si="7"/>
        <v>0</v>
      </c>
      <c r="M133" s="55">
        <f t="shared" si="7"/>
        <v>0</v>
      </c>
      <c r="N133" s="55">
        <f t="shared" si="7"/>
        <v>0</v>
      </c>
      <c r="O133" s="55">
        <f t="shared" si="7"/>
        <v>0</v>
      </c>
    </row>
    <row r="134" spans="1:15" s="2" customFormat="1" x14ac:dyDescent="0.3">
      <c r="A134" s="53" t="s">
        <v>634</v>
      </c>
      <c r="B134" s="2" t="s">
        <v>679</v>
      </c>
      <c r="C134" s="55">
        <f>C130</f>
        <v>921.62179400000002</v>
      </c>
      <c r="D134" s="55">
        <f>D130</f>
        <v>921.62179400000002</v>
      </c>
      <c r="E134" s="55">
        <f t="shared" ref="E134:O134" si="8">E130</f>
        <v>943.59424300000001</v>
      </c>
      <c r="F134" s="55">
        <f t="shared" si="8"/>
        <v>943.59424300000001</v>
      </c>
      <c r="G134" s="55">
        <f t="shared" si="8"/>
        <v>995.056691</v>
      </c>
      <c r="H134" s="55">
        <f t="shared" si="8"/>
        <v>995.056691</v>
      </c>
      <c r="I134" s="55">
        <f t="shared" si="8"/>
        <v>0</v>
      </c>
      <c r="J134" s="55">
        <f t="shared" si="8"/>
        <v>0</v>
      </c>
      <c r="K134" s="55">
        <f t="shared" si="8"/>
        <v>0</v>
      </c>
      <c r="L134" s="55">
        <f t="shared" si="8"/>
        <v>0</v>
      </c>
      <c r="M134" s="55">
        <f t="shared" si="8"/>
        <v>0</v>
      </c>
      <c r="N134" s="55">
        <f t="shared" si="8"/>
        <v>0</v>
      </c>
      <c r="O134" s="55">
        <f t="shared" si="8"/>
        <v>0</v>
      </c>
    </row>
    <row r="135" spans="1:15" s="2" customFormat="1" x14ac:dyDescent="0.3">
      <c r="A135" s="53" t="s">
        <v>486</v>
      </c>
      <c r="B135" s="2" t="s">
        <v>563</v>
      </c>
      <c r="C135" s="3">
        <v>3497.0524180000002</v>
      </c>
      <c r="D135" s="3">
        <v>3497.0524180000002</v>
      </c>
      <c r="E135" s="3">
        <v>3580.4258880000002</v>
      </c>
      <c r="F135" s="3">
        <v>3580.4258880000002</v>
      </c>
      <c r="G135" s="3">
        <v>3775.6978319999998</v>
      </c>
      <c r="H135" s="3">
        <v>3775.6978319999998</v>
      </c>
      <c r="I135" s="3"/>
      <c r="J135" s="3"/>
      <c r="K135" s="3"/>
      <c r="L135" s="3"/>
      <c r="M135" s="3"/>
      <c r="N135" s="3"/>
      <c r="O135" s="3"/>
    </row>
    <row r="136" spans="1:15" s="2" customFormat="1" x14ac:dyDescent="0.3">
      <c r="A136" s="8" t="s">
        <v>487</v>
      </c>
      <c r="B136" s="2" t="s">
        <v>562</v>
      </c>
      <c r="C136" s="55">
        <v>3497.0524180000002</v>
      </c>
      <c r="D136" s="55">
        <f t="shared" ref="D136:O137" si="9">D135</f>
        <v>3497.0524180000002</v>
      </c>
      <c r="E136" s="55">
        <f t="shared" si="9"/>
        <v>3580.4258880000002</v>
      </c>
      <c r="F136" s="55">
        <f t="shared" si="9"/>
        <v>3580.4258880000002</v>
      </c>
      <c r="G136" s="55">
        <f t="shared" si="9"/>
        <v>3775.6978319999998</v>
      </c>
      <c r="H136" s="55">
        <f t="shared" si="9"/>
        <v>3775.6978319999998</v>
      </c>
      <c r="I136" s="55">
        <f t="shared" si="9"/>
        <v>0</v>
      </c>
      <c r="J136" s="55">
        <f t="shared" si="9"/>
        <v>0</v>
      </c>
      <c r="K136" s="55">
        <f t="shared" si="9"/>
        <v>0</v>
      </c>
      <c r="L136" s="55">
        <f t="shared" si="9"/>
        <v>0</v>
      </c>
      <c r="M136" s="55">
        <f t="shared" si="9"/>
        <v>0</v>
      </c>
      <c r="N136" s="55">
        <f t="shared" si="9"/>
        <v>0</v>
      </c>
      <c r="O136" s="55">
        <f t="shared" si="9"/>
        <v>0</v>
      </c>
    </row>
    <row r="137" spans="1:15" s="2" customFormat="1" x14ac:dyDescent="0.3">
      <c r="A137" s="8" t="s">
        <v>488</v>
      </c>
      <c r="B137" s="2" t="s">
        <v>676</v>
      </c>
      <c r="C137" s="55">
        <v>3497.0524180000002</v>
      </c>
      <c r="D137" s="55">
        <f t="shared" si="9"/>
        <v>3497.0524180000002</v>
      </c>
      <c r="E137" s="55">
        <f t="shared" si="9"/>
        <v>3580.4258880000002</v>
      </c>
      <c r="F137" s="55">
        <f t="shared" si="9"/>
        <v>3580.4258880000002</v>
      </c>
      <c r="G137" s="55">
        <f t="shared" si="9"/>
        <v>3775.6978319999998</v>
      </c>
      <c r="H137" s="55">
        <f t="shared" si="9"/>
        <v>3775.6978319999998</v>
      </c>
      <c r="I137" s="55">
        <f t="shared" si="9"/>
        <v>0</v>
      </c>
      <c r="J137" s="55">
        <f t="shared" si="9"/>
        <v>0</v>
      </c>
      <c r="K137" s="55">
        <f t="shared" si="9"/>
        <v>0</v>
      </c>
      <c r="L137" s="55">
        <f t="shared" si="9"/>
        <v>0</v>
      </c>
      <c r="M137" s="55">
        <f t="shared" si="9"/>
        <v>0</v>
      </c>
      <c r="N137" s="55">
        <f t="shared" si="9"/>
        <v>0</v>
      </c>
      <c r="O137" s="55">
        <f t="shared" si="9"/>
        <v>0</v>
      </c>
    </row>
    <row r="138" spans="1:15" s="2" customFormat="1" x14ac:dyDescent="0.3">
      <c r="A138" s="8" t="s">
        <v>635</v>
      </c>
      <c r="B138" s="2" t="s">
        <v>680</v>
      </c>
      <c r="C138" s="55">
        <f>C135</f>
        <v>3497.0524180000002</v>
      </c>
      <c r="D138" s="55">
        <f t="shared" ref="D138:O138" si="10">D135</f>
        <v>3497.0524180000002</v>
      </c>
      <c r="E138" s="55">
        <f t="shared" si="10"/>
        <v>3580.4258880000002</v>
      </c>
      <c r="F138" s="55">
        <f t="shared" si="10"/>
        <v>3580.4258880000002</v>
      </c>
      <c r="G138" s="55">
        <f t="shared" si="10"/>
        <v>3775.6978319999998</v>
      </c>
      <c r="H138" s="55">
        <f t="shared" si="10"/>
        <v>3775.6978319999998</v>
      </c>
      <c r="I138" s="55">
        <f t="shared" si="10"/>
        <v>0</v>
      </c>
      <c r="J138" s="55">
        <f t="shared" si="10"/>
        <v>0</v>
      </c>
      <c r="K138" s="55">
        <f t="shared" si="10"/>
        <v>0</v>
      </c>
      <c r="L138" s="55">
        <f t="shared" si="10"/>
        <v>0</v>
      </c>
      <c r="M138" s="55">
        <f t="shared" si="10"/>
        <v>0</v>
      </c>
      <c r="N138" s="55">
        <f t="shared" si="10"/>
        <v>0</v>
      </c>
      <c r="O138" s="55">
        <f t="shared" si="10"/>
        <v>0</v>
      </c>
    </row>
    <row r="139" spans="1:15" s="2" customFormat="1" x14ac:dyDescent="0.3">
      <c r="A139" s="8" t="s">
        <v>636</v>
      </c>
      <c r="B139" s="2" t="s">
        <v>681</v>
      </c>
      <c r="C139" s="55">
        <f>C135</f>
        <v>3497.0524180000002</v>
      </c>
      <c r="D139" s="55">
        <f t="shared" ref="D139:O139" si="11">D135</f>
        <v>3497.0524180000002</v>
      </c>
      <c r="E139" s="55">
        <f t="shared" si="11"/>
        <v>3580.4258880000002</v>
      </c>
      <c r="F139" s="55">
        <f t="shared" si="11"/>
        <v>3580.4258880000002</v>
      </c>
      <c r="G139" s="55">
        <f t="shared" si="11"/>
        <v>3775.6978319999998</v>
      </c>
      <c r="H139" s="55">
        <f t="shared" si="11"/>
        <v>3775.6978319999998</v>
      </c>
      <c r="I139" s="55">
        <f t="shared" si="11"/>
        <v>0</v>
      </c>
      <c r="J139" s="55">
        <f t="shared" si="11"/>
        <v>0</v>
      </c>
      <c r="K139" s="55">
        <f t="shared" si="11"/>
        <v>0</v>
      </c>
      <c r="L139" s="55">
        <f t="shared" si="11"/>
        <v>0</v>
      </c>
      <c r="M139" s="55">
        <f t="shared" si="11"/>
        <v>0</v>
      </c>
      <c r="N139" s="55">
        <f t="shared" si="11"/>
        <v>0</v>
      </c>
      <c r="O139" s="55">
        <f t="shared" si="11"/>
        <v>0</v>
      </c>
    </row>
    <row r="140" spans="1:15" s="2" customFormat="1" x14ac:dyDescent="0.3">
      <c r="G140" s="3"/>
      <c r="H140" s="3"/>
      <c r="I140" s="3"/>
      <c r="J140" s="3"/>
      <c r="K140" s="3"/>
      <c r="L140" s="3"/>
      <c r="M140" s="3"/>
      <c r="N140" s="3"/>
      <c r="O140" s="3"/>
    </row>
    <row r="141" spans="1:15" s="2" customFormat="1" x14ac:dyDescent="0.3">
      <c r="A141" s="5" t="s">
        <v>492</v>
      </c>
      <c r="B141" s="2" t="str">
        <f>B$1</f>
        <v>Elegir Trim.</v>
      </c>
      <c r="C141" s="83">
        <f>C$126</f>
        <v>44501</v>
      </c>
      <c r="D141" s="83">
        <f t="shared" ref="D141:K141" si="12">D$126</f>
        <v>44593</v>
      </c>
      <c r="E141" s="83">
        <f t="shared" si="12"/>
        <v>44682</v>
      </c>
      <c r="F141" s="83">
        <f t="shared" si="12"/>
        <v>44774</v>
      </c>
      <c r="G141" s="83">
        <f t="shared" si="12"/>
        <v>44866</v>
      </c>
      <c r="H141" s="83">
        <f t="shared" si="12"/>
        <v>44958</v>
      </c>
      <c r="I141" s="83">
        <f t="shared" si="12"/>
        <v>45047</v>
      </c>
      <c r="J141" s="83">
        <f t="shared" si="12"/>
        <v>45139</v>
      </c>
      <c r="K141" s="83">
        <f t="shared" si="12"/>
        <v>45231</v>
      </c>
      <c r="L141" s="3"/>
      <c r="M141" s="3"/>
      <c r="N141" s="3"/>
      <c r="O141" s="3"/>
    </row>
    <row r="142" spans="1:15" s="2" customFormat="1" x14ac:dyDescent="0.3">
      <c r="A142" s="53" t="s">
        <v>481</v>
      </c>
      <c r="B142" s="2" t="s">
        <v>493</v>
      </c>
      <c r="C142" s="3">
        <v>1.929073</v>
      </c>
      <c r="D142" s="2">
        <v>1.978469</v>
      </c>
      <c r="E142" s="2">
        <v>2.1185079999999998</v>
      </c>
      <c r="F142" s="2">
        <v>2.1984880000000002</v>
      </c>
      <c r="G142" s="3">
        <v>2.1984880000000002</v>
      </c>
      <c r="H142" s="3">
        <v>2.1983969999999999</v>
      </c>
      <c r="I142" s="3"/>
      <c r="J142" s="3"/>
      <c r="K142" s="3"/>
      <c r="L142" s="3"/>
      <c r="M142" s="3"/>
      <c r="N142" s="3"/>
      <c r="O142" s="3"/>
    </row>
    <row r="143" spans="1:15" s="2" customFormat="1" x14ac:dyDescent="0.3">
      <c r="A143" s="53" t="s">
        <v>489</v>
      </c>
      <c r="B143" s="2" t="s">
        <v>494</v>
      </c>
      <c r="C143" s="3">
        <v>1.72194</v>
      </c>
      <c r="D143" s="2">
        <v>1.7713350000000001</v>
      </c>
      <c r="E143" s="2">
        <v>1.906231</v>
      </c>
      <c r="F143" s="3">
        <v>1.98621</v>
      </c>
      <c r="G143" s="3">
        <v>1.9788619999999999</v>
      </c>
      <c r="H143" s="3">
        <v>1.9787710000000001</v>
      </c>
      <c r="I143" s="3"/>
      <c r="J143" s="3"/>
      <c r="K143" s="3"/>
      <c r="L143" s="3"/>
      <c r="M143" s="3"/>
      <c r="N143" s="3"/>
      <c r="O143" s="3"/>
    </row>
    <row r="144" spans="1:15" s="2" customFormat="1" x14ac:dyDescent="0.3">
      <c r="A144" s="53" t="s">
        <v>482</v>
      </c>
      <c r="B144" s="2" t="s">
        <v>495</v>
      </c>
      <c r="C144" s="3">
        <v>2.017423</v>
      </c>
      <c r="D144" s="2">
        <v>2.066818</v>
      </c>
      <c r="E144" s="2">
        <v>2.2135760000000002</v>
      </c>
      <c r="F144" s="2">
        <v>2.2935560000000002</v>
      </c>
      <c r="G144" s="3">
        <v>2.293555</v>
      </c>
      <c r="H144" s="3">
        <v>2.2934640000000002</v>
      </c>
      <c r="I144" s="3"/>
      <c r="J144" s="3"/>
      <c r="K144" s="3"/>
      <c r="L144" s="3"/>
      <c r="M144" s="3"/>
      <c r="N144" s="3"/>
      <c r="O144" s="3"/>
    </row>
    <row r="145" spans="1:15" s="2" customFormat="1" x14ac:dyDescent="0.3">
      <c r="A145" s="53" t="s">
        <v>483</v>
      </c>
      <c r="B145" s="2" t="s">
        <v>496</v>
      </c>
      <c r="C145" s="3">
        <v>1.1756200000000001</v>
      </c>
      <c r="D145" s="2">
        <v>1.225015</v>
      </c>
      <c r="E145" s="3">
        <v>1.35137</v>
      </c>
      <c r="F145" s="3">
        <v>1.4313499999999999</v>
      </c>
      <c r="G145" s="3">
        <v>1.4044920000000001</v>
      </c>
      <c r="H145" s="3">
        <v>1.404401</v>
      </c>
      <c r="I145" s="3"/>
      <c r="J145" s="3"/>
      <c r="K145" s="3"/>
      <c r="L145" s="3"/>
      <c r="M145" s="3"/>
      <c r="N145" s="3"/>
      <c r="O145" s="3"/>
    </row>
    <row r="146" spans="1:15" s="2" customFormat="1" x14ac:dyDescent="0.3">
      <c r="A146" s="53" t="s">
        <v>484</v>
      </c>
      <c r="B146" s="2" t="s">
        <v>497</v>
      </c>
      <c r="C146" s="3">
        <v>1.176132</v>
      </c>
      <c r="D146" s="2">
        <v>1.225527</v>
      </c>
      <c r="E146" s="3">
        <v>1.3527450000000001</v>
      </c>
      <c r="F146" s="2">
        <v>1.432725</v>
      </c>
      <c r="G146" s="3">
        <v>1.405867</v>
      </c>
      <c r="H146" s="3">
        <v>1.4057759999999999</v>
      </c>
      <c r="I146" s="3"/>
      <c r="J146" s="3"/>
      <c r="K146" s="3"/>
      <c r="L146" s="3"/>
      <c r="M146" s="3"/>
      <c r="N146" s="3"/>
      <c r="O146" s="3"/>
    </row>
    <row r="147" spans="1:15" s="2" customFormat="1" x14ac:dyDescent="0.3">
      <c r="A147" s="53" t="s">
        <v>485</v>
      </c>
      <c r="B147" s="2" t="s">
        <v>498</v>
      </c>
      <c r="C147" s="3">
        <v>1.186993</v>
      </c>
      <c r="D147" s="2">
        <v>1.236388</v>
      </c>
      <c r="E147" s="3">
        <v>1.3706259999999999</v>
      </c>
      <c r="F147" s="2">
        <v>1.4506060000000001</v>
      </c>
      <c r="G147" s="3">
        <v>1.423748</v>
      </c>
      <c r="H147" s="3">
        <v>1.423657</v>
      </c>
      <c r="I147" s="3"/>
      <c r="J147" s="3"/>
      <c r="K147" s="3"/>
      <c r="L147" s="3"/>
      <c r="M147" s="3"/>
      <c r="N147" s="3"/>
      <c r="O147" s="3"/>
    </row>
    <row r="148" spans="1:15" s="2" customFormat="1" x14ac:dyDescent="0.3">
      <c r="A148" s="53" t="s">
        <v>633</v>
      </c>
      <c r="B148" s="2" t="s">
        <v>606</v>
      </c>
      <c r="C148" s="3">
        <v>1.1760980000000001</v>
      </c>
      <c r="D148" s="2">
        <v>1.2254929999999999</v>
      </c>
      <c r="E148" s="3">
        <v>1.3517349999999999</v>
      </c>
      <c r="F148" s="2">
        <v>1.4317150000000001</v>
      </c>
      <c r="G148" s="3">
        <v>1.404857</v>
      </c>
      <c r="H148" s="3">
        <v>1.404766</v>
      </c>
      <c r="I148" s="3"/>
      <c r="J148" s="3"/>
      <c r="K148" s="3"/>
      <c r="L148" s="3"/>
      <c r="M148" s="3"/>
      <c r="N148" s="3"/>
      <c r="O148" s="3"/>
    </row>
    <row r="149" spans="1:15" s="2" customFormat="1" x14ac:dyDescent="0.3">
      <c r="A149" s="53" t="s">
        <v>634</v>
      </c>
      <c r="B149" s="2" t="s">
        <v>607</v>
      </c>
      <c r="C149" s="55">
        <f>C148</f>
        <v>1.1760980000000001</v>
      </c>
      <c r="D149" s="55">
        <f t="shared" ref="D149:O149" si="13">D148</f>
        <v>1.2254929999999999</v>
      </c>
      <c r="E149" s="55">
        <f t="shared" si="13"/>
        <v>1.3517349999999999</v>
      </c>
      <c r="F149" s="55">
        <f t="shared" si="13"/>
        <v>1.4317150000000001</v>
      </c>
      <c r="G149" s="55">
        <f t="shared" si="13"/>
        <v>1.404857</v>
      </c>
      <c r="H149" s="55">
        <f t="shared" si="13"/>
        <v>1.404766</v>
      </c>
      <c r="I149" s="55">
        <f t="shared" si="13"/>
        <v>0</v>
      </c>
      <c r="J149" s="55">
        <f t="shared" si="13"/>
        <v>0</v>
      </c>
      <c r="K149" s="55">
        <f t="shared" si="13"/>
        <v>0</v>
      </c>
      <c r="L149" s="55">
        <f t="shared" si="13"/>
        <v>0</v>
      </c>
      <c r="M149" s="55">
        <f t="shared" si="13"/>
        <v>0</v>
      </c>
      <c r="N149" s="55">
        <f t="shared" si="13"/>
        <v>0</v>
      </c>
      <c r="O149" s="55">
        <f t="shared" si="13"/>
        <v>0</v>
      </c>
    </row>
    <row r="150" spans="1:15" s="2" customFormat="1" x14ac:dyDescent="0.3">
      <c r="A150" s="53" t="s">
        <v>486</v>
      </c>
      <c r="B150" s="2" t="s">
        <v>500</v>
      </c>
      <c r="C150" s="3">
        <v>1.056292</v>
      </c>
      <c r="D150" s="2">
        <v>1.1056870000000001</v>
      </c>
      <c r="E150" s="3">
        <v>1.2155069999999999</v>
      </c>
      <c r="F150" s="2">
        <v>1.2954870000000001</v>
      </c>
      <c r="G150" s="3">
        <v>1.268629</v>
      </c>
      <c r="H150" s="3">
        <v>1.2685379999999999</v>
      </c>
      <c r="I150" s="3"/>
      <c r="J150" s="3"/>
      <c r="K150" s="3"/>
      <c r="L150" s="3"/>
      <c r="M150" s="3"/>
      <c r="N150" s="3"/>
      <c r="O150" s="3"/>
    </row>
    <row r="151" spans="1:15" s="2" customFormat="1" x14ac:dyDescent="0.3">
      <c r="A151" s="8" t="s">
        <v>487</v>
      </c>
      <c r="B151" s="2" t="s">
        <v>501</v>
      </c>
      <c r="C151" s="3">
        <v>1.056494</v>
      </c>
      <c r="D151" s="2">
        <v>1.1058889999999999</v>
      </c>
      <c r="E151" s="3">
        <v>1.215902</v>
      </c>
      <c r="F151" s="2">
        <v>1.295882</v>
      </c>
      <c r="G151" s="3">
        <v>1.2690239999999999</v>
      </c>
      <c r="H151" s="3">
        <v>1.2689330000000001</v>
      </c>
      <c r="I151" s="3"/>
      <c r="J151" s="3"/>
      <c r="K151" s="3"/>
      <c r="L151" s="3"/>
      <c r="M151" s="3"/>
      <c r="N151" s="3"/>
      <c r="O151" s="3"/>
    </row>
    <row r="152" spans="1:15" s="2" customFormat="1" x14ac:dyDescent="0.3">
      <c r="A152" s="8" t="s">
        <v>488</v>
      </c>
      <c r="B152" s="2" t="s">
        <v>502</v>
      </c>
      <c r="C152" s="3">
        <v>1.06653</v>
      </c>
      <c r="D152" s="2">
        <v>1.1159250000000001</v>
      </c>
      <c r="E152" s="3">
        <v>1.2328220000000001</v>
      </c>
      <c r="F152" s="2">
        <v>1.312802</v>
      </c>
      <c r="G152" s="3">
        <v>1.285944</v>
      </c>
      <c r="H152" s="3">
        <v>1.2858529999999999</v>
      </c>
      <c r="I152" s="3"/>
      <c r="J152" s="3"/>
      <c r="K152" s="3"/>
      <c r="L152" s="3"/>
      <c r="M152" s="3"/>
      <c r="N152" s="3"/>
      <c r="O152" s="3"/>
    </row>
    <row r="153" spans="1:15" s="2" customFormat="1" x14ac:dyDescent="0.3">
      <c r="A153" s="8" t="s">
        <v>635</v>
      </c>
      <c r="B153" s="2" t="s">
        <v>608</v>
      </c>
      <c r="C153" s="3">
        <v>1.0567359999999999</v>
      </c>
      <c r="D153" s="2">
        <v>1.106131</v>
      </c>
      <c r="E153" s="3">
        <v>1.21584</v>
      </c>
      <c r="F153" s="3">
        <v>1.29582</v>
      </c>
      <c r="G153" s="3">
        <v>1.2689619999999999</v>
      </c>
      <c r="H153" s="3">
        <v>1.2688710000000001</v>
      </c>
      <c r="I153" s="3"/>
      <c r="J153" s="3"/>
      <c r="K153" s="3"/>
      <c r="L153" s="3"/>
      <c r="M153" s="3"/>
      <c r="N153" s="3"/>
      <c r="O153" s="3"/>
    </row>
    <row r="154" spans="1:15" s="2" customFormat="1" x14ac:dyDescent="0.3">
      <c r="A154" s="8" t="s">
        <v>636</v>
      </c>
      <c r="B154" s="2" t="s">
        <v>609</v>
      </c>
      <c r="C154" s="55">
        <f t="shared" ref="C154:O154" si="14">C153</f>
        <v>1.0567359999999999</v>
      </c>
      <c r="D154" s="55">
        <f t="shared" si="14"/>
        <v>1.106131</v>
      </c>
      <c r="E154" s="55">
        <f t="shared" si="14"/>
        <v>1.21584</v>
      </c>
      <c r="F154" s="55">
        <f t="shared" si="14"/>
        <v>1.29582</v>
      </c>
      <c r="G154" s="55">
        <f t="shared" si="14"/>
        <v>1.2689619999999999</v>
      </c>
      <c r="H154" s="55">
        <f t="shared" si="14"/>
        <v>1.2688710000000001</v>
      </c>
      <c r="I154" s="55">
        <f t="shared" si="14"/>
        <v>0</v>
      </c>
      <c r="J154" s="55">
        <f t="shared" si="14"/>
        <v>0</v>
      </c>
      <c r="K154" s="55">
        <f t="shared" si="14"/>
        <v>0</v>
      </c>
      <c r="L154" s="55">
        <f t="shared" si="14"/>
        <v>0</v>
      </c>
      <c r="M154" s="55">
        <f t="shared" si="14"/>
        <v>0</v>
      </c>
      <c r="N154" s="55">
        <f t="shared" si="14"/>
        <v>0</v>
      </c>
      <c r="O154" s="55">
        <f t="shared" si="14"/>
        <v>0</v>
      </c>
    </row>
    <row r="155" spans="1:15" s="2" customFormat="1" x14ac:dyDescent="0.3">
      <c r="C155" s="3"/>
      <c r="G155" s="3"/>
      <c r="H155" s="3"/>
      <c r="I155" s="3"/>
      <c r="J155" s="3"/>
      <c r="K155" s="3"/>
      <c r="L155" s="3"/>
      <c r="M155" s="3"/>
      <c r="N155" s="3"/>
      <c r="O155" s="3"/>
    </row>
    <row r="156" spans="1:15" s="2" customFormat="1" x14ac:dyDescent="0.3">
      <c r="A156" s="5" t="s">
        <v>504</v>
      </c>
      <c r="B156" s="2" t="str">
        <f>B$1</f>
        <v>Elegir Trim.</v>
      </c>
      <c r="C156" s="83">
        <f>C$126</f>
        <v>44501</v>
      </c>
      <c r="D156" s="83">
        <f t="shared" ref="D156:K156" si="15">D$126</f>
        <v>44593</v>
      </c>
      <c r="E156" s="83">
        <f t="shared" si="15"/>
        <v>44682</v>
      </c>
      <c r="F156" s="83">
        <f t="shared" si="15"/>
        <v>44774</v>
      </c>
      <c r="G156" s="83">
        <f t="shared" si="15"/>
        <v>44866</v>
      </c>
      <c r="H156" s="83">
        <f t="shared" si="15"/>
        <v>44958</v>
      </c>
      <c r="I156" s="83">
        <f t="shared" si="15"/>
        <v>45047</v>
      </c>
      <c r="J156" s="83">
        <f t="shared" si="15"/>
        <v>45139</v>
      </c>
      <c r="K156" s="83">
        <f t="shared" si="15"/>
        <v>45231</v>
      </c>
      <c r="L156" s="3"/>
      <c r="M156" s="3"/>
      <c r="N156" s="3"/>
      <c r="O156" s="3"/>
    </row>
    <row r="157" spans="1:15" s="2" customFormat="1" x14ac:dyDescent="0.3">
      <c r="A157" s="53" t="s">
        <v>481</v>
      </c>
      <c r="B157" s="2" t="s">
        <v>505</v>
      </c>
      <c r="C157" s="55">
        <f t="shared" ref="C157:O158" si="16">C142</f>
        <v>1.929073</v>
      </c>
      <c r="D157" s="55">
        <f t="shared" si="16"/>
        <v>1.978469</v>
      </c>
      <c r="E157" s="55">
        <f t="shared" si="16"/>
        <v>2.1185079999999998</v>
      </c>
      <c r="F157" s="55">
        <f t="shared" si="16"/>
        <v>2.1984880000000002</v>
      </c>
      <c r="G157" s="55">
        <f t="shared" si="16"/>
        <v>2.1984880000000002</v>
      </c>
      <c r="H157" s="55">
        <f t="shared" si="16"/>
        <v>2.1983969999999999</v>
      </c>
      <c r="I157" s="55">
        <f t="shared" si="16"/>
        <v>0</v>
      </c>
      <c r="J157" s="55">
        <f t="shared" si="16"/>
        <v>0</v>
      </c>
      <c r="K157" s="55">
        <f t="shared" si="16"/>
        <v>0</v>
      </c>
      <c r="L157" s="55">
        <f t="shared" si="16"/>
        <v>0</v>
      </c>
      <c r="M157" s="55">
        <f t="shared" si="16"/>
        <v>0</v>
      </c>
      <c r="N157" s="55">
        <f t="shared" si="16"/>
        <v>0</v>
      </c>
      <c r="O157" s="55">
        <f t="shared" si="16"/>
        <v>0</v>
      </c>
    </row>
    <row r="158" spans="1:15" s="2" customFormat="1" x14ac:dyDescent="0.3">
      <c r="A158" s="53" t="s">
        <v>489</v>
      </c>
      <c r="B158" s="2" t="s">
        <v>506</v>
      </c>
      <c r="C158" s="55">
        <f t="shared" si="16"/>
        <v>1.72194</v>
      </c>
      <c r="D158" s="55">
        <f t="shared" si="16"/>
        <v>1.7713350000000001</v>
      </c>
      <c r="E158" s="55">
        <f t="shared" si="16"/>
        <v>1.906231</v>
      </c>
      <c r="F158" s="55">
        <f t="shared" si="16"/>
        <v>1.98621</v>
      </c>
      <c r="G158" s="55">
        <f t="shared" si="16"/>
        <v>1.9788619999999999</v>
      </c>
      <c r="H158" s="55">
        <f t="shared" si="16"/>
        <v>1.9787710000000001</v>
      </c>
      <c r="I158" s="55">
        <f t="shared" si="16"/>
        <v>0</v>
      </c>
      <c r="J158" s="55">
        <f t="shared" si="16"/>
        <v>0</v>
      </c>
      <c r="K158" s="55">
        <f t="shared" si="16"/>
        <v>0</v>
      </c>
      <c r="L158" s="55">
        <f t="shared" si="16"/>
        <v>0</v>
      </c>
      <c r="M158" s="55">
        <f t="shared" si="16"/>
        <v>0</v>
      </c>
      <c r="N158" s="55">
        <f t="shared" si="16"/>
        <v>0</v>
      </c>
      <c r="O158" s="55">
        <f t="shared" si="16"/>
        <v>0</v>
      </c>
    </row>
    <row r="159" spans="1:15" s="2" customFormat="1" x14ac:dyDescent="0.3">
      <c r="A159" s="53" t="s">
        <v>482</v>
      </c>
      <c r="B159" s="2" t="s">
        <v>507</v>
      </c>
      <c r="C159" s="3">
        <v>1.960634</v>
      </c>
      <c r="D159" s="2">
        <v>2.0100289999999998</v>
      </c>
      <c r="E159" s="2">
        <v>2.1506569999999998</v>
      </c>
      <c r="F159" s="2">
        <v>2.2306370000000002</v>
      </c>
      <c r="G159" s="3">
        <v>2.2306370000000002</v>
      </c>
      <c r="H159" s="3">
        <v>2.2305459999999999</v>
      </c>
      <c r="I159" s="3"/>
      <c r="J159" s="3"/>
      <c r="K159" s="3"/>
      <c r="L159" s="3"/>
      <c r="M159" s="3"/>
      <c r="N159" s="3"/>
      <c r="O159" s="3"/>
    </row>
    <row r="160" spans="1:15" s="2" customFormat="1" x14ac:dyDescent="0.3">
      <c r="A160" s="53" t="s">
        <v>483</v>
      </c>
      <c r="B160" s="2" t="s">
        <v>508</v>
      </c>
      <c r="C160" s="55">
        <f t="shared" ref="C160:O161" si="17">C145</f>
        <v>1.1756200000000001</v>
      </c>
      <c r="D160" s="55">
        <f t="shared" si="17"/>
        <v>1.225015</v>
      </c>
      <c r="E160" s="55">
        <f t="shared" si="17"/>
        <v>1.35137</v>
      </c>
      <c r="F160" s="55">
        <f t="shared" si="17"/>
        <v>1.4313499999999999</v>
      </c>
      <c r="G160" s="55">
        <f t="shared" si="17"/>
        <v>1.4044920000000001</v>
      </c>
      <c r="H160" s="55">
        <f t="shared" si="17"/>
        <v>1.404401</v>
      </c>
      <c r="I160" s="55">
        <f t="shared" si="17"/>
        <v>0</v>
      </c>
      <c r="J160" s="55">
        <f t="shared" si="17"/>
        <v>0</v>
      </c>
      <c r="K160" s="55">
        <f t="shared" si="17"/>
        <v>0</v>
      </c>
      <c r="L160" s="55">
        <f t="shared" si="17"/>
        <v>0</v>
      </c>
      <c r="M160" s="55">
        <f t="shared" si="17"/>
        <v>0</v>
      </c>
      <c r="N160" s="55">
        <f t="shared" si="17"/>
        <v>0</v>
      </c>
      <c r="O160" s="55">
        <f t="shared" si="17"/>
        <v>0</v>
      </c>
    </row>
    <row r="161" spans="1:15" s="2" customFormat="1" x14ac:dyDescent="0.3">
      <c r="A161" s="53" t="s">
        <v>484</v>
      </c>
      <c r="B161" s="2" t="s">
        <v>509</v>
      </c>
      <c r="C161" s="55">
        <f t="shared" si="17"/>
        <v>1.176132</v>
      </c>
      <c r="D161" s="55">
        <f t="shared" si="17"/>
        <v>1.225527</v>
      </c>
      <c r="E161" s="55">
        <f t="shared" si="17"/>
        <v>1.3527450000000001</v>
      </c>
      <c r="F161" s="55">
        <f t="shared" si="17"/>
        <v>1.432725</v>
      </c>
      <c r="G161" s="55">
        <f t="shared" si="17"/>
        <v>1.405867</v>
      </c>
      <c r="H161" s="55">
        <f t="shared" si="17"/>
        <v>1.4057759999999999</v>
      </c>
      <c r="I161" s="55">
        <f t="shared" si="17"/>
        <v>0</v>
      </c>
      <c r="J161" s="55">
        <f t="shared" si="17"/>
        <v>0</v>
      </c>
      <c r="K161" s="55">
        <f t="shared" si="17"/>
        <v>0</v>
      </c>
      <c r="L161" s="55">
        <f t="shared" si="17"/>
        <v>0</v>
      </c>
      <c r="M161" s="55">
        <f t="shared" si="17"/>
        <v>0</v>
      </c>
      <c r="N161" s="55">
        <f t="shared" si="17"/>
        <v>0</v>
      </c>
      <c r="O161" s="55">
        <f t="shared" si="17"/>
        <v>0</v>
      </c>
    </row>
    <row r="162" spans="1:15" s="2" customFormat="1" x14ac:dyDescent="0.3">
      <c r="A162" s="53" t="s">
        <v>485</v>
      </c>
      <c r="B162" s="2" t="s">
        <v>510</v>
      </c>
      <c r="C162" s="3">
        <v>1.1756150000000001</v>
      </c>
      <c r="D162" s="3">
        <v>1.2250099999999999</v>
      </c>
      <c r="E162" s="2">
        <v>1.353119</v>
      </c>
      <c r="F162" s="2">
        <v>1.4330989999999999</v>
      </c>
      <c r="G162" s="3">
        <v>1.4062410000000001</v>
      </c>
      <c r="H162" s="3">
        <v>1.40615</v>
      </c>
      <c r="I162" s="3"/>
      <c r="J162" s="3"/>
      <c r="K162" s="3"/>
      <c r="L162" s="3"/>
      <c r="M162" s="3"/>
      <c r="N162" s="3"/>
      <c r="O162" s="3"/>
    </row>
    <row r="163" spans="1:15" s="2" customFormat="1" x14ac:dyDescent="0.3">
      <c r="A163" s="53" t="s">
        <v>633</v>
      </c>
      <c r="B163" s="2" t="s">
        <v>610</v>
      </c>
      <c r="C163" s="55">
        <f t="shared" ref="C163:O166" si="18">C148</f>
        <v>1.1760980000000001</v>
      </c>
      <c r="D163" s="55">
        <f t="shared" si="18"/>
        <v>1.2254929999999999</v>
      </c>
      <c r="E163" s="55">
        <f t="shared" si="18"/>
        <v>1.3517349999999999</v>
      </c>
      <c r="F163" s="55">
        <f t="shared" si="18"/>
        <v>1.4317150000000001</v>
      </c>
      <c r="G163" s="55">
        <f t="shared" si="18"/>
        <v>1.404857</v>
      </c>
      <c r="H163" s="55">
        <f t="shared" si="18"/>
        <v>1.404766</v>
      </c>
      <c r="I163" s="55">
        <f t="shared" si="18"/>
        <v>0</v>
      </c>
      <c r="J163" s="55">
        <f t="shared" si="18"/>
        <v>0</v>
      </c>
      <c r="K163" s="55">
        <f t="shared" si="18"/>
        <v>0</v>
      </c>
      <c r="L163" s="55">
        <f t="shared" si="18"/>
        <v>0</v>
      </c>
      <c r="M163" s="55">
        <f t="shared" si="18"/>
        <v>0</v>
      </c>
      <c r="N163" s="55">
        <f t="shared" si="18"/>
        <v>0</v>
      </c>
      <c r="O163" s="55">
        <f t="shared" si="18"/>
        <v>0</v>
      </c>
    </row>
    <row r="164" spans="1:15" s="2" customFormat="1" x14ac:dyDescent="0.3">
      <c r="A164" s="53" t="s">
        <v>634</v>
      </c>
      <c r="B164" s="2" t="s">
        <v>611</v>
      </c>
      <c r="C164" s="55">
        <f t="shared" si="18"/>
        <v>1.1760980000000001</v>
      </c>
      <c r="D164" s="55">
        <f t="shared" si="18"/>
        <v>1.2254929999999999</v>
      </c>
      <c r="E164" s="55">
        <f t="shared" si="18"/>
        <v>1.3517349999999999</v>
      </c>
      <c r="F164" s="55">
        <f t="shared" si="18"/>
        <v>1.4317150000000001</v>
      </c>
      <c r="G164" s="55">
        <f t="shared" si="18"/>
        <v>1.404857</v>
      </c>
      <c r="H164" s="55">
        <f t="shared" si="18"/>
        <v>1.404766</v>
      </c>
      <c r="I164" s="55">
        <f t="shared" si="18"/>
        <v>0</v>
      </c>
      <c r="J164" s="55">
        <f t="shared" si="18"/>
        <v>0</v>
      </c>
      <c r="K164" s="55">
        <f t="shared" si="18"/>
        <v>0</v>
      </c>
      <c r="L164" s="55">
        <f t="shared" si="18"/>
        <v>0</v>
      </c>
      <c r="M164" s="55">
        <f t="shared" si="18"/>
        <v>0</v>
      </c>
      <c r="N164" s="55">
        <f t="shared" si="18"/>
        <v>0</v>
      </c>
      <c r="O164" s="55">
        <f t="shared" si="18"/>
        <v>0</v>
      </c>
    </row>
    <row r="165" spans="1:15" s="2" customFormat="1" x14ac:dyDescent="0.3">
      <c r="A165" s="53" t="s">
        <v>486</v>
      </c>
      <c r="B165" s="2" t="s">
        <v>512</v>
      </c>
      <c r="C165" s="55">
        <f t="shared" si="18"/>
        <v>1.056292</v>
      </c>
      <c r="D165" s="55">
        <f t="shared" si="18"/>
        <v>1.1056870000000001</v>
      </c>
      <c r="E165" s="55">
        <f t="shared" si="18"/>
        <v>1.2155069999999999</v>
      </c>
      <c r="F165" s="55">
        <f t="shared" si="18"/>
        <v>1.2954870000000001</v>
      </c>
      <c r="G165" s="55">
        <f t="shared" si="18"/>
        <v>1.268629</v>
      </c>
      <c r="H165" s="55">
        <f t="shared" si="18"/>
        <v>1.2685379999999999</v>
      </c>
      <c r="I165" s="55">
        <f t="shared" si="18"/>
        <v>0</v>
      </c>
      <c r="J165" s="55">
        <f t="shared" si="18"/>
        <v>0</v>
      </c>
      <c r="K165" s="55">
        <f t="shared" si="18"/>
        <v>0</v>
      </c>
      <c r="L165" s="55">
        <f t="shared" si="18"/>
        <v>0</v>
      </c>
      <c r="M165" s="55">
        <f t="shared" si="18"/>
        <v>0</v>
      </c>
      <c r="N165" s="55">
        <f t="shared" si="18"/>
        <v>0</v>
      </c>
      <c r="O165" s="55">
        <f t="shared" si="18"/>
        <v>0</v>
      </c>
    </row>
    <row r="166" spans="1:15" s="2" customFormat="1" x14ac:dyDescent="0.3">
      <c r="A166" s="8" t="s">
        <v>487</v>
      </c>
      <c r="B166" s="2" t="s">
        <v>513</v>
      </c>
      <c r="C166" s="55">
        <f t="shared" si="18"/>
        <v>1.056494</v>
      </c>
      <c r="D166" s="55">
        <f t="shared" si="18"/>
        <v>1.1058889999999999</v>
      </c>
      <c r="E166" s="55">
        <f t="shared" si="18"/>
        <v>1.215902</v>
      </c>
      <c r="F166" s="55">
        <f t="shared" si="18"/>
        <v>1.295882</v>
      </c>
      <c r="G166" s="55">
        <f t="shared" si="18"/>
        <v>1.2690239999999999</v>
      </c>
      <c r="H166" s="55">
        <f t="shared" si="18"/>
        <v>1.2689330000000001</v>
      </c>
      <c r="I166" s="55">
        <f t="shared" si="18"/>
        <v>0</v>
      </c>
      <c r="J166" s="55">
        <f t="shared" si="18"/>
        <v>0</v>
      </c>
      <c r="K166" s="55">
        <f t="shared" si="18"/>
        <v>0</v>
      </c>
      <c r="L166" s="55">
        <f t="shared" si="18"/>
        <v>0</v>
      </c>
      <c r="M166" s="55">
        <f t="shared" si="18"/>
        <v>0</v>
      </c>
      <c r="N166" s="55">
        <f t="shared" si="18"/>
        <v>0</v>
      </c>
      <c r="O166" s="55">
        <f t="shared" si="18"/>
        <v>0</v>
      </c>
    </row>
    <row r="167" spans="1:15" s="2" customFormat="1" x14ac:dyDescent="0.3">
      <c r="A167" s="8" t="s">
        <v>488</v>
      </c>
      <c r="B167" s="2" t="s">
        <v>514</v>
      </c>
      <c r="C167" s="3">
        <v>1.0563020000000001</v>
      </c>
      <c r="D167" s="2">
        <v>1.1056969999999999</v>
      </c>
      <c r="E167" s="2">
        <v>1.217085</v>
      </c>
      <c r="F167" s="2">
        <v>1.2970649999999999</v>
      </c>
      <c r="G167" s="3">
        <v>1.2702070000000001</v>
      </c>
      <c r="H167" s="3">
        <v>1.270116</v>
      </c>
      <c r="I167" s="3"/>
      <c r="J167" s="3"/>
      <c r="K167" s="3"/>
      <c r="L167" s="3"/>
      <c r="M167" s="3"/>
      <c r="N167" s="3"/>
      <c r="O167" s="3"/>
    </row>
    <row r="168" spans="1:15" s="2" customFormat="1" x14ac:dyDescent="0.3">
      <c r="A168" s="8" t="s">
        <v>635</v>
      </c>
      <c r="B168" s="2" t="s">
        <v>612</v>
      </c>
      <c r="C168" s="55">
        <f t="shared" ref="C168:O169" si="19">C153</f>
        <v>1.0567359999999999</v>
      </c>
      <c r="D168" s="55">
        <f t="shared" si="19"/>
        <v>1.106131</v>
      </c>
      <c r="E168" s="55">
        <f t="shared" si="19"/>
        <v>1.21584</v>
      </c>
      <c r="F168" s="55">
        <f t="shared" si="19"/>
        <v>1.29582</v>
      </c>
      <c r="G168" s="55">
        <f t="shared" si="19"/>
        <v>1.2689619999999999</v>
      </c>
      <c r="H168" s="55">
        <f t="shared" si="19"/>
        <v>1.2688710000000001</v>
      </c>
      <c r="I168" s="55">
        <f t="shared" si="19"/>
        <v>0</v>
      </c>
      <c r="J168" s="55">
        <f t="shared" si="19"/>
        <v>0</v>
      </c>
      <c r="K168" s="55">
        <f t="shared" si="19"/>
        <v>0</v>
      </c>
      <c r="L168" s="55">
        <f t="shared" si="19"/>
        <v>0</v>
      </c>
      <c r="M168" s="55">
        <f t="shared" si="19"/>
        <v>0</v>
      </c>
      <c r="N168" s="55">
        <f t="shared" si="19"/>
        <v>0</v>
      </c>
      <c r="O168" s="55">
        <f t="shared" si="19"/>
        <v>0</v>
      </c>
    </row>
    <row r="169" spans="1:15" s="2" customFormat="1" x14ac:dyDescent="0.3">
      <c r="A169" s="8" t="s">
        <v>636</v>
      </c>
      <c r="B169" s="2" t="s">
        <v>613</v>
      </c>
      <c r="C169" s="55">
        <f t="shared" si="19"/>
        <v>1.0567359999999999</v>
      </c>
      <c r="D169" s="55">
        <f t="shared" si="19"/>
        <v>1.106131</v>
      </c>
      <c r="E169" s="55">
        <f t="shared" si="19"/>
        <v>1.21584</v>
      </c>
      <c r="F169" s="55">
        <f t="shared" si="19"/>
        <v>1.29582</v>
      </c>
      <c r="G169" s="55">
        <f t="shared" si="19"/>
        <v>1.2689619999999999</v>
      </c>
      <c r="H169" s="55">
        <f t="shared" si="19"/>
        <v>1.2688710000000001</v>
      </c>
      <c r="I169" s="55">
        <f t="shared" si="19"/>
        <v>0</v>
      </c>
      <c r="J169" s="55">
        <f t="shared" si="19"/>
        <v>0</v>
      </c>
      <c r="K169" s="55">
        <f t="shared" si="19"/>
        <v>0</v>
      </c>
      <c r="L169" s="55">
        <f t="shared" si="19"/>
        <v>0</v>
      </c>
      <c r="M169" s="55">
        <f t="shared" si="19"/>
        <v>0</v>
      </c>
      <c r="N169" s="55">
        <f t="shared" si="19"/>
        <v>0</v>
      </c>
      <c r="O169" s="55">
        <f t="shared" si="19"/>
        <v>0</v>
      </c>
    </row>
    <row r="170" spans="1:15" s="2" customFormat="1" x14ac:dyDescent="0.3">
      <c r="C170" s="3"/>
      <c r="G170" s="3"/>
      <c r="H170" s="3"/>
      <c r="I170" s="3"/>
      <c r="J170" s="3"/>
      <c r="K170" s="3"/>
      <c r="L170" s="3"/>
      <c r="M170" s="3"/>
      <c r="N170" s="3"/>
      <c r="O170" s="3"/>
    </row>
    <row r="171" spans="1:15" s="2" customFormat="1" x14ac:dyDescent="0.3">
      <c r="A171" s="5" t="s">
        <v>516</v>
      </c>
      <c r="B171" s="2" t="str">
        <f>B$1</f>
        <v>Elegir Trim.</v>
      </c>
      <c r="C171" s="83">
        <f>C$126</f>
        <v>44501</v>
      </c>
      <c r="D171" s="83">
        <f t="shared" ref="D171:K171" si="20">D$126</f>
        <v>44593</v>
      </c>
      <c r="E171" s="83">
        <f t="shared" si="20"/>
        <v>44682</v>
      </c>
      <c r="F171" s="83">
        <f t="shared" si="20"/>
        <v>44774</v>
      </c>
      <c r="G171" s="83">
        <f t="shared" si="20"/>
        <v>44866</v>
      </c>
      <c r="H171" s="83">
        <f t="shared" si="20"/>
        <v>44958</v>
      </c>
      <c r="I171" s="83">
        <f t="shared" si="20"/>
        <v>45047</v>
      </c>
      <c r="J171" s="83">
        <f t="shared" si="20"/>
        <v>45139</v>
      </c>
      <c r="K171" s="83">
        <f t="shared" si="20"/>
        <v>45231</v>
      </c>
      <c r="L171" s="3"/>
      <c r="M171" s="3"/>
      <c r="N171" s="3"/>
      <c r="O171" s="3"/>
    </row>
    <row r="172" spans="1:15" s="2" customFormat="1" x14ac:dyDescent="0.3">
      <c r="A172" s="53" t="s">
        <v>481</v>
      </c>
      <c r="B172" s="2" t="s">
        <v>517</v>
      </c>
      <c r="C172" s="55">
        <f t="shared" ref="C172:O173" si="21">C142</f>
        <v>1.929073</v>
      </c>
      <c r="D172" s="55">
        <f t="shared" si="21"/>
        <v>1.978469</v>
      </c>
      <c r="E172" s="55">
        <f t="shared" si="21"/>
        <v>2.1185079999999998</v>
      </c>
      <c r="F172" s="55">
        <f t="shared" si="21"/>
        <v>2.1984880000000002</v>
      </c>
      <c r="G172" s="55">
        <f t="shared" si="21"/>
        <v>2.1984880000000002</v>
      </c>
      <c r="H172" s="55">
        <f t="shared" si="21"/>
        <v>2.1983969999999999</v>
      </c>
      <c r="I172" s="55">
        <f t="shared" si="21"/>
        <v>0</v>
      </c>
      <c r="J172" s="55">
        <f t="shared" si="21"/>
        <v>0</v>
      </c>
      <c r="K172" s="55">
        <f t="shared" si="21"/>
        <v>0</v>
      </c>
      <c r="L172" s="55">
        <f t="shared" si="21"/>
        <v>0</v>
      </c>
      <c r="M172" s="55">
        <f t="shared" si="21"/>
        <v>0</v>
      </c>
      <c r="N172" s="55">
        <f t="shared" si="21"/>
        <v>0</v>
      </c>
      <c r="O172" s="55">
        <f t="shared" si="21"/>
        <v>0</v>
      </c>
    </row>
    <row r="173" spans="1:15" s="2" customFormat="1" x14ac:dyDescent="0.3">
      <c r="A173" s="53" t="s">
        <v>489</v>
      </c>
      <c r="B173" s="2" t="s">
        <v>518</v>
      </c>
      <c r="C173" s="55">
        <f t="shared" si="21"/>
        <v>1.72194</v>
      </c>
      <c r="D173" s="55">
        <f t="shared" si="21"/>
        <v>1.7713350000000001</v>
      </c>
      <c r="E173" s="55">
        <f t="shared" si="21"/>
        <v>1.906231</v>
      </c>
      <c r="F173" s="55">
        <f t="shared" si="21"/>
        <v>1.98621</v>
      </c>
      <c r="G173" s="55">
        <f t="shared" si="21"/>
        <v>1.9788619999999999</v>
      </c>
      <c r="H173" s="55">
        <f t="shared" si="21"/>
        <v>1.9787710000000001</v>
      </c>
      <c r="I173" s="55">
        <f t="shared" si="21"/>
        <v>0</v>
      </c>
      <c r="J173" s="55">
        <f t="shared" si="21"/>
        <v>0</v>
      </c>
      <c r="K173" s="55">
        <f t="shared" si="21"/>
        <v>0</v>
      </c>
      <c r="L173" s="55">
        <f t="shared" si="21"/>
        <v>0</v>
      </c>
      <c r="M173" s="55">
        <f t="shared" si="21"/>
        <v>0</v>
      </c>
      <c r="N173" s="55">
        <f t="shared" si="21"/>
        <v>0</v>
      </c>
      <c r="O173" s="55">
        <f t="shared" si="21"/>
        <v>0</v>
      </c>
    </row>
    <row r="174" spans="1:15" s="2" customFormat="1" x14ac:dyDescent="0.3">
      <c r="A174" s="53" t="s">
        <v>482</v>
      </c>
      <c r="B174" s="2" t="s">
        <v>519</v>
      </c>
      <c r="C174" s="3">
        <v>1.7633369999999999</v>
      </c>
      <c r="D174" s="2">
        <v>1.812732</v>
      </c>
      <c r="E174" s="2">
        <v>1.9439569999999999</v>
      </c>
      <c r="F174" s="2">
        <v>2.0239370000000001</v>
      </c>
      <c r="G174" s="3">
        <v>2.023936</v>
      </c>
      <c r="H174" s="3">
        <v>2.0238450000000001</v>
      </c>
      <c r="I174" s="3"/>
      <c r="J174" s="3"/>
      <c r="K174" s="3"/>
      <c r="L174" s="3"/>
      <c r="M174" s="3"/>
      <c r="N174" s="3"/>
      <c r="O174" s="3"/>
    </row>
    <row r="175" spans="1:15" s="2" customFormat="1" x14ac:dyDescent="0.3">
      <c r="A175" s="53" t="s">
        <v>483</v>
      </c>
      <c r="B175" s="2" t="s">
        <v>520</v>
      </c>
      <c r="C175" s="55">
        <f t="shared" ref="C175:O176" si="22">C145</f>
        <v>1.1756200000000001</v>
      </c>
      <c r="D175" s="55">
        <f t="shared" si="22"/>
        <v>1.225015</v>
      </c>
      <c r="E175" s="55">
        <f t="shared" si="22"/>
        <v>1.35137</v>
      </c>
      <c r="F175" s="55">
        <f t="shared" si="22"/>
        <v>1.4313499999999999</v>
      </c>
      <c r="G175" s="55">
        <f t="shared" si="22"/>
        <v>1.4044920000000001</v>
      </c>
      <c r="H175" s="55">
        <f t="shared" si="22"/>
        <v>1.404401</v>
      </c>
      <c r="I175" s="55">
        <f t="shared" si="22"/>
        <v>0</v>
      </c>
      <c r="J175" s="55">
        <f t="shared" si="22"/>
        <v>0</v>
      </c>
      <c r="K175" s="55">
        <f t="shared" si="22"/>
        <v>0</v>
      </c>
      <c r="L175" s="55">
        <f t="shared" si="22"/>
        <v>0</v>
      </c>
      <c r="M175" s="55">
        <f t="shared" si="22"/>
        <v>0</v>
      </c>
      <c r="N175" s="55">
        <f t="shared" si="22"/>
        <v>0</v>
      </c>
      <c r="O175" s="55">
        <f t="shared" si="22"/>
        <v>0</v>
      </c>
    </row>
    <row r="176" spans="1:15" s="2" customFormat="1" x14ac:dyDescent="0.3">
      <c r="A176" s="53" t="s">
        <v>484</v>
      </c>
      <c r="B176" s="2" t="s">
        <v>521</v>
      </c>
      <c r="C176" s="55">
        <f t="shared" si="22"/>
        <v>1.176132</v>
      </c>
      <c r="D176" s="55">
        <f t="shared" si="22"/>
        <v>1.225527</v>
      </c>
      <c r="E176" s="55">
        <f t="shared" si="22"/>
        <v>1.3527450000000001</v>
      </c>
      <c r="F176" s="55">
        <f t="shared" si="22"/>
        <v>1.432725</v>
      </c>
      <c r="G176" s="55">
        <f t="shared" si="22"/>
        <v>1.405867</v>
      </c>
      <c r="H176" s="55">
        <f t="shared" si="22"/>
        <v>1.4057759999999999</v>
      </c>
      <c r="I176" s="55">
        <f t="shared" si="22"/>
        <v>0</v>
      </c>
      <c r="J176" s="55">
        <f t="shared" si="22"/>
        <v>0</v>
      </c>
      <c r="K176" s="55">
        <f t="shared" si="22"/>
        <v>0</v>
      </c>
      <c r="L176" s="55">
        <f t="shared" si="22"/>
        <v>0</v>
      </c>
      <c r="M176" s="55">
        <f t="shared" si="22"/>
        <v>0</v>
      </c>
      <c r="N176" s="55">
        <f t="shared" si="22"/>
        <v>0</v>
      </c>
      <c r="O176" s="55">
        <f t="shared" si="22"/>
        <v>0</v>
      </c>
    </row>
    <row r="177" spans="1:15" s="2" customFormat="1" x14ac:dyDescent="0.3">
      <c r="A177" s="53" t="s">
        <v>485</v>
      </c>
      <c r="B177" s="2" t="s">
        <v>522</v>
      </c>
      <c r="C177" s="3">
        <v>1.1690670000000001</v>
      </c>
      <c r="D177" s="2">
        <v>1.2184619999999999</v>
      </c>
      <c r="E177" s="2">
        <v>1.337167</v>
      </c>
      <c r="F177" s="2">
        <v>1.4171469999999999</v>
      </c>
      <c r="G177" s="3">
        <v>1.3902890000000001</v>
      </c>
      <c r="H177" s="3">
        <v>1.390198</v>
      </c>
      <c r="I177" s="3"/>
      <c r="J177" s="3"/>
      <c r="K177" s="3"/>
      <c r="L177" s="3"/>
      <c r="M177" s="3"/>
      <c r="N177" s="3"/>
      <c r="O177" s="3"/>
    </row>
    <row r="178" spans="1:15" s="2" customFormat="1" x14ac:dyDescent="0.3">
      <c r="A178" s="53" t="s">
        <v>633</v>
      </c>
      <c r="B178" s="2" t="s">
        <v>614</v>
      </c>
      <c r="C178" s="55">
        <f t="shared" ref="C178:O181" si="23">C148</f>
        <v>1.1760980000000001</v>
      </c>
      <c r="D178" s="55">
        <f t="shared" si="23"/>
        <v>1.2254929999999999</v>
      </c>
      <c r="E178" s="55">
        <f t="shared" si="23"/>
        <v>1.3517349999999999</v>
      </c>
      <c r="F178" s="55">
        <f t="shared" si="23"/>
        <v>1.4317150000000001</v>
      </c>
      <c r="G178" s="55">
        <f t="shared" si="23"/>
        <v>1.404857</v>
      </c>
      <c r="H178" s="55">
        <f t="shared" si="23"/>
        <v>1.404766</v>
      </c>
      <c r="I178" s="55">
        <f t="shared" si="23"/>
        <v>0</v>
      </c>
      <c r="J178" s="55">
        <f t="shared" si="23"/>
        <v>0</v>
      </c>
      <c r="K178" s="55">
        <f t="shared" si="23"/>
        <v>0</v>
      </c>
      <c r="L178" s="55">
        <f t="shared" si="23"/>
        <v>0</v>
      </c>
      <c r="M178" s="55">
        <f t="shared" si="23"/>
        <v>0</v>
      </c>
      <c r="N178" s="55">
        <f t="shared" si="23"/>
        <v>0</v>
      </c>
      <c r="O178" s="55">
        <f t="shared" si="23"/>
        <v>0</v>
      </c>
    </row>
    <row r="179" spans="1:15" s="2" customFormat="1" x14ac:dyDescent="0.3">
      <c r="A179" s="53" t="s">
        <v>634</v>
      </c>
      <c r="B179" s="2" t="s">
        <v>615</v>
      </c>
      <c r="C179" s="55">
        <f t="shared" si="23"/>
        <v>1.1760980000000001</v>
      </c>
      <c r="D179" s="55">
        <f t="shared" si="23"/>
        <v>1.2254929999999999</v>
      </c>
      <c r="E179" s="55">
        <f t="shared" si="23"/>
        <v>1.3517349999999999</v>
      </c>
      <c r="F179" s="55">
        <f t="shared" si="23"/>
        <v>1.4317150000000001</v>
      </c>
      <c r="G179" s="55">
        <f t="shared" si="23"/>
        <v>1.404857</v>
      </c>
      <c r="H179" s="55">
        <f t="shared" si="23"/>
        <v>1.404766</v>
      </c>
      <c r="I179" s="55">
        <f t="shared" si="23"/>
        <v>0</v>
      </c>
      <c r="J179" s="55">
        <f t="shared" si="23"/>
        <v>0</v>
      </c>
      <c r="K179" s="55">
        <f t="shared" si="23"/>
        <v>0</v>
      </c>
      <c r="L179" s="55">
        <f t="shared" si="23"/>
        <v>0</v>
      </c>
      <c r="M179" s="55">
        <f t="shared" si="23"/>
        <v>0</v>
      </c>
      <c r="N179" s="55">
        <f t="shared" si="23"/>
        <v>0</v>
      </c>
      <c r="O179" s="55">
        <f t="shared" si="23"/>
        <v>0</v>
      </c>
    </row>
    <row r="180" spans="1:15" s="2" customFormat="1" x14ac:dyDescent="0.3">
      <c r="A180" s="53" t="s">
        <v>486</v>
      </c>
      <c r="B180" s="2" t="s">
        <v>524</v>
      </c>
      <c r="C180" s="55">
        <f t="shared" si="23"/>
        <v>1.056292</v>
      </c>
      <c r="D180" s="55">
        <f t="shared" si="23"/>
        <v>1.1056870000000001</v>
      </c>
      <c r="E180" s="55">
        <f t="shared" si="23"/>
        <v>1.2155069999999999</v>
      </c>
      <c r="F180" s="55">
        <f t="shared" si="23"/>
        <v>1.2954870000000001</v>
      </c>
      <c r="G180" s="55">
        <f t="shared" si="23"/>
        <v>1.268629</v>
      </c>
      <c r="H180" s="55">
        <f t="shared" si="23"/>
        <v>1.2685379999999999</v>
      </c>
      <c r="I180" s="55">
        <f t="shared" si="23"/>
        <v>0</v>
      </c>
      <c r="J180" s="55">
        <f t="shared" si="23"/>
        <v>0</v>
      </c>
      <c r="K180" s="55">
        <f t="shared" si="23"/>
        <v>0</v>
      </c>
      <c r="L180" s="55">
        <f t="shared" si="23"/>
        <v>0</v>
      </c>
      <c r="M180" s="55">
        <f t="shared" si="23"/>
        <v>0</v>
      </c>
      <c r="N180" s="55">
        <f t="shared" si="23"/>
        <v>0</v>
      </c>
      <c r="O180" s="55">
        <f t="shared" si="23"/>
        <v>0</v>
      </c>
    </row>
    <row r="181" spans="1:15" s="2" customFormat="1" x14ac:dyDescent="0.3">
      <c r="A181" s="8" t="s">
        <v>487</v>
      </c>
      <c r="B181" s="2" t="s">
        <v>525</v>
      </c>
      <c r="C181" s="55">
        <f t="shared" si="23"/>
        <v>1.056494</v>
      </c>
      <c r="D181" s="55">
        <f t="shared" si="23"/>
        <v>1.1058889999999999</v>
      </c>
      <c r="E181" s="55">
        <f t="shared" si="23"/>
        <v>1.215902</v>
      </c>
      <c r="F181" s="55">
        <f t="shared" si="23"/>
        <v>1.295882</v>
      </c>
      <c r="G181" s="55">
        <f t="shared" si="23"/>
        <v>1.2690239999999999</v>
      </c>
      <c r="H181" s="55">
        <f t="shared" si="23"/>
        <v>1.2689330000000001</v>
      </c>
      <c r="I181" s="55">
        <f t="shared" si="23"/>
        <v>0</v>
      </c>
      <c r="J181" s="55">
        <f t="shared" si="23"/>
        <v>0</v>
      </c>
      <c r="K181" s="55">
        <f t="shared" si="23"/>
        <v>0</v>
      </c>
      <c r="L181" s="55">
        <f t="shared" si="23"/>
        <v>0</v>
      </c>
      <c r="M181" s="55">
        <f t="shared" si="23"/>
        <v>0</v>
      </c>
      <c r="N181" s="55">
        <f t="shared" si="23"/>
        <v>0</v>
      </c>
      <c r="O181" s="55">
        <f t="shared" si="23"/>
        <v>0</v>
      </c>
    </row>
    <row r="182" spans="1:15" s="2" customFormat="1" x14ac:dyDescent="0.3">
      <c r="A182" s="8" t="s">
        <v>488</v>
      </c>
      <c r="B182" s="2" t="s">
        <v>526</v>
      </c>
      <c r="C182" s="3">
        <v>1.0504150000000001</v>
      </c>
      <c r="D182" s="3">
        <v>1.09981</v>
      </c>
      <c r="E182" s="2">
        <v>1.202745</v>
      </c>
      <c r="F182" s="2">
        <v>1.2827249999999999</v>
      </c>
      <c r="G182" s="3">
        <v>1.2558670000000001</v>
      </c>
      <c r="H182" s="3">
        <v>1.255776</v>
      </c>
      <c r="I182" s="3"/>
      <c r="J182" s="3"/>
      <c r="K182" s="3"/>
      <c r="L182" s="3"/>
      <c r="M182" s="3"/>
      <c r="N182" s="3"/>
      <c r="O182" s="3"/>
    </row>
    <row r="183" spans="1:15" s="2" customFormat="1" x14ac:dyDescent="0.3">
      <c r="A183" s="8" t="s">
        <v>635</v>
      </c>
      <c r="B183" s="2" t="s">
        <v>616</v>
      </c>
      <c r="C183" s="55">
        <f t="shared" ref="C183:O184" si="24">C153</f>
        <v>1.0567359999999999</v>
      </c>
      <c r="D183" s="55">
        <f t="shared" si="24"/>
        <v>1.106131</v>
      </c>
      <c r="E183" s="55">
        <f t="shared" si="24"/>
        <v>1.21584</v>
      </c>
      <c r="F183" s="55">
        <f t="shared" si="24"/>
        <v>1.29582</v>
      </c>
      <c r="G183" s="55">
        <f t="shared" si="24"/>
        <v>1.2689619999999999</v>
      </c>
      <c r="H183" s="55">
        <f t="shared" si="24"/>
        <v>1.2688710000000001</v>
      </c>
      <c r="I183" s="55">
        <f t="shared" si="24"/>
        <v>0</v>
      </c>
      <c r="J183" s="55">
        <f t="shared" si="24"/>
        <v>0</v>
      </c>
      <c r="K183" s="55">
        <f t="shared" si="24"/>
        <v>0</v>
      </c>
      <c r="L183" s="55">
        <f t="shared" si="24"/>
        <v>0</v>
      </c>
      <c r="M183" s="55">
        <f t="shared" si="24"/>
        <v>0</v>
      </c>
      <c r="N183" s="55">
        <f t="shared" si="24"/>
        <v>0</v>
      </c>
      <c r="O183" s="55">
        <f t="shared" si="24"/>
        <v>0</v>
      </c>
    </row>
    <row r="184" spans="1:15" s="2" customFormat="1" x14ac:dyDescent="0.3">
      <c r="A184" s="8" t="s">
        <v>636</v>
      </c>
      <c r="B184" s="2" t="s">
        <v>617</v>
      </c>
      <c r="C184" s="55">
        <f t="shared" si="24"/>
        <v>1.0567359999999999</v>
      </c>
      <c r="D184" s="55">
        <f t="shared" si="24"/>
        <v>1.106131</v>
      </c>
      <c r="E184" s="55">
        <f t="shared" si="24"/>
        <v>1.21584</v>
      </c>
      <c r="F184" s="55">
        <f t="shared" si="24"/>
        <v>1.29582</v>
      </c>
      <c r="G184" s="55">
        <f t="shared" si="24"/>
        <v>1.2689619999999999</v>
      </c>
      <c r="H184" s="55">
        <f t="shared" si="24"/>
        <v>1.2688710000000001</v>
      </c>
      <c r="I184" s="55">
        <f t="shared" si="24"/>
        <v>0</v>
      </c>
      <c r="J184" s="55">
        <f t="shared" si="24"/>
        <v>0</v>
      </c>
      <c r="K184" s="55">
        <f t="shared" si="24"/>
        <v>0</v>
      </c>
      <c r="L184" s="55">
        <f t="shared" si="24"/>
        <v>0</v>
      </c>
      <c r="M184" s="55">
        <f t="shared" si="24"/>
        <v>0</v>
      </c>
      <c r="N184" s="55">
        <f t="shared" si="24"/>
        <v>0</v>
      </c>
      <c r="O184" s="55">
        <f t="shared" si="24"/>
        <v>0</v>
      </c>
    </row>
    <row r="185" spans="1:15" s="2" customFormat="1" x14ac:dyDescent="0.3">
      <c r="G185" s="3"/>
      <c r="H185" s="3"/>
      <c r="I185" s="3"/>
      <c r="J185" s="3"/>
      <c r="K185" s="3"/>
      <c r="L185" s="3"/>
      <c r="M185" s="3"/>
      <c r="N185" s="3"/>
      <c r="O185" s="3"/>
    </row>
    <row r="186" spans="1:15" s="2" customFormat="1" x14ac:dyDescent="0.3">
      <c r="A186" s="5" t="s">
        <v>528</v>
      </c>
      <c r="C186" s="83">
        <f>C$126</f>
        <v>44501</v>
      </c>
      <c r="D186" s="83">
        <f t="shared" ref="D186:K186" si="25">D$126</f>
        <v>44593</v>
      </c>
      <c r="E186" s="83">
        <f t="shared" si="25"/>
        <v>44682</v>
      </c>
      <c r="F186" s="83">
        <f t="shared" si="25"/>
        <v>44774</v>
      </c>
      <c r="G186" s="83">
        <f t="shared" si="25"/>
        <v>44866</v>
      </c>
      <c r="H186" s="83">
        <f t="shared" si="25"/>
        <v>44958</v>
      </c>
      <c r="I186" s="83">
        <f t="shared" si="25"/>
        <v>45047</v>
      </c>
      <c r="J186" s="83">
        <f t="shared" si="25"/>
        <v>45139</v>
      </c>
      <c r="K186" s="83">
        <f t="shared" si="25"/>
        <v>45231</v>
      </c>
      <c r="L186" s="3"/>
      <c r="M186" s="3"/>
      <c r="N186" s="3"/>
      <c r="O186" s="3"/>
    </row>
    <row r="187" spans="1:15" s="2" customFormat="1" x14ac:dyDescent="0.3">
      <c r="A187" s="53" t="s">
        <v>482</v>
      </c>
      <c r="B187" s="2" t="s">
        <v>673</v>
      </c>
      <c r="C187" s="2">
        <v>1.5370280000000001</v>
      </c>
      <c r="D187" s="2">
        <v>1.5864229999999999</v>
      </c>
      <c r="E187" s="2">
        <v>1.807523</v>
      </c>
      <c r="F187" s="2">
        <v>1.8875029999999999</v>
      </c>
      <c r="G187" s="3">
        <v>1.8875029999999999</v>
      </c>
      <c r="H187" s="3">
        <v>1.8874120000000001</v>
      </c>
      <c r="I187" s="3"/>
      <c r="J187" s="3"/>
      <c r="K187" s="3"/>
      <c r="L187" s="3"/>
      <c r="M187" s="3"/>
      <c r="N187" s="3"/>
      <c r="O187" s="3"/>
    </row>
    <row r="188" spans="1:15" s="2" customFormat="1" x14ac:dyDescent="0.3">
      <c r="A188" s="53" t="s">
        <v>485</v>
      </c>
      <c r="B188" s="2" t="s">
        <v>674</v>
      </c>
      <c r="C188" s="2">
        <v>0.94275699999999996</v>
      </c>
      <c r="D188" s="2">
        <v>0.99215200000000003</v>
      </c>
      <c r="E188" s="2">
        <v>1.200734</v>
      </c>
      <c r="F188" s="2">
        <v>1.2807139999999999</v>
      </c>
      <c r="G188" s="3">
        <v>1.2538560000000001</v>
      </c>
      <c r="H188" s="3">
        <v>1.253765</v>
      </c>
      <c r="I188" s="3"/>
      <c r="J188" s="3"/>
      <c r="K188" s="3"/>
      <c r="L188" s="3"/>
      <c r="M188" s="3"/>
      <c r="N188" s="3"/>
      <c r="O188" s="3"/>
    </row>
    <row r="189" spans="1:15" s="2" customFormat="1" x14ac:dyDescent="0.3">
      <c r="A189" s="8" t="s">
        <v>488</v>
      </c>
      <c r="B189" s="2" t="s">
        <v>676</v>
      </c>
      <c r="C189" s="2">
        <v>0.84697299999999998</v>
      </c>
      <c r="D189" s="2">
        <v>0.89636800000000005</v>
      </c>
      <c r="E189" s="2">
        <v>1.0800970000000001</v>
      </c>
      <c r="F189" s="2">
        <v>1.160077</v>
      </c>
      <c r="G189" s="3">
        <v>1.133219</v>
      </c>
      <c r="H189" s="3">
        <v>1.1331279999999999</v>
      </c>
      <c r="I189" s="3"/>
      <c r="J189" s="3"/>
      <c r="K189" s="3"/>
      <c r="L189" s="3"/>
      <c r="M189" s="3"/>
      <c r="N189" s="3"/>
      <c r="O189" s="3"/>
    </row>
    <row r="190" spans="1:15" s="2" customFormat="1" x14ac:dyDescent="0.3">
      <c r="G190" s="3"/>
      <c r="H190" s="3"/>
      <c r="I190" s="3"/>
      <c r="J190" s="3"/>
      <c r="K190" s="3"/>
      <c r="L190" s="3"/>
      <c r="M190" s="3"/>
      <c r="N190" s="3"/>
      <c r="O190" s="3"/>
    </row>
    <row r="191" spans="1:15" s="2" customFormat="1" x14ac:dyDescent="0.3">
      <c r="A191" s="5" t="s">
        <v>529</v>
      </c>
      <c r="B191" s="2" t="str">
        <f>B$1</f>
        <v>Elegir Trim.</v>
      </c>
      <c r="C191" s="83">
        <f>C$126</f>
        <v>44501</v>
      </c>
      <c r="D191" s="83">
        <f t="shared" ref="D191:K191" si="26">D$126</f>
        <v>44593</v>
      </c>
      <c r="E191" s="83">
        <f t="shared" si="26"/>
        <v>44682</v>
      </c>
      <c r="F191" s="83">
        <f t="shared" si="26"/>
        <v>44774</v>
      </c>
      <c r="G191" s="83">
        <f t="shared" si="26"/>
        <v>44866</v>
      </c>
      <c r="H191" s="83">
        <f t="shared" si="26"/>
        <v>44958</v>
      </c>
      <c r="I191" s="83">
        <f t="shared" si="26"/>
        <v>45047</v>
      </c>
      <c r="J191" s="83">
        <f t="shared" si="26"/>
        <v>45139</v>
      </c>
      <c r="K191" s="83">
        <f t="shared" si="26"/>
        <v>45231</v>
      </c>
      <c r="L191" s="3"/>
      <c r="M191" s="3"/>
      <c r="N191" s="3"/>
      <c r="O191" s="3"/>
    </row>
    <row r="192" spans="1:15" s="2" customFormat="1" x14ac:dyDescent="0.3">
      <c r="A192" s="53" t="s">
        <v>481</v>
      </c>
      <c r="B192" s="2" t="s">
        <v>530</v>
      </c>
      <c r="C192" s="55">
        <v>0</v>
      </c>
      <c r="D192" s="55">
        <v>0</v>
      </c>
      <c r="E192" s="55">
        <v>0</v>
      </c>
      <c r="F192" s="55">
        <v>0</v>
      </c>
      <c r="G192" s="55">
        <v>0</v>
      </c>
      <c r="H192" s="55">
        <v>0</v>
      </c>
      <c r="I192" s="55">
        <v>0</v>
      </c>
      <c r="J192" s="55">
        <v>0</v>
      </c>
      <c r="K192" s="55">
        <v>0</v>
      </c>
      <c r="L192" s="55">
        <v>0</v>
      </c>
      <c r="M192" s="55">
        <v>0</v>
      </c>
      <c r="N192" s="55">
        <v>0</v>
      </c>
      <c r="O192" s="55">
        <v>0</v>
      </c>
    </row>
    <row r="193" spans="1:15" s="2" customFormat="1" x14ac:dyDescent="0.3">
      <c r="A193" s="53" t="s">
        <v>489</v>
      </c>
      <c r="B193" s="2" t="s">
        <v>531</v>
      </c>
      <c r="C193" s="55">
        <v>0</v>
      </c>
      <c r="D193" s="55">
        <v>0</v>
      </c>
      <c r="E193" s="55">
        <v>0</v>
      </c>
      <c r="F193" s="55">
        <v>0</v>
      </c>
      <c r="G193" s="55">
        <v>0</v>
      </c>
      <c r="H193" s="55">
        <v>0</v>
      </c>
      <c r="I193" s="55">
        <v>0</v>
      </c>
      <c r="J193" s="55">
        <v>0</v>
      </c>
      <c r="K193" s="55">
        <v>0</v>
      </c>
      <c r="L193" s="55">
        <v>0</v>
      </c>
      <c r="M193" s="55">
        <v>0</v>
      </c>
      <c r="N193" s="55">
        <v>0</v>
      </c>
      <c r="O193" s="55">
        <v>0</v>
      </c>
    </row>
    <row r="194" spans="1:15" s="2" customFormat="1" x14ac:dyDescent="0.3">
      <c r="A194" s="53" t="s">
        <v>482</v>
      </c>
      <c r="B194" s="2" t="s">
        <v>532</v>
      </c>
      <c r="C194" s="55">
        <v>0</v>
      </c>
      <c r="D194" s="55">
        <v>0</v>
      </c>
      <c r="E194" s="55">
        <v>0</v>
      </c>
      <c r="F194" s="55">
        <v>0</v>
      </c>
      <c r="G194" s="55">
        <v>0</v>
      </c>
      <c r="H194" s="55">
        <v>0</v>
      </c>
      <c r="I194" s="55">
        <v>0</v>
      </c>
      <c r="J194" s="55">
        <v>0</v>
      </c>
      <c r="K194" s="55">
        <v>0</v>
      </c>
      <c r="L194" s="55">
        <v>0</v>
      </c>
      <c r="M194" s="55">
        <v>0</v>
      </c>
      <c r="N194" s="55">
        <v>0</v>
      </c>
      <c r="O194" s="55">
        <v>0</v>
      </c>
    </row>
    <row r="195" spans="1:15" s="2" customFormat="1" x14ac:dyDescent="0.3">
      <c r="A195" s="53" t="s">
        <v>483</v>
      </c>
      <c r="B195" s="2" t="s">
        <v>533</v>
      </c>
      <c r="C195" s="3">
        <v>50.581983999999999</v>
      </c>
      <c r="D195" s="2">
        <v>50.581983999999999</v>
      </c>
      <c r="E195" s="2">
        <v>50.582265</v>
      </c>
      <c r="F195" s="2">
        <v>50.582265</v>
      </c>
      <c r="G195" s="3">
        <v>50.582265</v>
      </c>
      <c r="H195" s="3">
        <v>50.582265</v>
      </c>
      <c r="I195" s="3"/>
      <c r="J195" s="3"/>
      <c r="K195" s="3"/>
      <c r="L195" s="3"/>
      <c r="M195" s="3"/>
      <c r="N195" s="3"/>
      <c r="O195" s="3"/>
    </row>
    <row r="196" spans="1:15" s="2" customFormat="1" x14ac:dyDescent="0.3">
      <c r="A196" s="53" t="s">
        <v>484</v>
      </c>
      <c r="B196" s="2" t="s">
        <v>534</v>
      </c>
      <c r="C196" s="3">
        <v>26.819324999999999</v>
      </c>
      <c r="D196" s="3">
        <v>26.819324999999999</v>
      </c>
      <c r="E196" s="2">
        <v>26.819474</v>
      </c>
      <c r="F196" s="2">
        <v>26.819474</v>
      </c>
      <c r="G196" s="3">
        <v>26.819474</v>
      </c>
      <c r="H196" s="3">
        <v>26.819474</v>
      </c>
      <c r="I196" s="3"/>
      <c r="J196" s="3"/>
      <c r="K196" s="3"/>
      <c r="L196" s="3"/>
      <c r="M196" s="3"/>
      <c r="N196" s="3"/>
      <c r="O196" s="3"/>
    </row>
    <row r="197" spans="1:15" s="2" customFormat="1" x14ac:dyDescent="0.3">
      <c r="A197" s="53" t="s">
        <v>485</v>
      </c>
      <c r="B197" s="2" t="s">
        <v>535</v>
      </c>
      <c r="C197" s="3">
        <v>54.498527000000003</v>
      </c>
      <c r="D197" s="3">
        <v>54.498527000000003</v>
      </c>
      <c r="E197" s="3">
        <v>54.498829999999998</v>
      </c>
      <c r="F197" s="3">
        <v>54.498829999999998</v>
      </c>
      <c r="G197" s="3">
        <v>54.498829999999998</v>
      </c>
      <c r="H197" s="3">
        <v>54.498829999999998</v>
      </c>
      <c r="I197" s="3"/>
      <c r="J197" s="3"/>
      <c r="K197" s="3"/>
      <c r="L197" s="3"/>
      <c r="M197" s="3"/>
      <c r="N197" s="3"/>
      <c r="O197" s="3"/>
    </row>
    <row r="198" spans="1:15" s="2" customFormat="1" x14ac:dyDescent="0.3">
      <c r="A198" s="53" t="s">
        <v>633</v>
      </c>
      <c r="B198" s="2" t="s">
        <v>618</v>
      </c>
      <c r="C198" s="3">
        <v>19.734791999999999</v>
      </c>
      <c r="D198" s="3">
        <v>19.734791999999999</v>
      </c>
      <c r="E198" s="2">
        <v>19.734902000000002</v>
      </c>
      <c r="F198" s="3">
        <v>19.734902000000002</v>
      </c>
      <c r="G198" s="3">
        <v>19.734902000000002</v>
      </c>
      <c r="H198" s="3">
        <v>19.734902000000002</v>
      </c>
      <c r="I198" s="3"/>
      <c r="J198" s="3"/>
      <c r="K198" s="3"/>
      <c r="L198" s="3"/>
      <c r="M198" s="3"/>
      <c r="N198" s="3"/>
      <c r="O198" s="3"/>
    </row>
    <row r="199" spans="1:15" s="2" customFormat="1" x14ac:dyDescent="0.3">
      <c r="A199" s="53" t="s">
        <v>634</v>
      </c>
      <c r="B199" s="2" t="s">
        <v>619</v>
      </c>
      <c r="C199" s="3">
        <v>18.739000000000001</v>
      </c>
      <c r="D199" s="3">
        <v>18.739000000000001</v>
      </c>
      <c r="E199" s="2">
        <v>18.739104000000001</v>
      </c>
      <c r="F199" s="3">
        <v>18.739104000000001</v>
      </c>
      <c r="G199" s="3">
        <v>18.739104000000001</v>
      </c>
      <c r="H199" s="3">
        <v>18.739104000000001</v>
      </c>
      <c r="I199" s="3"/>
      <c r="J199" s="3"/>
      <c r="K199" s="3"/>
      <c r="L199" s="3"/>
      <c r="M199" s="3"/>
      <c r="N199" s="3"/>
      <c r="O199" s="3"/>
    </row>
    <row r="200" spans="1:15" s="2" customFormat="1" x14ac:dyDescent="0.3">
      <c r="A200" s="53" t="s">
        <v>486</v>
      </c>
      <c r="B200" s="2" t="s">
        <v>537</v>
      </c>
      <c r="C200" s="3">
        <v>26.312718</v>
      </c>
      <c r="D200" s="3">
        <v>26.312718</v>
      </c>
      <c r="E200" s="2">
        <v>26.312864000000001</v>
      </c>
      <c r="F200" s="2">
        <v>26.312864000000001</v>
      </c>
      <c r="G200" s="3">
        <v>26.312864000000001</v>
      </c>
      <c r="H200" s="3">
        <v>26.312864000000001</v>
      </c>
      <c r="I200" s="3"/>
      <c r="J200" s="3"/>
      <c r="K200" s="3"/>
      <c r="L200" s="3"/>
      <c r="M200" s="3"/>
      <c r="N200" s="3"/>
      <c r="O200" s="3"/>
    </row>
    <row r="201" spans="1:15" s="2" customFormat="1" x14ac:dyDescent="0.3">
      <c r="A201" s="8" t="s">
        <v>487</v>
      </c>
      <c r="B201" s="2" t="s">
        <v>538</v>
      </c>
      <c r="C201" s="3">
        <v>41.666575000000002</v>
      </c>
      <c r="D201" s="3">
        <v>41.666575000000002</v>
      </c>
      <c r="E201" s="2">
        <v>41.666806000000001</v>
      </c>
      <c r="F201" s="2">
        <v>41.666806000000001</v>
      </c>
      <c r="G201" s="3">
        <v>41.666806000000001</v>
      </c>
      <c r="H201" s="3">
        <v>41.666806000000001</v>
      </c>
      <c r="I201" s="3"/>
      <c r="J201" s="3"/>
      <c r="K201" s="3"/>
      <c r="L201" s="3"/>
      <c r="M201" s="3"/>
      <c r="N201" s="3"/>
      <c r="O201" s="3"/>
    </row>
    <row r="202" spans="1:15" s="2" customFormat="1" x14ac:dyDescent="0.3">
      <c r="A202" s="8" t="s">
        <v>488</v>
      </c>
      <c r="B202" s="2" t="s">
        <v>539</v>
      </c>
      <c r="C202" s="3">
        <v>28.350100999999999</v>
      </c>
      <c r="D202" s="3">
        <v>28.350100999999999</v>
      </c>
      <c r="E202" s="2">
        <v>28.350258</v>
      </c>
      <c r="F202" s="2">
        <v>28.350258</v>
      </c>
      <c r="G202" s="3">
        <v>28.350258</v>
      </c>
      <c r="H202" s="3">
        <v>28.350258</v>
      </c>
      <c r="I202" s="3"/>
      <c r="J202" s="3"/>
      <c r="K202" s="3"/>
      <c r="L202" s="3"/>
      <c r="M202" s="3"/>
      <c r="N202" s="3"/>
      <c r="O202" s="3"/>
    </row>
    <row r="203" spans="1:15" s="2" customFormat="1" x14ac:dyDescent="0.3">
      <c r="A203" s="8" t="s">
        <v>635</v>
      </c>
      <c r="B203" s="2" t="s">
        <v>620</v>
      </c>
      <c r="C203" s="3">
        <v>36.271462999999997</v>
      </c>
      <c r="D203" s="3">
        <v>36.271462999999997</v>
      </c>
      <c r="E203" s="2">
        <v>36.271664000000001</v>
      </c>
      <c r="F203" s="2">
        <v>36.271664000000001</v>
      </c>
      <c r="G203" s="3">
        <v>36.271664000000001</v>
      </c>
      <c r="H203" s="3">
        <v>36.271664000000001</v>
      </c>
      <c r="I203" s="3"/>
      <c r="J203" s="3"/>
      <c r="K203" s="3"/>
      <c r="L203" s="3"/>
      <c r="M203" s="3"/>
      <c r="N203" s="3"/>
      <c r="O203" s="3"/>
    </row>
    <row r="204" spans="1:15" s="2" customFormat="1" x14ac:dyDescent="0.3">
      <c r="A204" s="8" t="s">
        <v>636</v>
      </c>
      <c r="B204" s="2" t="s">
        <v>621</v>
      </c>
      <c r="C204" s="3">
        <v>36.154013999999997</v>
      </c>
      <c r="D204" s="3">
        <v>36.154013999999997</v>
      </c>
      <c r="E204" s="2">
        <v>36.154215000000001</v>
      </c>
      <c r="F204" s="2">
        <v>36.154215000000001</v>
      </c>
      <c r="G204" s="3">
        <v>36.154215000000001</v>
      </c>
      <c r="H204" s="3">
        <v>36.154215000000001</v>
      </c>
      <c r="I204" s="3"/>
      <c r="J204" s="3"/>
      <c r="K204" s="3"/>
      <c r="L204" s="3"/>
      <c r="M204" s="3"/>
      <c r="N204" s="3"/>
      <c r="O204" s="3"/>
    </row>
    <row r="205" spans="1:15" s="2" customFormat="1" x14ac:dyDescent="0.3">
      <c r="G205" s="3"/>
      <c r="H205" s="3"/>
      <c r="I205" s="3"/>
      <c r="J205" s="3"/>
      <c r="K205" s="3"/>
      <c r="L205" s="3"/>
      <c r="M205" s="3"/>
      <c r="N205" s="3"/>
      <c r="O205" s="3"/>
    </row>
    <row r="206" spans="1:15" s="2" customFormat="1" x14ac:dyDescent="0.3">
      <c r="A206" s="5" t="s">
        <v>541</v>
      </c>
      <c r="B206" s="2" t="str">
        <f>B$1</f>
        <v>Elegir Trim.</v>
      </c>
      <c r="C206" s="83">
        <f>C$126</f>
        <v>44501</v>
      </c>
      <c r="D206" s="83">
        <f t="shared" ref="D206:K206" si="27">D$126</f>
        <v>44593</v>
      </c>
      <c r="E206" s="83">
        <f t="shared" si="27"/>
        <v>44682</v>
      </c>
      <c r="F206" s="83">
        <f t="shared" si="27"/>
        <v>44774</v>
      </c>
      <c r="G206" s="83">
        <f t="shared" si="27"/>
        <v>44866</v>
      </c>
      <c r="H206" s="83">
        <f t="shared" si="27"/>
        <v>44958</v>
      </c>
      <c r="I206" s="83">
        <f t="shared" si="27"/>
        <v>45047</v>
      </c>
      <c r="J206" s="83">
        <f t="shared" si="27"/>
        <v>45139</v>
      </c>
      <c r="K206" s="83">
        <f t="shared" si="27"/>
        <v>45231</v>
      </c>
      <c r="L206" s="3"/>
      <c r="M206" s="3"/>
      <c r="N206" s="3"/>
      <c r="O206" s="3"/>
    </row>
    <row r="207" spans="1:15" s="2" customFormat="1" x14ac:dyDescent="0.3">
      <c r="A207" s="53" t="s">
        <v>481</v>
      </c>
      <c r="B207" s="2" t="s">
        <v>542</v>
      </c>
      <c r="C207" s="55">
        <v>0</v>
      </c>
      <c r="D207" s="55">
        <v>0</v>
      </c>
      <c r="E207" s="55">
        <v>0</v>
      </c>
      <c r="F207" s="55">
        <v>0</v>
      </c>
      <c r="G207" s="55">
        <v>0</v>
      </c>
      <c r="H207" s="55">
        <v>0</v>
      </c>
      <c r="I207" s="55">
        <v>0</v>
      </c>
      <c r="J207" s="55">
        <v>0</v>
      </c>
      <c r="K207" s="55">
        <v>0</v>
      </c>
      <c r="L207" s="55">
        <v>0</v>
      </c>
      <c r="M207" s="55">
        <v>0</v>
      </c>
      <c r="N207" s="55">
        <v>0</v>
      </c>
      <c r="O207" s="55">
        <v>0</v>
      </c>
    </row>
    <row r="208" spans="1:15" s="2" customFormat="1" x14ac:dyDescent="0.3">
      <c r="A208" s="53" t="s">
        <v>489</v>
      </c>
      <c r="B208" s="2" t="s">
        <v>543</v>
      </c>
      <c r="C208" s="55">
        <v>0</v>
      </c>
      <c r="D208" s="55">
        <v>0</v>
      </c>
      <c r="E208" s="55">
        <v>0</v>
      </c>
      <c r="F208" s="55">
        <v>0</v>
      </c>
      <c r="G208" s="55">
        <v>0</v>
      </c>
      <c r="H208" s="55">
        <v>0</v>
      </c>
      <c r="I208" s="55">
        <v>0</v>
      </c>
      <c r="J208" s="55">
        <v>0</v>
      </c>
      <c r="K208" s="55">
        <v>0</v>
      </c>
      <c r="L208" s="55">
        <v>0</v>
      </c>
      <c r="M208" s="55">
        <v>0</v>
      </c>
      <c r="N208" s="55">
        <v>0</v>
      </c>
      <c r="O208" s="55">
        <v>0</v>
      </c>
    </row>
    <row r="209" spans="1:15" s="2" customFormat="1" x14ac:dyDescent="0.3">
      <c r="A209" s="53" t="s">
        <v>482</v>
      </c>
      <c r="B209" s="2" t="s">
        <v>544</v>
      </c>
      <c r="C209" s="55">
        <v>0</v>
      </c>
      <c r="D209" s="55">
        <v>0</v>
      </c>
      <c r="E209" s="55">
        <v>0</v>
      </c>
      <c r="F209" s="55">
        <v>0</v>
      </c>
      <c r="G209" s="55">
        <v>0</v>
      </c>
      <c r="H209" s="55">
        <v>0</v>
      </c>
      <c r="I209" s="55">
        <v>0</v>
      </c>
      <c r="J209" s="55">
        <v>0</v>
      </c>
      <c r="K209" s="55">
        <v>0</v>
      </c>
      <c r="L209" s="55">
        <v>0</v>
      </c>
      <c r="M209" s="55">
        <v>0</v>
      </c>
      <c r="N209" s="55">
        <v>0</v>
      </c>
      <c r="O209" s="55">
        <v>0</v>
      </c>
    </row>
    <row r="210" spans="1:15" s="2" customFormat="1" x14ac:dyDescent="0.3">
      <c r="A210" s="53" t="s">
        <v>483</v>
      </c>
      <c r="B210" s="2" t="s">
        <v>545</v>
      </c>
      <c r="C210" s="3">
        <v>89.646023999999997</v>
      </c>
      <c r="D210" s="2">
        <v>89.646023999999997</v>
      </c>
      <c r="E210" s="2">
        <v>91.561272000000002</v>
      </c>
      <c r="F210" s="2">
        <v>91.561272000000002</v>
      </c>
      <c r="G210" s="3">
        <v>95.610946999999996</v>
      </c>
      <c r="H210" s="3">
        <v>95.610947999999993</v>
      </c>
      <c r="I210" s="3"/>
      <c r="J210" s="3"/>
      <c r="K210" s="3"/>
      <c r="L210" s="3"/>
      <c r="M210" s="3"/>
      <c r="N210" s="3"/>
      <c r="O210" s="3"/>
    </row>
    <row r="211" spans="1:15" s="2" customFormat="1" x14ac:dyDescent="0.3">
      <c r="A211" s="53" t="s">
        <v>484</v>
      </c>
      <c r="B211" s="2" t="s">
        <v>546</v>
      </c>
      <c r="C211" s="3">
        <v>76.197160999999994</v>
      </c>
      <c r="D211" s="3">
        <v>76.197160999999994</v>
      </c>
      <c r="E211" s="2">
        <v>77.772861000000006</v>
      </c>
      <c r="F211" s="2">
        <v>77.772861000000006</v>
      </c>
      <c r="G211" s="3">
        <v>81.218346999999994</v>
      </c>
      <c r="H211" s="3">
        <v>81.218346999999994</v>
      </c>
      <c r="I211" s="3"/>
      <c r="J211" s="3"/>
      <c r="K211" s="3"/>
      <c r="L211" s="3"/>
      <c r="M211" s="3"/>
      <c r="N211" s="3"/>
      <c r="O211" s="3"/>
    </row>
    <row r="212" spans="1:15" s="2" customFormat="1" x14ac:dyDescent="0.3">
      <c r="A212" s="53" t="s">
        <v>485</v>
      </c>
      <c r="B212" s="2" t="s">
        <v>547</v>
      </c>
      <c r="C212" s="3">
        <v>103.46831899999999</v>
      </c>
      <c r="D212" s="3">
        <v>103.46831899999999</v>
      </c>
      <c r="E212" s="2">
        <v>105.80873099999999</v>
      </c>
      <c r="F212" s="2">
        <v>105.80873099999999</v>
      </c>
      <c r="G212" s="3">
        <v>110.474486</v>
      </c>
      <c r="H212" s="3">
        <v>110.474486</v>
      </c>
      <c r="I212" s="3"/>
      <c r="J212" s="3"/>
      <c r="K212" s="3"/>
      <c r="L212" s="3"/>
      <c r="M212" s="3"/>
      <c r="N212" s="3"/>
      <c r="O212" s="3"/>
    </row>
    <row r="213" spans="1:15" s="2" customFormat="1" x14ac:dyDescent="0.3">
      <c r="A213" s="53" t="s">
        <v>633</v>
      </c>
      <c r="B213" s="2" t="s">
        <v>622</v>
      </c>
      <c r="C213" s="3">
        <v>79.878620999999995</v>
      </c>
      <c r="D213" s="3">
        <v>79.878620999999995</v>
      </c>
      <c r="E213" s="2">
        <v>81.464275000000001</v>
      </c>
      <c r="F213" s="2">
        <v>81.464275000000001</v>
      </c>
      <c r="G213" s="3">
        <v>85.080475000000007</v>
      </c>
      <c r="H213" s="3">
        <v>85.080475000000007</v>
      </c>
      <c r="I213" s="3"/>
      <c r="J213" s="3"/>
      <c r="K213" s="3"/>
      <c r="L213" s="3"/>
      <c r="M213" s="3"/>
      <c r="N213" s="3"/>
      <c r="O213" s="3"/>
    </row>
    <row r="214" spans="1:15" s="2" customFormat="1" x14ac:dyDescent="0.3">
      <c r="A214" s="53" t="s">
        <v>634</v>
      </c>
      <c r="B214" s="2" t="s">
        <v>623</v>
      </c>
      <c r="C214" s="3">
        <v>72.769478000000007</v>
      </c>
      <c r="D214" s="3">
        <v>72.769478000000007</v>
      </c>
      <c r="E214" s="2">
        <v>74.211157</v>
      </c>
      <c r="F214" s="2">
        <v>74.211157</v>
      </c>
      <c r="G214" s="3">
        <v>77.505700000000004</v>
      </c>
      <c r="H214" s="3">
        <v>77.505700000000004</v>
      </c>
      <c r="I214" s="3"/>
      <c r="J214" s="3"/>
      <c r="K214" s="3"/>
      <c r="L214" s="3"/>
      <c r="M214" s="3"/>
      <c r="N214" s="3"/>
      <c r="O214" s="3"/>
    </row>
    <row r="215" spans="1:15" s="2" customFormat="1" x14ac:dyDescent="0.3">
      <c r="A215" s="53" t="s">
        <v>486</v>
      </c>
      <c r="B215" s="2" t="s">
        <v>549</v>
      </c>
      <c r="C215" s="3">
        <v>66.075981999999996</v>
      </c>
      <c r="D215" s="2">
        <v>64.012646000000004</v>
      </c>
      <c r="E215" s="2">
        <v>68.108435999999998</v>
      </c>
      <c r="F215" s="2">
        <v>68.108435999999998</v>
      </c>
      <c r="G215" s="3">
        <v>71.053534999999997</v>
      </c>
      <c r="H215" s="3">
        <v>71.053534999999997</v>
      </c>
      <c r="I215" s="3"/>
      <c r="J215" s="3"/>
      <c r="K215" s="3"/>
      <c r="L215" s="3"/>
      <c r="M215" s="3"/>
      <c r="N215" s="3"/>
      <c r="O215" s="3"/>
    </row>
    <row r="216" spans="1:15" s="2" customFormat="1" x14ac:dyDescent="0.3">
      <c r="A216" s="8" t="s">
        <v>487</v>
      </c>
      <c r="B216" s="2" t="s">
        <v>550</v>
      </c>
      <c r="C216" s="3">
        <v>55.910859000000002</v>
      </c>
      <c r="D216" s="3">
        <v>55.910859000000002</v>
      </c>
      <c r="E216" s="2">
        <v>57.630640999999997</v>
      </c>
      <c r="F216" s="2">
        <v>57.630640999999997</v>
      </c>
      <c r="G216" s="3">
        <v>60.122666000000002</v>
      </c>
      <c r="H216" s="3">
        <v>60.122666000000002</v>
      </c>
      <c r="I216" s="3"/>
      <c r="J216" s="3"/>
      <c r="K216" s="3"/>
      <c r="L216" s="3"/>
      <c r="M216" s="3"/>
      <c r="N216" s="3"/>
      <c r="O216" s="3"/>
    </row>
    <row r="217" spans="1:15" s="2" customFormat="1" x14ac:dyDescent="0.3">
      <c r="A217" s="8" t="s">
        <v>488</v>
      </c>
      <c r="B217" s="2" t="s">
        <v>551</v>
      </c>
      <c r="C217" s="3">
        <v>97.170562000000004</v>
      </c>
      <c r="D217" s="3">
        <v>97.170562000000004</v>
      </c>
      <c r="E217" s="2">
        <v>100.15946599999999</v>
      </c>
      <c r="F217" s="2">
        <v>100.15946599999999</v>
      </c>
      <c r="G217" s="3">
        <v>104.490494</v>
      </c>
      <c r="H217" s="3">
        <v>104.490494</v>
      </c>
      <c r="I217" s="3"/>
      <c r="J217" s="3"/>
      <c r="K217" s="3"/>
      <c r="L217" s="3"/>
      <c r="M217" s="3"/>
      <c r="N217" s="3"/>
      <c r="O217" s="3"/>
    </row>
    <row r="218" spans="1:15" s="2" customFormat="1" x14ac:dyDescent="0.3">
      <c r="A218" s="8" t="s">
        <v>635</v>
      </c>
      <c r="B218" s="2" t="s">
        <v>624</v>
      </c>
      <c r="C218" s="3">
        <v>62.265604000000003</v>
      </c>
      <c r="D218" s="3">
        <v>62.265604000000003</v>
      </c>
      <c r="E218" s="2">
        <v>64.180853999999997</v>
      </c>
      <c r="F218" s="2">
        <v>64.180853999999997</v>
      </c>
      <c r="G218" s="3">
        <v>66.956119000000001</v>
      </c>
      <c r="H218" s="3">
        <v>66.956119000000001</v>
      </c>
      <c r="I218" s="3"/>
      <c r="J218" s="3"/>
      <c r="K218" s="3"/>
      <c r="L218" s="3"/>
      <c r="M218" s="3"/>
      <c r="N218" s="3"/>
      <c r="O218" s="3"/>
    </row>
    <row r="219" spans="1:15" s="2" customFormat="1" x14ac:dyDescent="0.3">
      <c r="A219" s="8" t="s">
        <v>636</v>
      </c>
      <c r="B219" s="2" t="s">
        <v>625</v>
      </c>
      <c r="C219" s="3">
        <v>55.910859000000002</v>
      </c>
      <c r="D219" s="3">
        <v>55.910859000000002</v>
      </c>
      <c r="E219" s="2">
        <v>57.630640999999997</v>
      </c>
      <c r="F219" s="2">
        <v>57.630640999999997</v>
      </c>
      <c r="G219" s="3">
        <v>60.122666000000002</v>
      </c>
      <c r="H219" s="3">
        <v>60.122666000000002</v>
      </c>
      <c r="I219" s="3"/>
      <c r="J219" s="3"/>
      <c r="K219" s="3"/>
      <c r="L219" s="3"/>
      <c r="M219" s="3"/>
      <c r="N219" s="3"/>
      <c r="O219" s="3"/>
    </row>
    <row r="220" spans="1:15" s="2" customFormat="1" x14ac:dyDescent="0.3">
      <c r="G220" s="3"/>
      <c r="H220" s="3"/>
      <c r="I220" s="3"/>
      <c r="J220" s="3"/>
      <c r="K220" s="3"/>
      <c r="L220" s="3"/>
      <c r="M220" s="3"/>
      <c r="N220" s="3"/>
      <c r="O220" s="3"/>
    </row>
    <row r="221" spans="1:15" s="2" customFormat="1" x14ac:dyDescent="0.3">
      <c r="B221" s="56" t="s">
        <v>553</v>
      </c>
      <c r="C221" s="57">
        <v>1.9962930000000001</v>
      </c>
      <c r="D221" s="2">
        <v>2.0456880000000002</v>
      </c>
      <c r="E221" s="3">
        <v>2.1833499999999999</v>
      </c>
      <c r="F221" s="3">
        <v>2.2633299999999998</v>
      </c>
      <c r="G221" s="3">
        <v>2.2658010000000002</v>
      </c>
      <c r="H221" s="3">
        <v>2.2657099999999999</v>
      </c>
      <c r="I221" s="3"/>
      <c r="J221" s="3"/>
      <c r="K221" s="3"/>
      <c r="L221" s="3"/>
      <c r="M221" s="3"/>
      <c r="N221" s="3"/>
      <c r="O221" s="3"/>
    </row>
    <row r="222" spans="1:15" s="2" customFormat="1" x14ac:dyDescent="0.3">
      <c r="B222" s="58" t="s">
        <v>554</v>
      </c>
      <c r="C222" s="59">
        <v>9.5988900000000005E-3</v>
      </c>
      <c r="D222" s="59">
        <v>9.5063200000000004E-3</v>
      </c>
      <c r="E222" s="59">
        <v>9.4362000000000005E-3</v>
      </c>
      <c r="F222" s="59">
        <v>9.4512299999999997E-3</v>
      </c>
      <c r="G222" s="59">
        <v>9.4737699999999994E-3</v>
      </c>
      <c r="H222" s="59">
        <v>9.3635200000000002E-3</v>
      </c>
      <c r="I222" s="59"/>
      <c r="J222" s="59"/>
      <c r="K222" s="59"/>
      <c r="L222" s="59"/>
      <c r="M222" s="59"/>
      <c r="N222" s="59"/>
      <c r="O222" s="59"/>
    </row>
    <row r="224" spans="1:15" x14ac:dyDescent="0.3">
      <c r="B224" s="60"/>
      <c r="C224" s="61" t="s">
        <v>555</v>
      </c>
      <c r="D224" s="61" t="s">
        <v>556</v>
      </c>
      <c r="E224" s="61" t="s">
        <v>557</v>
      </c>
      <c r="F224" s="61" t="s">
        <v>463</v>
      </c>
      <c r="G224" s="2"/>
      <c r="H224" s="2"/>
      <c r="I224" s="2"/>
    </row>
    <row r="225" spans="2:9" x14ac:dyDescent="0.3">
      <c r="B225" s="61" t="s">
        <v>558</v>
      </c>
      <c r="C225" s="62"/>
      <c r="D225" s="62"/>
      <c r="E225" s="62"/>
      <c r="F225" s="62">
        <f t="shared" ref="F225:F232" si="28">SUM(C225:E225)</f>
        <v>0</v>
      </c>
      <c r="G225" s="2"/>
      <c r="H225" s="2"/>
      <c r="I225" s="2"/>
    </row>
    <row r="226" spans="2:9" x14ac:dyDescent="0.3">
      <c r="B226" s="61" t="s">
        <v>559</v>
      </c>
      <c r="C226" s="62"/>
      <c r="D226" s="62"/>
      <c r="E226" s="62"/>
      <c r="F226" s="62">
        <f t="shared" si="28"/>
        <v>0</v>
      </c>
      <c r="G226" s="2"/>
      <c r="H226" s="2"/>
      <c r="I226" s="2"/>
    </row>
    <row r="227" spans="2:9" x14ac:dyDescent="0.3">
      <c r="B227" s="61" t="s">
        <v>560</v>
      </c>
      <c r="C227" s="62"/>
      <c r="D227" s="62"/>
      <c r="E227" s="62"/>
      <c r="F227" s="62">
        <f t="shared" si="28"/>
        <v>0</v>
      </c>
      <c r="G227" s="2"/>
      <c r="H227" s="2"/>
      <c r="I227" s="2"/>
    </row>
    <row r="228" spans="2:9" x14ac:dyDescent="0.3">
      <c r="B228" s="61" t="s">
        <v>561</v>
      </c>
      <c r="C228" s="62"/>
      <c r="D228" s="62"/>
      <c r="E228" s="62"/>
      <c r="F228" s="62">
        <f t="shared" si="28"/>
        <v>0</v>
      </c>
      <c r="G228" s="2"/>
      <c r="H228" s="2"/>
      <c r="I228" s="2"/>
    </row>
    <row r="229" spans="2:9" x14ac:dyDescent="0.3">
      <c r="B229" s="61" t="s">
        <v>562</v>
      </c>
      <c r="C229" s="62"/>
      <c r="D229" s="62"/>
      <c r="E229" s="62"/>
      <c r="F229" s="62">
        <f t="shared" si="28"/>
        <v>0</v>
      </c>
      <c r="G229" s="2"/>
      <c r="H229" s="2"/>
      <c r="I229" s="2"/>
    </row>
    <row r="230" spans="2:9" x14ac:dyDescent="0.3">
      <c r="B230" s="61" t="s">
        <v>563</v>
      </c>
      <c r="C230" s="62"/>
      <c r="D230" s="62"/>
      <c r="E230" s="62"/>
      <c r="F230" s="62">
        <f t="shared" si="28"/>
        <v>0</v>
      </c>
      <c r="G230" s="2"/>
      <c r="H230" s="2"/>
      <c r="I230" s="2"/>
    </row>
    <row r="231" spans="2:9" x14ac:dyDescent="0.3">
      <c r="B231" s="61" t="s">
        <v>564</v>
      </c>
      <c r="C231" s="72"/>
      <c r="D231" s="72"/>
      <c r="E231" s="72"/>
      <c r="F231" s="62">
        <f t="shared" si="28"/>
        <v>0</v>
      </c>
      <c r="G231" s="2"/>
      <c r="H231" s="2"/>
      <c r="I231" s="2"/>
    </row>
    <row r="232" spans="2:9" x14ac:dyDescent="0.3">
      <c r="B232" s="61" t="s">
        <v>565</v>
      </c>
      <c r="C232" s="72"/>
      <c r="D232" s="72"/>
      <c r="E232" s="72"/>
      <c r="F232" s="62">
        <f t="shared" si="28"/>
        <v>0</v>
      </c>
      <c r="G232" s="2"/>
      <c r="H232" s="2"/>
      <c r="I232" s="2"/>
    </row>
    <row r="233" spans="2:9" x14ac:dyDescent="0.3">
      <c r="B233" s="2"/>
      <c r="C233" s="2"/>
      <c r="D233" s="2"/>
      <c r="E233" s="2"/>
      <c r="F233" s="2"/>
      <c r="G233" s="2"/>
      <c r="H233" s="2"/>
      <c r="I233" s="2"/>
    </row>
    <row r="234" spans="2:9" x14ac:dyDescent="0.3">
      <c r="B234" s="61" t="s">
        <v>566</v>
      </c>
      <c r="C234" s="61" t="s">
        <v>567</v>
      </c>
      <c r="D234" s="61" t="s">
        <v>568</v>
      </c>
      <c r="E234" s="61" t="s">
        <v>569</v>
      </c>
      <c r="F234" s="61" t="s">
        <v>570</v>
      </c>
      <c r="G234" s="61" t="s">
        <v>571</v>
      </c>
      <c r="H234" s="61" t="s">
        <v>572</v>
      </c>
      <c r="I234" s="61" t="s">
        <v>573</v>
      </c>
    </row>
    <row r="235" spans="2:9" x14ac:dyDescent="0.3">
      <c r="B235" s="63" t="s">
        <v>558</v>
      </c>
      <c r="C235" s="64"/>
      <c r="D235" s="64"/>
      <c r="E235" s="65"/>
      <c r="F235" s="65"/>
      <c r="G235" s="64"/>
      <c r="H235" s="65"/>
      <c r="I235" s="65"/>
    </row>
    <row r="236" spans="2:9" x14ac:dyDescent="0.3">
      <c r="B236" s="63" t="s">
        <v>559</v>
      </c>
      <c r="C236" s="64"/>
      <c r="D236" s="64"/>
      <c r="E236" s="65"/>
      <c r="F236" s="65"/>
      <c r="G236" s="64"/>
      <c r="H236" s="65"/>
      <c r="I236" s="65"/>
    </row>
    <row r="237" spans="2:9" x14ac:dyDescent="0.3">
      <c r="B237" s="63" t="s">
        <v>574</v>
      </c>
      <c r="C237" s="65"/>
      <c r="D237" s="64"/>
      <c r="E237" s="65"/>
      <c r="F237" s="65"/>
      <c r="G237" s="64"/>
      <c r="H237" s="64"/>
      <c r="I237" s="64"/>
    </row>
    <row r="238" spans="2:9" x14ac:dyDescent="0.3">
      <c r="B238" s="63" t="s">
        <v>560</v>
      </c>
      <c r="C238" s="65"/>
      <c r="D238" s="64"/>
      <c r="E238" s="65"/>
      <c r="F238" s="65"/>
      <c r="G238" s="64"/>
      <c r="H238" s="64"/>
      <c r="I238" s="64"/>
    </row>
    <row r="239" spans="2:9" x14ac:dyDescent="0.3">
      <c r="B239" s="63" t="s">
        <v>563</v>
      </c>
      <c r="C239" s="65"/>
      <c r="D239" s="65"/>
      <c r="E239" s="65"/>
      <c r="F239" s="65"/>
      <c r="G239" s="64"/>
      <c r="H239" s="64"/>
      <c r="I239" s="64"/>
    </row>
    <row r="240" spans="2:9" x14ac:dyDescent="0.3">
      <c r="B240" s="63" t="s">
        <v>562</v>
      </c>
      <c r="C240" s="65"/>
      <c r="D240" s="65"/>
      <c r="E240" s="65"/>
      <c r="F240" s="65"/>
      <c r="G240" s="64"/>
      <c r="H240" s="64"/>
      <c r="I240" s="64"/>
    </row>
    <row r="241" spans="2:9" x14ac:dyDescent="0.3">
      <c r="B241" s="63" t="s">
        <v>575</v>
      </c>
      <c r="C241" s="65"/>
      <c r="D241" s="65"/>
      <c r="E241" s="64"/>
      <c r="F241" s="64"/>
      <c r="G241" s="65"/>
      <c r="H241" s="65"/>
      <c r="I241" s="64"/>
    </row>
    <row r="242" spans="2:9" x14ac:dyDescent="0.3">
      <c r="B242" s="63" t="s">
        <v>576</v>
      </c>
      <c r="C242" s="65"/>
      <c r="D242" s="65"/>
      <c r="E242" s="65"/>
      <c r="F242" s="64"/>
      <c r="G242" s="65"/>
      <c r="H242" s="65"/>
      <c r="I242" s="64"/>
    </row>
    <row r="243" spans="2:9" x14ac:dyDescent="0.3">
      <c r="B243" s="63" t="s">
        <v>564</v>
      </c>
      <c r="C243" s="65"/>
      <c r="D243" s="64"/>
      <c r="E243" s="65"/>
      <c r="F243" s="65"/>
      <c r="G243" s="64"/>
      <c r="H243" s="64"/>
      <c r="I243" s="65"/>
    </row>
    <row r="244" spans="2:9" x14ac:dyDescent="0.3">
      <c r="B244" s="63" t="s">
        <v>565</v>
      </c>
      <c r="C244" s="65"/>
      <c r="D244" s="65"/>
      <c r="E244" s="65"/>
      <c r="F244" s="65"/>
      <c r="G244" s="64"/>
      <c r="H244" s="64"/>
      <c r="I244" s="65"/>
    </row>
  </sheetData>
  <mergeCells count="9">
    <mergeCell ref="A85:B85"/>
    <mergeCell ref="A86:B86"/>
    <mergeCell ref="A87:B87"/>
    <mergeCell ref="A79:B79"/>
    <mergeCell ref="A80:B80"/>
    <mergeCell ref="A81:B81"/>
    <mergeCell ref="A82:B82"/>
    <mergeCell ref="A83:B83"/>
    <mergeCell ref="A84:B84"/>
  </mergeCells>
  <pageMargins left="0.75" right="0.75" top="1" bottom="1" header="0" footer="0"/>
  <pageSetup paperSize="9" orientation="portrait" horizontalDpi="4294967293" verticalDpi="12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31</vt:i4>
      </vt:variant>
    </vt:vector>
  </HeadingPairs>
  <TitlesOfParts>
    <vt:vector size="37" baseType="lpstr">
      <vt:lpstr>Cotizador QTZ</vt:lpstr>
      <vt:lpstr>Cotizador Kwh</vt:lpstr>
      <vt:lpstr>Ubicacion</vt:lpstr>
      <vt:lpstr>Peaje EEGSA</vt:lpstr>
      <vt:lpstr>Peaje DeOCsa</vt:lpstr>
      <vt:lpstr>Peaje DeORsa</vt:lpstr>
      <vt:lpstr>Alta_Verapaz</vt:lpstr>
      <vt:lpstr>Baja_Verapaz</vt:lpstr>
      <vt:lpstr>Chimaltenango</vt:lpstr>
      <vt:lpstr>Chiquimula</vt:lpstr>
      <vt:lpstr>DeOCsa</vt:lpstr>
      <vt:lpstr>DEOCSA_Autoproductores</vt:lpstr>
      <vt:lpstr>DeORsa</vt:lpstr>
      <vt:lpstr>DEORSA_Autoproductores</vt:lpstr>
      <vt:lpstr>Departamento</vt:lpstr>
      <vt:lpstr>Distribuidora</vt:lpstr>
      <vt:lpstr>EEGSA</vt:lpstr>
      <vt:lpstr>EEGSA_Autoproductores</vt:lpstr>
      <vt:lpstr>El_Progreso</vt:lpstr>
      <vt:lpstr>Escuintla</vt:lpstr>
      <vt:lpstr>Guatemala</vt:lpstr>
      <vt:lpstr>Guatemala_Ciudad_de_Guatemala</vt:lpstr>
      <vt:lpstr>Huehuetenango</vt:lpstr>
      <vt:lpstr>Izabal</vt:lpstr>
      <vt:lpstr>Jalapa</vt:lpstr>
      <vt:lpstr>Jutiapa</vt:lpstr>
      <vt:lpstr>Petén</vt:lpstr>
      <vt:lpstr>Quetzaltenango</vt:lpstr>
      <vt:lpstr>Quiché</vt:lpstr>
      <vt:lpstr>Retalhuleu</vt:lpstr>
      <vt:lpstr>Sacatepéquez</vt:lpstr>
      <vt:lpstr>San_Marcos</vt:lpstr>
      <vt:lpstr>Santa_Rosa</vt:lpstr>
      <vt:lpstr>Sololá</vt:lpstr>
      <vt:lpstr>Suchitepéquez</vt:lpstr>
      <vt:lpstr>Totonicapán</vt:lpstr>
      <vt:lpstr>Zacapa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Administrador</dc:creator>
  <cp:lastModifiedBy>Administrador</cp:lastModifiedBy>
  <dcterms:created xsi:type="dcterms:W3CDTF">2021-07-23T23:22:14Z</dcterms:created>
  <dcterms:modified xsi:type="dcterms:W3CDTF">2023-04-13T22:20:52Z</dcterms:modified>
</cp:coreProperties>
</file>