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2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083ADB5-B6AB-4614-A180-1118A133575A}" xr6:coauthVersionLast="47" xr6:coauthVersionMax="47" xr10:uidLastSave="{00000000-0000-0000-0000-000000000000}"/>
  <bookViews>
    <workbookView xWindow="-108" yWindow="-108" windowWidth="23256" windowHeight="12456" activeTab="7" xr2:uid="{47F3E24F-3886-419D-BC2B-1F519203107B}"/>
  </bookViews>
  <sheets>
    <sheet name="INPUT" sheetId="11" r:id="rId1"/>
    <sheet name="P&amp;L ASSUMPTION" sheetId="3" r:id="rId2"/>
    <sheet name="BS ASSUMPTION" sheetId="4" r:id="rId3"/>
    <sheet name="OUTPUT" sheetId="6" r:id="rId4"/>
    <sheet name="P&amp;L" sheetId="5" r:id="rId5"/>
    <sheet name="BS" sheetId="7" r:id="rId6"/>
    <sheet name="CASH FLOW" sheetId="8" r:id="rId7"/>
    <sheet name="DCF VALUATION" sheetId="9" r:id="rId8"/>
    <sheet name="WACC" sheetId="10" r:id="rId9"/>
    <sheet name="SOURCE" sheetId="12" r:id="rId10"/>
    <sheet name="P&amp;L SOURCE" sheetId="1" r:id="rId11"/>
    <sheet name="BS SOURCE" sheetId="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9" l="1"/>
  <c r="B27" i="9"/>
  <c r="B21" i="9"/>
  <c r="B23" i="9"/>
  <c r="B24" i="9"/>
  <c r="B22" i="9"/>
  <c r="A23" i="9"/>
  <c r="A24" i="9"/>
  <c r="A22" i="9"/>
  <c r="A21" i="9"/>
  <c r="B3" i="9"/>
  <c r="B18" i="9"/>
  <c r="B19" i="9"/>
  <c r="B20" i="9"/>
  <c r="B17" i="9"/>
  <c r="A18" i="9"/>
  <c r="A19" i="9"/>
  <c r="A20" i="9"/>
  <c r="A17" i="9"/>
  <c r="B26" i="9"/>
  <c r="C29" i="10" l="1"/>
  <c r="B15" i="9" s="1"/>
  <c r="C5" i="10" l="1"/>
  <c r="C25" i="10"/>
  <c r="C12" i="10"/>
  <c r="C10" i="10"/>
  <c r="L5" i="10"/>
  <c r="L4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K5" i="10"/>
  <c r="K4" i="10"/>
  <c r="K61" i="10"/>
  <c r="K60" i="10"/>
  <c r="K59" i="10"/>
  <c r="K58" i="10"/>
  <c r="K57" i="10"/>
  <c r="K56" i="10"/>
  <c r="K55" i="10"/>
  <c r="K54" i="10"/>
  <c r="K53" i="10"/>
  <c r="K52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L3" i="10"/>
  <c r="K3" i="10"/>
  <c r="C8" i="8"/>
  <c r="D8" i="8"/>
  <c r="E8" i="8"/>
  <c r="C7" i="8"/>
  <c r="D7" i="8"/>
  <c r="E7" i="8"/>
  <c r="B7" i="8"/>
  <c r="B8" i="8"/>
  <c r="C5" i="8"/>
  <c r="D5" i="8"/>
  <c r="E5" i="8"/>
  <c r="B5" i="8"/>
  <c r="C13" i="7"/>
  <c r="B12" i="7"/>
  <c r="C11" i="7"/>
  <c r="D11" i="7"/>
  <c r="E11" i="7"/>
  <c r="F11" i="7"/>
  <c r="B11" i="7"/>
  <c r="C10" i="7"/>
  <c r="D10" i="7"/>
  <c r="E10" i="7"/>
  <c r="F10" i="7"/>
  <c r="B10" i="7"/>
  <c r="C9" i="7"/>
  <c r="D9" i="7"/>
  <c r="E9" i="7"/>
  <c r="F9" i="7"/>
  <c r="B9" i="7"/>
  <c r="C6" i="7"/>
  <c r="C5" i="7"/>
  <c r="D5" i="7"/>
  <c r="E5" i="7"/>
  <c r="F5" i="7"/>
  <c r="B5" i="7"/>
  <c r="C4" i="7"/>
  <c r="C7" i="7"/>
  <c r="D4" i="7" s="1"/>
  <c r="D7" i="7"/>
  <c r="E4" i="7" s="1"/>
  <c r="E6" i="7" s="1"/>
  <c r="E7" i="7"/>
  <c r="F4" i="7" s="1"/>
  <c r="F6" i="7" s="1"/>
  <c r="F7" i="7"/>
  <c r="B7" i="7"/>
  <c r="C19" i="10" l="1"/>
  <c r="C6" i="10"/>
  <c r="F12" i="7"/>
  <c r="F13" i="7" s="1"/>
  <c r="D12" i="7"/>
  <c r="D13" i="7" s="1"/>
  <c r="C12" i="7"/>
  <c r="E12" i="7"/>
  <c r="E13" i="7" s="1"/>
  <c r="D6" i="7"/>
  <c r="G4" i="7"/>
  <c r="C13" i="5" l="1"/>
  <c r="D13" i="5"/>
  <c r="E13" i="5"/>
  <c r="F13" i="5"/>
  <c r="B13" i="5"/>
  <c r="C10" i="5"/>
  <c r="D10" i="5"/>
  <c r="E10" i="5"/>
  <c r="F10" i="5"/>
  <c r="B10" i="5"/>
  <c r="C8" i="5"/>
  <c r="D8" i="5"/>
  <c r="E8" i="5"/>
  <c r="F8" i="5"/>
  <c r="B8" i="5"/>
  <c r="C7" i="5"/>
  <c r="D7" i="5"/>
  <c r="E7" i="5"/>
  <c r="F7" i="5"/>
  <c r="B7" i="5"/>
  <c r="C5" i="5"/>
  <c r="D5" i="5"/>
  <c r="E5" i="5"/>
  <c r="F5" i="5"/>
  <c r="F6" i="5" s="1"/>
  <c r="F9" i="5" s="1"/>
  <c r="B5" i="5"/>
  <c r="C4" i="5"/>
  <c r="C6" i="5" s="1"/>
  <c r="C9" i="5" s="1"/>
  <c r="D4" i="5"/>
  <c r="E4" i="5"/>
  <c r="F4" i="5"/>
  <c r="B4" i="5"/>
  <c r="D6" i="5" l="1"/>
  <c r="D9" i="5" s="1"/>
  <c r="E6" i="5"/>
  <c r="E9" i="5" s="1"/>
  <c r="F11" i="5"/>
  <c r="F12" i="5" s="1"/>
  <c r="F14" i="5" s="1"/>
  <c r="E4" i="8" s="1"/>
  <c r="E6" i="8" s="1"/>
  <c r="E9" i="8" s="1"/>
  <c r="F7" i="9" s="1"/>
  <c r="C11" i="5"/>
  <c r="C12" i="5" s="1"/>
  <c r="C14" i="5" s="1"/>
  <c r="B4" i="8" s="1"/>
  <c r="B6" i="8" s="1"/>
  <c r="B9" i="8" s="1"/>
  <c r="C7" i="9" s="1"/>
  <c r="E11" i="5"/>
  <c r="E12" i="5" s="1"/>
  <c r="E14" i="5" s="1"/>
  <c r="D4" i="8" s="1"/>
  <c r="D6" i="8" s="1"/>
  <c r="D9" i="8" s="1"/>
  <c r="E7" i="9" s="1"/>
  <c r="D11" i="5"/>
  <c r="D12" i="5" s="1"/>
  <c r="D14" i="5" s="1"/>
  <c r="C4" i="8" s="1"/>
  <c r="C6" i="8" s="1"/>
  <c r="C9" i="8" s="1"/>
  <c r="D7" i="9" s="1"/>
  <c r="B6" i="5"/>
  <c r="B9" i="5" l="1"/>
  <c r="C16" i="4"/>
  <c r="D16" i="4"/>
  <c r="E16" i="4"/>
  <c r="F16" i="4"/>
  <c r="B16" i="4"/>
  <c r="C15" i="4"/>
  <c r="D15" i="4"/>
  <c r="E15" i="4"/>
  <c r="F15" i="4"/>
  <c r="B15" i="4"/>
  <c r="H13" i="4"/>
  <c r="I13" i="4"/>
  <c r="J13" i="4"/>
  <c r="K13" i="4"/>
  <c r="G13" i="4"/>
  <c r="H11" i="4"/>
  <c r="I11" i="4" s="1"/>
  <c r="J11" i="4" s="1"/>
  <c r="K11" i="4" s="1"/>
  <c r="H8" i="4"/>
  <c r="I8" i="4" s="1"/>
  <c r="J8" i="4" s="1"/>
  <c r="K8" i="4" s="1"/>
  <c r="H5" i="4"/>
  <c r="I5" i="4" s="1"/>
  <c r="J5" i="4" s="1"/>
  <c r="K5" i="4" s="1"/>
  <c r="G11" i="4"/>
  <c r="G8" i="4"/>
  <c r="G5" i="4"/>
  <c r="C13" i="4"/>
  <c r="D13" i="4"/>
  <c r="E13" i="4"/>
  <c r="F13" i="4"/>
  <c r="B13" i="4"/>
  <c r="C8" i="4"/>
  <c r="D8" i="4"/>
  <c r="E8" i="4"/>
  <c r="F8" i="4"/>
  <c r="B8" i="4"/>
  <c r="C11" i="4"/>
  <c r="D11" i="4"/>
  <c r="E11" i="4"/>
  <c r="F11" i="4"/>
  <c r="B11" i="4"/>
  <c r="C5" i="4"/>
  <c r="D5" i="4"/>
  <c r="E5" i="4"/>
  <c r="F5" i="4"/>
  <c r="B5" i="4"/>
  <c r="C10" i="4"/>
  <c r="D10" i="4"/>
  <c r="E10" i="4"/>
  <c r="F10" i="4"/>
  <c r="B10" i="4"/>
  <c r="C7" i="4"/>
  <c r="D7" i="4"/>
  <c r="E7" i="4"/>
  <c r="F7" i="4"/>
  <c r="B7" i="4"/>
  <c r="C4" i="4"/>
  <c r="D4" i="4"/>
  <c r="E4" i="4"/>
  <c r="F4" i="4"/>
  <c r="B4" i="4"/>
  <c r="B11" i="5" l="1"/>
  <c r="B12" i="5" s="1"/>
  <c r="B14" i="5" s="1"/>
  <c r="I42" i="3"/>
  <c r="H13" i="5" s="1"/>
  <c r="J42" i="3"/>
  <c r="I13" i="5" s="1"/>
  <c r="K42" i="3"/>
  <c r="J13" i="5" s="1"/>
  <c r="L42" i="3"/>
  <c r="K13" i="5" s="1"/>
  <c r="H42" i="3"/>
  <c r="D15" i="3"/>
  <c r="D22" i="3"/>
  <c r="D29" i="3"/>
  <c r="D36" i="3"/>
  <c r="C36" i="3"/>
  <c r="E36" i="3"/>
  <c r="F36" i="3"/>
  <c r="C35" i="3"/>
  <c r="B36" i="3"/>
  <c r="D35" i="3"/>
  <c r="E35" i="3"/>
  <c r="F35" i="3"/>
  <c r="B35" i="3"/>
  <c r="L36" i="3"/>
  <c r="K36" i="3"/>
  <c r="J36" i="3"/>
  <c r="I36" i="3"/>
  <c r="H36" i="3"/>
  <c r="C28" i="3"/>
  <c r="D28" i="3"/>
  <c r="E28" i="3"/>
  <c r="F28" i="3"/>
  <c r="B28" i="3"/>
  <c r="L29" i="3"/>
  <c r="K29" i="3"/>
  <c r="J29" i="3"/>
  <c r="I29" i="3"/>
  <c r="H29" i="3"/>
  <c r="C21" i="3"/>
  <c r="D21" i="3"/>
  <c r="E21" i="3"/>
  <c r="F21" i="3"/>
  <c r="B21" i="3"/>
  <c r="L22" i="3"/>
  <c r="K22" i="3"/>
  <c r="J22" i="3"/>
  <c r="I22" i="3"/>
  <c r="H22" i="3"/>
  <c r="H15" i="3"/>
  <c r="C14" i="3"/>
  <c r="D14" i="3"/>
  <c r="E14" i="3"/>
  <c r="F14" i="3"/>
  <c r="B14" i="3"/>
  <c r="I15" i="3"/>
  <c r="J15" i="3"/>
  <c r="K15" i="3"/>
  <c r="L15" i="3"/>
  <c r="I8" i="3"/>
  <c r="J8" i="3"/>
  <c r="K8" i="3"/>
  <c r="L8" i="3"/>
  <c r="H8" i="3"/>
  <c r="D7" i="3"/>
  <c r="C7" i="3"/>
  <c r="C29" i="3" s="1"/>
  <c r="E7" i="3"/>
  <c r="F7" i="3"/>
  <c r="B7" i="3"/>
  <c r="C15" i="10" l="1"/>
  <c r="C16" i="10" s="1"/>
  <c r="C20" i="10" s="1"/>
  <c r="C22" i="10" s="1"/>
  <c r="G13" i="5"/>
  <c r="E29" i="3"/>
  <c r="B29" i="3"/>
  <c r="F29" i="3"/>
  <c r="B22" i="3"/>
  <c r="F8" i="3"/>
  <c r="E15" i="3"/>
  <c r="E8" i="3"/>
  <c r="C8" i="3"/>
  <c r="C15" i="3"/>
  <c r="F22" i="3"/>
  <c r="D8" i="3"/>
  <c r="B15" i="3"/>
  <c r="F15" i="3"/>
  <c r="E22" i="3"/>
  <c r="C22" i="3"/>
  <c r="H7" i="3"/>
  <c r="G4" i="5" l="1"/>
  <c r="G15" i="4"/>
  <c r="G7" i="7" s="1"/>
  <c r="G4" i="4"/>
  <c r="G10" i="7" s="1"/>
  <c r="H28" i="3"/>
  <c r="G8" i="5" s="1"/>
  <c r="H21" i="3"/>
  <c r="G7" i="5" s="1"/>
  <c r="H35" i="3"/>
  <c r="J8" i="9"/>
  <c r="K8" i="9"/>
  <c r="I8" i="9"/>
  <c r="H8" i="9"/>
  <c r="G8" i="9"/>
  <c r="I7" i="3"/>
  <c r="H14" i="3"/>
  <c r="G5" i="5" l="1"/>
  <c r="G7" i="4"/>
  <c r="G9" i="7" s="1"/>
  <c r="G10" i="4"/>
  <c r="G11" i="7" s="1"/>
  <c r="G5" i="7"/>
  <c r="F5" i="8" s="1"/>
  <c r="G10" i="5"/>
  <c r="H4" i="7"/>
  <c r="G6" i="7"/>
  <c r="F7" i="8" s="1"/>
  <c r="H4" i="5"/>
  <c r="H4" i="4"/>
  <c r="H10" i="7" s="1"/>
  <c r="H15" i="4"/>
  <c r="H7" i="7" s="1"/>
  <c r="I28" i="3"/>
  <c r="H8" i="5" s="1"/>
  <c r="I35" i="3"/>
  <c r="I21" i="3"/>
  <c r="H7" i="5" s="1"/>
  <c r="G6" i="5"/>
  <c r="G9" i="5" s="1"/>
  <c r="G11" i="5" s="1"/>
  <c r="G12" i="5" s="1"/>
  <c r="G14" i="5" s="1"/>
  <c r="F4" i="8" s="1"/>
  <c r="F6" i="8" s="1"/>
  <c r="I14" i="3"/>
  <c r="J7" i="3"/>
  <c r="I4" i="5" l="1"/>
  <c r="I15" i="4"/>
  <c r="I7" i="7" s="1"/>
  <c r="I4" i="4"/>
  <c r="I10" i="7" s="1"/>
  <c r="J35" i="3"/>
  <c r="H5" i="5"/>
  <c r="H6" i="5" s="1"/>
  <c r="H9" i="5" s="1"/>
  <c r="H10" i="4"/>
  <c r="H11" i="7" s="1"/>
  <c r="H7" i="4"/>
  <c r="H9" i="7" s="1"/>
  <c r="H12" i="7" s="1"/>
  <c r="H5" i="7"/>
  <c r="G5" i="8" s="1"/>
  <c r="H10" i="5"/>
  <c r="I4" i="7"/>
  <c r="G12" i="7"/>
  <c r="G13" i="7" s="1"/>
  <c r="F8" i="8" s="1"/>
  <c r="F9" i="8" s="1"/>
  <c r="G7" i="9" s="1"/>
  <c r="G9" i="9" s="1"/>
  <c r="J21" i="3"/>
  <c r="I7" i="5" s="1"/>
  <c r="J28" i="3"/>
  <c r="I8" i="5" s="1"/>
  <c r="J14" i="3"/>
  <c r="K7" i="3"/>
  <c r="H11" i="5" l="1"/>
  <c r="H12" i="5" s="1"/>
  <c r="H14" i="5" s="1"/>
  <c r="G4" i="8" s="1"/>
  <c r="I5" i="5"/>
  <c r="I7" i="4"/>
  <c r="I9" i="7" s="1"/>
  <c r="I10" i="4"/>
  <c r="I11" i="7" s="1"/>
  <c r="H13" i="7"/>
  <c r="G8" i="8" s="1"/>
  <c r="I12" i="7"/>
  <c r="I13" i="7" s="1"/>
  <c r="H8" i="8" s="1"/>
  <c r="J4" i="7"/>
  <c r="I6" i="7"/>
  <c r="H7" i="8" s="1"/>
  <c r="G6" i="8"/>
  <c r="I5" i="7"/>
  <c r="H5" i="8" s="1"/>
  <c r="I10" i="5"/>
  <c r="H6" i="7"/>
  <c r="G7" i="8" s="1"/>
  <c r="J4" i="5"/>
  <c r="J4" i="4"/>
  <c r="J10" i="7" s="1"/>
  <c r="J15" i="4"/>
  <c r="J7" i="7" s="1"/>
  <c r="K35" i="3"/>
  <c r="I6" i="5"/>
  <c r="I9" i="5" s="1"/>
  <c r="K21" i="3"/>
  <c r="J7" i="5" s="1"/>
  <c r="K28" i="3"/>
  <c r="J8" i="5" s="1"/>
  <c r="K14" i="3"/>
  <c r="L7" i="3"/>
  <c r="K4" i="7" l="1"/>
  <c r="K4" i="5"/>
  <c r="K4" i="4"/>
  <c r="K10" i="7" s="1"/>
  <c r="K15" i="4"/>
  <c r="K7" i="7" s="1"/>
  <c r="L35" i="3"/>
  <c r="J5" i="5"/>
  <c r="J6" i="5" s="1"/>
  <c r="J9" i="5" s="1"/>
  <c r="J11" i="5" s="1"/>
  <c r="J12" i="5" s="1"/>
  <c r="J14" i="5" s="1"/>
  <c r="I4" i="8" s="1"/>
  <c r="I6" i="8" s="1"/>
  <c r="J10" i="4"/>
  <c r="J11" i="7" s="1"/>
  <c r="J7" i="4"/>
  <c r="J9" i="7" s="1"/>
  <c r="J5" i="7"/>
  <c r="I5" i="8" s="1"/>
  <c r="J10" i="5"/>
  <c r="I11" i="5"/>
  <c r="I12" i="5" s="1"/>
  <c r="I14" i="5" s="1"/>
  <c r="H4" i="8" s="1"/>
  <c r="H6" i="8" s="1"/>
  <c r="H9" i="8" s="1"/>
  <c r="I7" i="9" s="1"/>
  <c r="I9" i="9" s="1"/>
  <c r="G9" i="8"/>
  <c r="H7" i="9" s="1"/>
  <c r="H9" i="9" s="1"/>
  <c r="L21" i="3"/>
  <c r="K7" i="5" s="1"/>
  <c r="L28" i="3"/>
  <c r="K8" i="5" s="1"/>
  <c r="L14" i="3"/>
  <c r="K5" i="7" l="1"/>
  <c r="J5" i="8" s="1"/>
  <c r="K10" i="5"/>
  <c r="K6" i="7"/>
  <c r="J7" i="8" s="1"/>
  <c r="J6" i="7"/>
  <c r="I7" i="8" s="1"/>
  <c r="K5" i="5"/>
  <c r="K6" i="5" s="1"/>
  <c r="K9" i="5" s="1"/>
  <c r="K7" i="4"/>
  <c r="K9" i="7" s="1"/>
  <c r="K10" i="4"/>
  <c r="K11" i="7" s="1"/>
  <c r="J12" i="7"/>
  <c r="J13" i="7" s="1"/>
  <c r="I8" i="8" s="1"/>
  <c r="K11" i="5" l="1"/>
  <c r="K12" i="5" s="1"/>
  <c r="K14" i="5" s="1"/>
  <c r="J4" i="8" s="1"/>
  <c r="J6" i="8" s="1"/>
  <c r="K12" i="7"/>
  <c r="K13" i="7" s="1"/>
  <c r="J8" i="8" s="1"/>
  <c r="I9" i="8"/>
  <c r="J7" i="9" s="1"/>
  <c r="J9" i="9" s="1"/>
  <c r="J9" i="8" l="1"/>
  <c r="K7" i="9" s="1"/>
  <c r="B12" i="9" s="1"/>
  <c r="K9" i="9" l="1"/>
  <c r="B11" i="9" s="1"/>
  <c r="B13" i="9"/>
  <c r="B14" i="9" l="1"/>
  <c r="C13" i="9" l="1"/>
  <c r="E13" i="9"/>
  <c r="C11" i="9"/>
</calcChain>
</file>

<file path=xl/sharedStrings.xml><?xml version="1.0" encoding="utf-8"?>
<sst xmlns="http://schemas.openxmlformats.org/spreadsheetml/2006/main" count="274" uniqueCount="192">
  <si>
    <t>INCOME</t>
  </si>
  <si>
    <t>Revenue From Operations [Gross]</t>
  </si>
  <si>
    <t>Less: Excise/Sevice Tax/Other Levies</t>
  </si>
  <si>
    <t>Revenue From Operations [Net]</t>
  </si>
  <si>
    <t>Other Operating Revenues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</si>
  <si>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</si>
  <si>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</si>
  <si>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</si>
  <si>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</si>
  <si>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</si>
  <si>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</si>
  <si>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</si>
  <si>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</si>
  <si>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</si>
  <si>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</si>
  <si>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</si>
  <si>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</si>
  <si>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</si>
  <si>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</si>
  <si>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</si>
  <si>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</si>
  <si>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</si>
  <si>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</si>
  <si>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</si>
  <si>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</si>
  <si>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</si>
  <si>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</si>
  <si>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Minority Interest</t>
  </si>
  <si>
    <t>Share Of Profit/Loss Of Associates</t>
  </si>
  <si>
    <t>Consolidated Profit/Loss After MI And Associates</t>
  </si>
  <si>
    <t>OTHER ADDITIONAL INFORMATION</t>
  </si>
  <si>
    <t>EARNINGS PER SHARE</t>
  </si>
  <si>
    <t>Basic EPS (Rs.)</t>
  </si>
  <si>
    <t>Diluted EPS (Rs.)</t>
  </si>
  <si>
    <t>DIVIDEND AND DIVIDEND PERCENTAGE</t>
  </si>
  <si>
    <t>Equity Share Dividend</t>
  </si>
  <si>
    <t>Tax On Dividend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</si>
  <si>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</si>
  <si>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</si>
  <si>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</si>
  <si>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</si>
  <si>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</si>
  <si>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</si>
  <si>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Employees Stock Options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</si>
  <si>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</si>
  <si>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</si>
  <si>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</si>
  <si>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</si>
  <si>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</si>
  <si>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</si>
  <si>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</si>
  <si>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</si>
  <si>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</si>
  <si>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</si>
  <si>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</si>
  <si>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</si>
  <si>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</si>
  <si>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</si>
  <si>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</si>
  <si>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</si>
  <si>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</si>
  <si>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</si>
  <si>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</si>
  <si>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</si>
  <si>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</si>
  <si>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</si>
  <si>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</si>
  <si>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</si>
  <si>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</si>
  <si>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</si>
  <si>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</si>
  <si>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</si>
  <si>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</si>
  <si>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</si>
  <si>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</si>
  <si>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</si>
  <si>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</si>
  <si>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</si>
  <si>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LIABILITIES, COMMITMENTS</t>
  </si>
  <si>
    <t>Contingent Liabilities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</si>
  <si>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</si>
  <si>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</si>
  <si>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</si>
  <si>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</si>
  <si>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</si>
  <si>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</si>
  <si>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</si>
  <si>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</si>
  <si>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P&amp;L assumptions</t>
  </si>
  <si>
    <t>Scenarios:</t>
  </si>
  <si>
    <t>Case 1</t>
  </si>
  <si>
    <t>Optimistic</t>
  </si>
  <si>
    <t>Case 2</t>
  </si>
  <si>
    <t>Base</t>
  </si>
  <si>
    <t>Selected case</t>
  </si>
  <si>
    <t>Case 3</t>
  </si>
  <si>
    <t xml:space="preserve">Worst </t>
  </si>
  <si>
    <t>INR in Crores</t>
  </si>
  <si>
    <t>FY18
Actual</t>
  </si>
  <si>
    <t>FY23
Forecast</t>
  </si>
  <si>
    <t>Revenue</t>
  </si>
  <si>
    <t>Revenue growth %</t>
  </si>
  <si>
    <t>Cost of materials consumed</t>
  </si>
  <si>
    <t>% of revenue</t>
  </si>
  <si>
    <t>Tax %</t>
  </si>
  <si>
    <t>FY22
Actual</t>
  </si>
  <si>
    <t>FY21
Actual</t>
  </si>
  <si>
    <t>FY20
Actual</t>
  </si>
  <si>
    <t>FY19
Actual</t>
  </si>
  <si>
    <t>FY24
Forecast</t>
  </si>
  <si>
    <t>FY25
Forecast</t>
  </si>
  <si>
    <t>FY26
Forecast</t>
  </si>
  <si>
    <t>FY27
Forecast</t>
  </si>
  <si>
    <t>Employees Benefit Expense</t>
  </si>
  <si>
    <t>Depreciation and Amortisation</t>
  </si>
  <si>
    <t>BS assumptions</t>
  </si>
  <si>
    <t>Accounts Receivable</t>
  </si>
  <si>
    <t>DSO</t>
  </si>
  <si>
    <t>Inventory</t>
  </si>
  <si>
    <t>DIO</t>
  </si>
  <si>
    <t>Accounts Payable</t>
  </si>
  <si>
    <t>DPO</t>
  </si>
  <si>
    <t>Cash Conversion Cycle (CCC)</t>
  </si>
  <si>
    <t>% sales</t>
  </si>
  <si>
    <t>Net PP&amp;E</t>
  </si>
  <si>
    <t>P&amp;L</t>
  </si>
  <si>
    <t>Rs in Crores</t>
  </si>
  <si>
    <t>Revenues</t>
  </si>
  <si>
    <t>Cost of goods sold</t>
  </si>
  <si>
    <t>Gross Margin</t>
  </si>
  <si>
    <t>EBITDA</t>
  </si>
  <si>
    <t>D&amp;A</t>
  </si>
  <si>
    <t>EBIT</t>
  </si>
  <si>
    <t>Taxes</t>
  </si>
  <si>
    <t>Tax rate</t>
  </si>
  <si>
    <t>Net Operating Profit After Taxes (NOPAT)</t>
  </si>
  <si>
    <t>Balance Sheet</t>
  </si>
  <si>
    <t>Property, plant and equipment</t>
  </si>
  <si>
    <t>Depreciation</t>
  </si>
  <si>
    <t>Capex</t>
  </si>
  <si>
    <t>Trade receivable</t>
  </si>
  <si>
    <t>Trade payable</t>
  </si>
  <si>
    <t>Working Capital</t>
  </si>
  <si>
    <r>
      <t>Ending Value</t>
    </r>
    <r>
      <rPr>
        <sz val="14"/>
        <color rgb="FF002060"/>
        <rFont val="Calibri"/>
        <family val="2"/>
      </rPr>
      <t>(PP&amp;E)</t>
    </r>
  </si>
  <si>
    <t>Changes in Working Capital</t>
  </si>
  <si>
    <t>Cash Flow</t>
  </si>
  <si>
    <t>NOPAT</t>
  </si>
  <si>
    <t>Add: Deprecitaion &amp; Amortization</t>
  </si>
  <si>
    <t>Gross Cash Flow</t>
  </si>
  <si>
    <t>Less: Capex</t>
  </si>
  <si>
    <t>Net Cash Flow</t>
  </si>
  <si>
    <t>Less: Changes in working capital</t>
  </si>
  <si>
    <t>DCF Valuation</t>
  </si>
  <si>
    <t>WACC</t>
  </si>
  <si>
    <t>Discount factor</t>
  </si>
  <si>
    <t>Present value</t>
  </si>
  <si>
    <t>DCF value</t>
  </si>
  <si>
    <t>Continuing Value</t>
  </si>
  <si>
    <t>PV of Continuing value</t>
  </si>
  <si>
    <t>Enterprise value</t>
  </si>
  <si>
    <t>Less:Debt</t>
  </si>
  <si>
    <t>Add:</t>
  </si>
  <si>
    <t>Equity Value</t>
  </si>
  <si>
    <t>Shares outstanding</t>
  </si>
  <si>
    <t>Intrinsic Value</t>
  </si>
  <si>
    <t xml:space="preserve">Cost of Capital  </t>
  </si>
  <si>
    <t>Key Inputs:</t>
  </si>
  <si>
    <t>Total Equity to Capital</t>
  </si>
  <si>
    <t>Net Debt to Capital</t>
  </si>
  <si>
    <t>Calculations:</t>
  </si>
  <si>
    <t>Risk Free Rate</t>
  </si>
  <si>
    <t>Equity Beta</t>
  </si>
  <si>
    <t>Market Risk Premium</t>
  </si>
  <si>
    <t>Cost of Equity</t>
  </si>
  <si>
    <t>Pre-tax cost of debt</t>
  </si>
  <si>
    <t>Marginal Tax Rate</t>
  </si>
  <si>
    <t>Cost of Debt</t>
  </si>
  <si>
    <t>Weighted Cost of Equity</t>
  </si>
  <si>
    <t>Weighted Cost of Debt</t>
  </si>
  <si>
    <t>Weighted Average Cost of Capital</t>
  </si>
  <si>
    <t>Share price</t>
  </si>
  <si>
    <t>Market Cap</t>
  </si>
  <si>
    <t>Debt</t>
  </si>
  <si>
    <t>Date</t>
  </si>
  <si>
    <t>Dabur Share price</t>
  </si>
  <si>
    <t>NSE500</t>
  </si>
  <si>
    <t>Dabur monthly Share price %</t>
  </si>
  <si>
    <t>Pre-Tax Cost of Debt = Annual Interest Expense ÷ Total Debt</t>
  </si>
  <si>
    <t>Terminal Growth</t>
  </si>
  <si>
    <t>1.Input --&gt;</t>
  </si>
  <si>
    <t>2.Output --&gt;</t>
  </si>
  <si>
    <t>3.Sources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</si>
</sst>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 * #,##0.00_ ;_ * \-#,##0.00_ ;_ * &quot;-&quot;??_ ;_ @_ "/>
    <numFmt numFmtId="164" formatCode="_(* #,##0.0_);_(* \(#,##0.0\);_(* &quot;-&quot;?_);@_)"/>
    <numFmt numFmtId="165" formatCode="_(* #,##0_);_(* \(#,##0\);_(* &quot;-&quot;?_);@_)"/>
    <numFmt numFmtId="166" formatCode="0.0%"/>
    <numFmt numFmtId="167" formatCode="_(* #,##0_);_(* \(#,##0\);_(* &quot;-&quot;??_);_(@_)"/>
    <numFmt numFmtId="168" formatCode="_ * #,##0_ ;_ * \-#,##0_ ;_ * &quot;-&quot;??_ ;_ @_ "/>
    <numFmt numFmtId="169" formatCode="_(* #,##0.0_);_(* \(#,##0.0\);_(* &quot;-&quot;??_);_(@_)"/>
    <numFmt numFmtId="170" formatCode="_(* #,##0.0_);_(* \(#,##0.0\);_(* &quot;-&quot;?_);@_l"/>
    <numFmt numFmtId="171" formatCode="_(* #,##0_);_(* \(#,##0\);_(* &quot;-&quot;?_);@_l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b/>
      <sz val="14"/>
      <color rgb="FF002060"/>
      <name val="Calibri"/>
      <family val="2"/>
    </font>
    <font>
      <sz val="14"/>
      <color theme="1"/>
      <name val="Calibri"/>
      <family val="2"/>
    </font>
    <font>
      <b/>
      <sz val="14"/>
      <color theme="0"/>
      <name val="Calibri"/>
      <family val="2"/>
    </font>
    <font>
      <i/>
      <sz val="14"/>
      <color theme="1"/>
      <name val="Calibri"/>
      <family val="2"/>
    </font>
    <font>
      <sz val="14"/>
      <color theme="8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002060"/>
      <name val="Calibri"/>
      <family val="2"/>
    </font>
    <font>
      <sz val="14"/>
      <color theme="0"/>
      <name val="Calibri"/>
      <family val="2"/>
    </font>
    <font>
      <b/>
      <sz val="14"/>
      <color indexed="9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40"/>
      <color rgb="FF002060"/>
      <name val="Calibri"/>
      <family val="2"/>
    </font>
    <font>
      <b/>
      <sz val="40"/>
      <color rgb="FF00206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BE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mediumGray">
        <bgColor theme="0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/>
      <top/>
      <bottom/>
      <diagonal/>
    </border>
    <border>
      <left/>
      <right style="medium">
        <color indexed="55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55"/>
      </left>
      <right/>
      <top style="thin">
        <color auto="1"/>
      </top>
      <bottom/>
      <diagonal/>
    </border>
    <border>
      <left/>
      <right style="medium">
        <color indexed="55"/>
      </right>
      <top style="thin">
        <color auto="1"/>
      </top>
      <bottom/>
      <diagonal/>
    </border>
    <border>
      <left style="medium">
        <color indexed="55"/>
      </left>
      <right/>
      <top style="thin">
        <color auto="1"/>
      </top>
      <bottom style="double">
        <color auto="1"/>
      </bottom>
      <diagonal/>
    </border>
    <border>
      <left/>
      <right style="medium">
        <color indexed="55"/>
      </right>
      <top style="thin">
        <color auto="1"/>
      </top>
      <bottom style="double">
        <color auto="1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106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4" fontId="2" fillId="3" borderId="1" xfId="0" applyNumberFormat="1" applyFont="1" applyFill="1" applyBorder="1" applyAlignment="1">
      <alignment horizontal="right" vertical="center" wrapText="1"/>
    </xf>
    <xf numFmtId="4" fontId="3" fillId="2" borderId="1" xfId="0" applyNumberFormat="1" applyFont="1" applyFill="1" applyBorder="1" applyAlignment="1">
      <alignment horizontal="right" vertical="center" wrapText="1"/>
    </xf>
    <xf numFmtId="17" fontId="2" fillId="2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vertical="center" wrapText="1"/>
    </xf>
    <xf numFmtId="164" fontId="4" fillId="4" borderId="0" xfId="3" applyNumberFormat="1" applyFont="1" applyFill="1"/>
    <xf numFmtId="164" fontId="5" fillId="4" borderId="0" xfId="3" applyNumberFormat="1" applyFont="1" applyFill="1"/>
    <xf numFmtId="165" fontId="6" fillId="5" borderId="0" xfId="3" applyNumberFormat="1" applyFont="1" applyFill="1"/>
    <xf numFmtId="164" fontId="4" fillId="4" borderId="4" xfId="3" applyNumberFormat="1" applyFont="1" applyFill="1" applyBorder="1"/>
    <xf numFmtId="164" fontId="4" fillId="4" borderId="4" xfId="3" applyNumberFormat="1" applyFont="1" applyFill="1" applyBorder="1" applyAlignment="1">
      <alignment horizontal="right" wrapText="1"/>
    </xf>
    <xf numFmtId="164" fontId="4" fillId="6" borderId="4" xfId="3" applyNumberFormat="1" applyFont="1" applyFill="1" applyBorder="1" applyAlignment="1">
      <alignment horizontal="right" wrapText="1"/>
    </xf>
    <xf numFmtId="165" fontId="5" fillId="4" borderId="0" xfId="3" applyNumberFormat="1" applyFont="1" applyFill="1"/>
    <xf numFmtId="165" fontId="5" fillId="6" borderId="0" xfId="3" applyNumberFormat="1" applyFont="1" applyFill="1"/>
    <xf numFmtId="164" fontId="7" fillId="4" borderId="0" xfId="3" applyNumberFormat="1" applyFont="1" applyFill="1"/>
    <xf numFmtId="166" fontId="5" fillId="4" borderId="0" xfId="4" applyNumberFormat="1" applyFont="1" applyFill="1"/>
    <xf numFmtId="9" fontId="5" fillId="6" borderId="0" xfId="4" applyFont="1" applyFill="1"/>
    <xf numFmtId="164" fontId="5" fillId="7" borderId="0" xfId="3" applyNumberFormat="1" applyFont="1" applyFill="1"/>
    <xf numFmtId="164" fontId="8" fillId="4" borderId="0" xfId="3" applyNumberFormat="1" applyFont="1" applyFill="1"/>
    <xf numFmtId="9" fontId="5" fillId="6" borderId="0" xfId="2" applyFont="1" applyFill="1"/>
    <xf numFmtId="167" fontId="5" fillId="6" borderId="0" xfId="1" applyNumberFormat="1" applyFont="1" applyFill="1"/>
    <xf numFmtId="9" fontId="5" fillId="4" borderId="0" xfId="2" applyFont="1" applyFill="1"/>
    <xf numFmtId="168" fontId="5" fillId="6" borderId="0" xfId="1" applyNumberFormat="1" applyFont="1" applyFill="1"/>
    <xf numFmtId="9" fontId="5" fillId="4" borderId="0" xfId="4" applyFont="1" applyFill="1"/>
    <xf numFmtId="0" fontId="0" fillId="4" borderId="0" xfId="0" applyFill="1"/>
    <xf numFmtId="10" fontId="5" fillId="4" borderId="0" xfId="2" applyNumberFormat="1" applyFont="1" applyFill="1"/>
    <xf numFmtId="164" fontId="7" fillId="6" borderId="0" xfId="3" applyNumberFormat="1" applyFont="1" applyFill="1"/>
    <xf numFmtId="164" fontId="5" fillId="6" borderId="0" xfId="3" applyNumberFormat="1" applyFont="1" applyFill="1"/>
    <xf numFmtId="166" fontId="7" fillId="4" borderId="0" xfId="4" applyNumberFormat="1" applyFont="1" applyFill="1"/>
    <xf numFmtId="166" fontId="7" fillId="6" borderId="0" xfId="4" applyNumberFormat="1" applyFont="1" applyFill="1"/>
    <xf numFmtId="169" fontId="5" fillId="6" borderId="0" xfId="1" applyNumberFormat="1" applyFont="1" applyFill="1"/>
    <xf numFmtId="9" fontId="7" fillId="4" borderId="0" xfId="2" applyFont="1" applyFill="1"/>
    <xf numFmtId="164" fontId="4" fillId="6" borderId="4" xfId="3" applyNumberFormat="1" applyFont="1" applyFill="1" applyBorder="1" applyAlignment="1">
      <alignment horizontal="center" wrapText="1"/>
    </xf>
    <xf numFmtId="165" fontId="7" fillId="4" borderId="0" xfId="3" applyNumberFormat="1" applyFont="1" applyFill="1"/>
    <xf numFmtId="4" fontId="9" fillId="0" borderId="0" xfId="0" applyNumberFormat="1" applyFont="1"/>
    <xf numFmtId="164" fontId="4" fillId="4" borderId="5" xfId="3" applyNumberFormat="1" applyFont="1" applyFill="1" applyBorder="1"/>
    <xf numFmtId="165" fontId="4" fillId="4" borderId="5" xfId="3" applyNumberFormat="1" applyFont="1" applyFill="1" applyBorder="1"/>
    <xf numFmtId="165" fontId="10" fillId="6" borderId="5" xfId="3" applyNumberFormat="1" applyFont="1" applyFill="1" applyBorder="1"/>
    <xf numFmtId="167" fontId="5" fillId="4" borderId="0" xfId="1" applyNumberFormat="1" applyFont="1" applyFill="1"/>
    <xf numFmtId="164" fontId="6" fillId="8" borderId="0" xfId="3" applyNumberFormat="1" applyFont="1" applyFill="1"/>
    <xf numFmtId="165" fontId="6" fillId="8" borderId="0" xfId="3" applyNumberFormat="1" applyFont="1" applyFill="1"/>
    <xf numFmtId="164" fontId="4" fillId="4" borderId="6" xfId="3" applyNumberFormat="1" applyFont="1" applyFill="1" applyBorder="1"/>
    <xf numFmtId="165" fontId="4" fillId="4" borderId="6" xfId="3" applyNumberFormat="1" applyFont="1" applyFill="1" applyBorder="1"/>
    <xf numFmtId="165" fontId="4" fillId="6" borderId="6" xfId="3" applyNumberFormat="1" applyFont="1" applyFill="1" applyBorder="1"/>
    <xf numFmtId="165" fontId="4" fillId="4" borderId="0" xfId="3" applyNumberFormat="1" applyFont="1" applyFill="1"/>
    <xf numFmtId="165" fontId="5" fillId="4" borderId="7" xfId="3" applyNumberFormat="1" applyFont="1" applyFill="1" applyBorder="1"/>
    <xf numFmtId="170" fontId="4" fillId="4" borderId="0" xfId="3" applyNumberFormat="1" applyFont="1" applyFill="1"/>
    <xf numFmtId="170" fontId="5" fillId="4" borderId="0" xfId="3" applyNumberFormat="1" applyFont="1" applyFill="1"/>
    <xf numFmtId="164" fontId="4" fillId="4" borderId="8" xfId="3" applyNumberFormat="1" applyFont="1" applyFill="1" applyBorder="1"/>
    <xf numFmtId="165" fontId="4" fillId="4" borderId="8" xfId="3" applyNumberFormat="1" applyFont="1" applyFill="1" applyBorder="1"/>
    <xf numFmtId="171" fontId="5" fillId="4" borderId="0" xfId="3" applyNumberFormat="1" applyFont="1" applyFill="1"/>
    <xf numFmtId="166" fontId="12" fillId="9" borderId="9" xfId="2" applyNumberFormat="1" applyFont="1" applyFill="1" applyBorder="1"/>
    <xf numFmtId="166" fontId="12" fillId="9" borderId="10" xfId="2" applyNumberFormat="1" applyFont="1" applyFill="1" applyBorder="1"/>
    <xf numFmtId="43" fontId="5" fillId="4" borderId="0" xfId="1" applyFont="1" applyFill="1"/>
    <xf numFmtId="164" fontId="10" fillId="4" borderId="8" xfId="3" applyNumberFormat="1" applyFont="1" applyFill="1" applyBorder="1"/>
    <xf numFmtId="164" fontId="10" fillId="4" borderId="0" xfId="3" applyNumberFormat="1" applyFont="1" applyFill="1"/>
    <xf numFmtId="166" fontId="5" fillId="4" borderId="0" xfId="2" applyNumberFormat="1" applyFont="1" applyFill="1"/>
    <xf numFmtId="0" fontId="14" fillId="0" borderId="13" xfId="3" applyFont="1" applyBorder="1" applyAlignment="1">
      <alignment horizontal="centerContinuous"/>
    </xf>
    <xf numFmtId="0" fontId="14" fillId="0" borderId="14" xfId="3" applyFont="1" applyBorder="1" applyAlignment="1">
      <alignment horizontal="centerContinuous"/>
    </xf>
    <xf numFmtId="0" fontId="14" fillId="0" borderId="13" xfId="3" applyFont="1" applyBorder="1" applyAlignment="1">
      <alignment horizontal="left" indent="1"/>
    </xf>
    <xf numFmtId="0" fontId="9" fillId="0" borderId="14" xfId="3" applyFont="1" applyBorder="1" applyAlignment="1">
      <alignment horizontal="right" indent="1"/>
    </xf>
    <xf numFmtId="0" fontId="15" fillId="0" borderId="15" xfId="3" applyFont="1" applyBorder="1" applyAlignment="1">
      <alignment horizontal="left" indent="1"/>
    </xf>
    <xf numFmtId="166" fontId="15" fillId="0" borderId="16" xfId="5" applyNumberFormat="1" applyFont="1" applyBorder="1" applyAlignment="1">
      <alignment horizontal="right" indent="1"/>
    </xf>
    <xf numFmtId="0" fontId="15" fillId="0" borderId="17" xfId="3" applyFont="1" applyBorder="1" applyAlignment="1">
      <alignment horizontal="left" indent="1"/>
    </xf>
    <xf numFmtId="166" fontId="15" fillId="0" borderId="18" xfId="3" applyNumberFormat="1" applyFont="1" applyBorder="1" applyAlignment="1">
      <alignment horizontal="right" indent="1"/>
    </xf>
    <xf numFmtId="0" fontId="15" fillId="0" borderId="17" xfId="3" applyFont="1" applyBorder="1"/>
    <xf numFmtId="0" fontId="15" fillId="0" borderId="18" xfId="3" applyFont="1" applyBorder="1"/>
    <xf numFmtId="0" fontId="14" fillId="0" borderId="19" xfId="3" applyFont="1" applyBorder="1" applyAlignment="1">
      <alignment horizontal="left" indent="1"/>
    </xf>
    <xf numFmtId="0" fontId="15" fillId="0" borderId="20" xfId="3" applyFont="1" applyBorder="1" applyAlignment="1">
      <alignment horizontal="right" indent="1"/>
    </xf>
    <xf numFmtId="0" fontId="15" fillId="0" borderId="13" xfId="3" applyFont="1" applyBorder="1" applyAlignment="1">
      <alignment horizontal="left" indent="1"/>
    </xf>
    <xf numFmtId="166" fontId="15" fillId="0" borderId="14" xfId="3" applyNumberFormat="1" applyFont="1" applyBorder="1" applyAlignment="1">
      <alignment horizontal="right" indent="1"/>
    </xf>
    <xf numFmtId="2" fontId="15" fillId="0" borderId="14" xfId="5" applyNumberFormat="1" applyFont="1" applyBorder="1" applyAlignment="1">
      <alignment horizontal="right" indent="1"/>
    </xf>
    <xf numFmtId="0" fontId="14" fillId="0" borderId="21" xfId="3" applyFont="1" applyBorder="1" applyAlignment="1">
      <alignment horizontal="left" indent="1"/>
    </xf>
    <xf numFmtId="166" fontId="14" fillId="0" borderId="22" xfId="3" applyNumberFormat="1" applyFont="1" applyBorder="1" applyAlignment="1">
      <alignment horizontal="right" indent="1"/>
    </xf>
    <xf numFmtId="0" fontId="15" fillId="0" borderId="14" xfId="3" applyFont="1" applyBorder="1" applyAlignment="1">
      <alignment horizontal="right" indent="1"/>
    </xf>
    <xf numFmtId="166" fontId="15" fillId="0" borderId="14" xfId="5" applyNumberFormat="1" applyFont="1" applyBorder="1" applyAlignment="1">
      <alignment horizontal="right" indent="1"/>
    </xf>
    <xf numFmtId="0" fontId="15" fillId="0" borderId="13" xfId="3" applyFont="1" applyBorder="1"/>
    <xf numFmtId="0" fontId="15" fillId="0" borderId="14" xfId="3" applyFont="1" applyBorder="1"/>
    <xf numFmtId="0" fontId="14" fillId="0" borderId="23" xfId="3" applyFont="1" applyBorder="1" applyAlignment="1">
      <alignment horizontal="left" indent="1"/>
    </xf>
    <xf numFmtId="166" fontId="14" fillId="0" borderId="24" xfId="3" applyNumberFormat="1" applyFont="1" applyBorder="1" applyAlignment="1">
      <alignment horizontal="right" indent="1"/>
    </xf>
    <xf numFmtId="0" fontId="9" fillId="0" borderId="25" xfId="3" applyFont="1" applyBorder="1" applyAlignment="1">
      <alignment horizontal="left" indent="1"/>
    </xf>
    <xf numFmtId="0" fontId="9" fillId="0" borderId="26" xfId="3" applyFont="1" applyBorder="1" applyAlignment="1">
      <alignment horizontal="right" indent="1"/>
    </xf>
    <xf numFmtId="0" fontId="9" fillId="0" borderId="0" xfId="0" applyFont="1"/>
    <xf numFmtId="3" fontId="9" fillId="0" borderId="0" xfId="0" applyNumberFormat="1" applyFont="1"/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14" fontId="0" fillId="0" borderId="0" xfId="0" applyNumberFormat="1"/>
    <xf numFmtId="9" fontId="0" fillId="0" borderId="0" xfId="2" applyFont="1"/>
    <xf numFmtId="3" fontId="0" fillId="0" borderId="0" xfId="0" applyNumberFormat="1"/>
    <xf numFmtId="2" fontId="9" fillId="0" borderId="0" xfId="0" applyNumberFormat="1" applyFont="1"/>
    <xf numFmtId="166" fontId="0" fillId="0" borderId="0" xfId="0" applyNumberFormat="1"/>
    <xf numFmtId="9" fontId="0" fillId="0" borderId="0" xfId="0" applyNumberFormat="1"/>
    <xf numFmtId="164" fontId="10" fillId="4" borderId="27" xfId="3" applyNumberFormat="1" applyFont="1" applyFill="1" applyBorder="1"/>
    <xf numFmtId="4" fontId="0" fillId="0" borderId="0" xfId="0" applyNumberFormat="1"/>
    <xf numFmtId="168" fontId="10" fillId="4" borderId="0" xfId="3" applyNumberFormat="1" applyFont="1" applyFill="1"/>
    <xf numFmtId="0" fontId="17" fillId="4" borderId="0" xfId="3" applyFont="1" applyFill="1"/>
    <xf numFmtId="0" fontId="18" fillId="4" borderId="0" xfId="3" applyFont="1" applyFill="1"/>
    <xf numFmtId="0" fontId="13" fillId="10" borderId="11" xfId="3" applyFont="1" applyFill="1" applyBorder="1" applyAlignment="1">
      <alignment horizontal="center"/>
    </xf>
    <xf numFmtId="0" fontId="13" fillId="10" borderId="12" xfId="3" applyFont="1" applyFill="1" applyBorder="1" applyAlignment="1">
      <alignment horizontal="center"/>
    </xf>
  </cellXfs>
  <cellStyles count="6">
    <cellStyle name="Comma" xfId="1" builtinId="3"/>
    <cellStyle name="Normal" xfId="0" builtinId="0"/>
    <cellStyle name="Normal 2" xfId="3" xr:uid="{79BDDADD-5C61-4F1F-9F38-95DE4E4D4ED9}"/>
    <cellStyle name="Per cent 2" xfId="4" xr:uid="{0F996101-F09B-4DA3-B94B-FCCA11A34514}"/>
    <cellStyle name="Percent" xfId="2" builtinId="5"/>
    <cellStyle name="Percent 2" xfId="5" xr:uid="{2D23F10A-1379-458E-80B3-2792E422033C}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microsoft.com/office/2017/10/relationships/person" Target="persons/pers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10/relationships/person" Target="persons/pers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927100</xdr:colOff>
      <xdr:row>10</xdr:row>
      <xdr:rowOff>215900</xdr:rowOff>
    </xdr:from>
    <xdr:to>
      <xdr:col>9</xdr:col>
      <xdr:colOff>825500</xdr:colOff>
      <xdr:row>11</xdr:row>
      <xdr:rowOff>228600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F33535A-DC45-4F39-807E-2D0771B13323}"/>
            </a:ext>
          </a:extLst>
        </xdr:cNvPr>
        <xdr:cNvSpPr/>
      </xdr:nvSpPr>
      <xdr:spPr>
        <a:xfrm>
          <a:off x="7190740" y="2753360"/>
          <a:ext cx="4622800" cy="24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Growth</a:t>
          </a:r>
        </a:p>
      </xdr:txBody>
    </xdr:sp>
    <xdr:clientData/>
  </xdr:twoCellAnchor>
  <xdr:twoCellAnchor>
    <xdr:from>
      <xdr:col>4</xdr:col>
      <xdr:colOff>95250</xdr:colOff>
      <xdr:row>13</xdr:row>
      <xdr:rowOff>82550</xdr:rowOff>
    </xdr:from>
    <xdr:to>
      <xdr:col>4</xdr:col>
      <xdr:colOff>355600</xdr:colOff>
      <xdr:row>18</xdr:row>
      <xdr:rowOff>12700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C55CBBC-2C60-4EFA-AFB9-B0EF2B08D067}"/>
            </a:ext>
          </a:extLst>
        </xdr:cNvPr>
        <xdr:cNvSpPr/>
      </xdr:nvSpPr>
      <xdr:spPr>
        <a:xfrm rot="16200000">
          <a:off x="5952490" y="3712210"/>
          <a:ext cx="1073150" cy="260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WACC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DEC2-9C8D-4936-B155-28E7794680A0}">
  <dimension ref="B7"/>
  <sheetViews>
    <sheetView workbookViewId="0">
      <selection activeCell="N11" sqref="N11"/>
    </sheetView>
  </sheetViews>
  <sheetFormatPr defaultRowHeight="14.4" x14ac:dyDescent="0.3"/>
  <sheetData>
    <row r="7" spans="2:2" ht="51.6" x14ac:dyDescent="0.95">
      <c r="B7" s="102" t="s">
        <v>189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985E-39D6-4C11-AD26-5EA0E8AE0B7F}">
  <dimension ref="A1:N46"/>
  <sheetViews>
    <sheetView zoomScaleNormal="100" workbookViewId="0">
      <selection activeCell="B49" sqref="B49"/>
    </sheetView>
  </sheetViews>
  <sheetFormatPr defaultRowHeight="14.4" x14ac:dyDescent="0.3"/>
  <cols>
    <col min="1" max="1" width="30.88671875" bestFit="1" customWidth="1"/>
    <col min="2" max="2" width="44.109375" customWidth="1"/>
    <col min="3" max="4" width="12.6640625" bestFit="1" customWidth="1"/>
    <col min="5" max="5" width="12.6640625" customWidth="1"/>
    <col min="6" max="6" width="12.6640625" bestFit="1" customWidth="1"/>
    <col min="8" max="12" width="14.21875" bestFit="1" customWidth="1"/>
  </cols>
  <sheetData>
    <row r="1" spans="1:14" ht="18" x14ac:dyDescent="0.35">
      <c r="A1" s="13" t="s">
        <v>88</v>
      </c>
      <c r="B1" s="14"/>
      <c r="C1" s="14"/>
      <c r="D1" s="14"/>
      <c r="E1" s="14"/>
      <c r="F1" s="14" t="s">
        <v>89</v>
      </c>
      <c r="G1" s="14"/>
      <c r="H1" s="14"/>
      <c r="I1" s="14"/>
      <c r="J1" s="14"/>
      <c r="K1" s="14"/>
      <c r="L1" s="14"/>
      <c r="M1" s="14"/>
      <c r="N1" s="14"/>
    </row>
    <row r="2" spans="1:14" ht="18" x14ac:dyDescent="0.35">
      <c r="A2" s="13"/>
      <c r="B2" s="14"/>
      <c r="C2" s="14"/>
      <c r="D2" s="14"/>
      <c r="E2" s="14"/>
      <c r="F2" s="14" t="s">
        <v>90</v>
      </c>
      <c r="G2" s="14"/>
      <c r="H2" s="14" t="s">
        <v>91</v>
      </c>
      <c r="I2" s="14"/>
      <c r="J2" s="14"/>
      <c r="K2" s="14"/>
      <c r="L2" s="14"/>
      <c r="M2" s="14"/>
      <c r="N2" s="14"/>
    </row>
    <row r="3" spans="1:14" ht="18" x14ac:dyDescent="0.35">
      <c r="A3" s="14"/>
      <c r="B3" s="14"/>
      <c r="C3" s="14"/>
      <c r="D3" s="14"/>
      <c r="E3" s="14"/>
      <c r="F3" s="14" t="s">
        <v>92</v>
      </c>
      <c r="G3" s="14"/>
      <c r="H3" s="14" t="s">
        <v>93</v>
      </c>
      <c r="I3" s="14"/>
      <c r="J3" s="14"/>
      <c r="K3" s="14"/>
      <c r="L3" s="14"/>
      <c r="M3" s="14"/>
      <c r="N3" s="14"/>
    </row>
    <row r="4" spans="1:14" ht="18" x14ac:dyDescent="0.35">
      <c r="A4" s="13" t="s">
        <v>94</v>
      </c>
      <c r="B4" s="15">
        <v>1</v>
      </c>
      <c r="C4" s="14"/>
      <c r="D4" s="14"/>
      <c r="E4" s="14"/>
      <c r="F4" s="14" t="s">
        <v>95</v>
      </c>
      <c r="G4" s="14"/>
      <c r="H4" s="14" t="s">
        <v>96</v>
      </c>
      <c r="I4" s="14"/>
      <c r="J4" s="14"/>
      <c r="K4" s="14"/>
      <c r="L4" s="14"/>
      <c r="M4" s="14"/>
      <c r="N4" s="14"/>
    </row>
    <row r="5" spans="1:14" ht="18" x14ac:dyDescent="0.3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ht="54.6" thickBot="1" x14ac:dyDescent="0.4">
      <c r="A6" s="16" t="s">
        <v>97</v>
      </c>
      <c r="B6" s="17" t="s">
        <v>98</v>
      </c>
      <c r="C6" s="17" t="s">
        <v>108</v>
      </c>
      <c r="D6" s="17" t="s">
        <v>107</v>
      </c>
      <c r="E6" s="17" t="s">
        <v>106</v>
      </c>
      <c r="F6" s="17" t="s">
        <v>105</v>
      </c>
      <c r="G6" s="17"/>
      <c r="H6" s="18" t="s">
        <v>99</v>
      </c>
      <c r="I6" s="18" t="s">
        <v>109</v>
      </c>
      <c r="J6" s="18" t="s">
        <v>110</v>
      </c>
      <c r="K6" s="18" t="s">
        <v>111</v>
      </c>
      <c r="L6" s="18" t="s">
        <v>112</v>
      </c>
      <c r="M6" s="14"/>
      <c r="N6" s="14"/>
    </row>
    <row r="7" spans="1:14" ht="18" x14ac:dyDescent="0.35">
      <c r="A7" s="14" t="s">
        <v>100</v>
      </c>
      <c r="B7" s="19">
        <f>'P&amp;L SOURCE'!B5</f>
        <v>7653.82</v>
      </c>
      <c r="C7" s="19">
        <f>'P&amp;L SOURCE'!C5</f>
        <v>8419.24</v>
      </c>
      <c r="D7" s="19">
        <f>'P&amp;L SOURCE'!D5</f>
        <v>8603.92</v>
      </c>
      <c r="E7" s="19">
        <f>'P&amp;L SOURCE'!E5</f>
        <v>9492.76</v>
      </c>
      <c r="F7" s="19">
        <f>'P&amp;L SOURCE'!F5</f>
        <v>10808.03</v>
      </c>
      <c r="G7" s="19"/>
      <c r="H7" s="29">
        <f>F7*(1+H8)</f>
        <v>12321.154200000003</v>
      </c>
      <c r="I7" s="29">
        <f>H7*(1+I8)</f>
        <v>14046.115788000005</v>
      </c>
      <c r="J7" s="29">
        <f t="shared" ref="J7:L7" si="0">I7*(1+J8)</f>
        <v>16012.571998320007</v>
      </c>
      <c r="K7" s="29">
        <f t="shared" si="0"/>
        <v>18254.332078084812</v>
      </c>
      <c r="L7" s="29">
        <f t="shared" si="0"/>
        <v>20809.938569016689</v>
      </c>
      <c r="M7" s="14"/>
      <c r="N7" s="14"/>
    </row>
    <row r="8" spans="1:14" ht="18" x14ac:dyDescent="0.35">
      <c r="A8" s="21" t="s">
        <v>101</v>
      </c>
      <c r="B8" s="22"/>
      <c r="C8" s="22">
        <f>C7/B7-1</f>
        <v>0.1000049648410859</v>
      </c>
      <c r="D8" s="22">
        <f>D7/C7-1</f>
        <v>2.1935471610264212E-2</v>
      </c>
      <c r="E8" s="22">
        <f>E7/D7-1</f>
        <v>0.10330639987354595</v>
      </c>
      <c r="F8" s="22">
        <f>F7/E7-1</f>
        <v>0.13855506723018385</v>
      </c>
      <c r="G8" s="22"/>
      <c r="H8" s="23">
        <f>CHOOSE($B$4,H10,H11,H12)</f>
        <v>0.14000000000000001</v>
      </c>
      <c r="I8" s="23">
        <f t="shared" ref="I8:L8" si="1">CHOOSE($B$4,I10,I11,I12)</f>
        <v>0.14000000000000001</v>
      </c>
      <c r="J8" s="23">
        <f t="shared" si="1"/>
        <v>0.14000000000000001</v>
      </c>
      <c r="K8" s="23">
        <f t="shared" si="1"/>
        <v>0.14000000000000001</v>
      </c>
      <c r="L8" s="23">
        <f t="shared" si="1"/>
        <v>0.14000000000000001</v>
      </c>
      <c r="M8" s="14"/>
      <c r="N8" s="14"/>
    </row>
    <row r="9" spans="1:14" ht="18" x14ac:dyDescent="0.35">
      <c r="A9" s="14"/>
      <c r="B9" s="14"/>
      <c r="C9" s="14"/>
      <c r="D9" s="14"/>
      <c r="E9" s="14"/>
      <c r="F9" s="14"/>
      <c r="G9" s="14"/>
      <c r="H9" s="23"/>
      <c r="I9" s="23"/>
      <c r="J9" s="23"/>
      <c r="K9" s="23"/>
      <c r="L9" s="23"/>
      <c r="M9" s="14"/>
      <c r="N9" s="14"/>
    </row>
    <row r="10" spans="1:14" ht="18" x14ac:dyDescent="0.35">
      <c r="A10" s="14" t="s">
        <v>90</v>
      </c>
      <c r="B10" s="24"/>
      <c r="C10" s="24"/>
      <c r="D10" s="24"/>
      <c r="E10" s="24"/>
      <c r="F10" s="24"/>
      <c r="G10" s="25"/>
      <c r="H10" s="23">
        <v>0.14000000000000001</v>
      </c>
      <c r="I10" s="23">
        <v>0.14000000000000001</v>
      </c>
      <c r="J10" s="23">
        <v>0.14000000000000001</v>
      </c>
      <c r="K10" s="23">
        <v>0.14000000000000001</v>
      </c>
      <c r="L10" s="23">
        <v>0.14000000000000001</v>
      </c>
      <c r="M10" s="14"/>
      <c r="N10" s="14"/>
    </row>
    <row r="11" spans="1:14" ht="18" x14ac:dyDescent="0.35">
      <c r="A11" s="14" t="s">
        <v>92</v>
      </c>
      <c r="B11" s="24"/>
      <c r="C11" s="24"/>
      <c r="D11" s="24"/>
      <c r="E11" s="24"/>
      <c r="F11" s="24"/>
      <c r="G11" s="25"/>
      <c r="H11" s="23">
        <v>0.09</v>
      </c>
      <c r="I11" s="23">
        <v>0.09</v>
      </c>
      <c r="J11" s="23">
        <v>0.09</v>
      </c>
      <c r="K11" s="23">
        <v>0.09</v>
      </c>
      <c r="L11" s="23">
        <v>0.09</v>
      </c>
      <c r="M11" s="14"/>
      <c r="N11" s="14"/>
    </row>
    <row r="12" spans="1:14" ht="18" x14ac:dyDescent="0.35">
      <c r="A12" s="14" t="s">
        <v>95</v>
      </c>
      <c r="B12" s="24"/>
      <c r="C12" s="24"/>
      <c r="D12" s="24"/>
      <c r="E12" s="24"/>
      <c r="F12" s="24"/>
      <c r="G12" s="25"/>
      <c r="H12" s="26">
        <v>0.03</v>
      </c>
      <c r="I12" s="26">
        <v>0.03</v>
      </c>
      <c r="J12" s="26">
        <v>0.03</v>
      </c>
      <c r="K12" s="26">
        <v>0.03</v>
      </c>
      <c r="L12" s="26">
        <v>0.03</v>
      </c>
      <c r="M12" s="14"/>
      <c r="N12" s="14"/>
    </row>
    <row r="13" spans="1:14" ht="18" x14ac:dyDescent="0.35">
      <c r="A13" s="14"/>
      <c r="B13" s="14"/>
      <c r="C13" s="14"/>
      <c r="D13" s="14"/>
      <c r="E13" s="14"/>
      <c r="F13" s="14"/>
      <c r="G13" s="14"/>
      <c r="H13" s="20"/>
      <c r="I13" s="20"/>
      <c r="J13" s="20"/>
      <c r="K13" s="20"/>
      <c r="L13" s="20"/>
      <c r="M13" s="14"/>
      <c r="N13" s="14"/>
    </row>
    <row r="14" spans="1:14" ht="18" x14ac:dyDescent="0.35">
      <c r="A14" s="14" t="s">
        <v>102</v>
      </c>
      <c r="B14" s="19">
        <f>-'P&amp;L SOURCE'!B11</f>
        <v>-3220.05</v>
      </c>
      <c r="C14" s="19">
        <f>-'P&amp;L SOURCE'!C11</f>
        <v>-3475.35</v>
      </c>
      <c r="D14" s="19">
        <f>-'P&amp;L SOURCE'!D11</f>
        <v>-3731.71</v>
      </c>
      <c r="E14" s="19">
        <f>-'P&amp;L SOURCE'!E11</f>
        <v>-3998.58</v>
      </c>
      <c r="F14" s="19">
        <f>-'P&amp;L SOURCE'!F11</f>
        <v>-4766.12</v>
      </c>
      <c r="G14" s="14"/>
      <c r="H14" s="27">
        <f>-H7*H15</f>
        <v>-5051.6732220000004</v>
      </c>
      <c r="I14" s="27">
        <f>-I7*I15</f>
        <v>-5758.9074730800012</v>
      </c>
      <c r="J14" s="27">
        <f t="shared" ref="J14:L14" si="2">-J7*J15</f>
        <v>-6565.1545193112024</v>
      </c>
      <c r="K14" s="27">
        <f t="shared" si="2"/>
        <v>-7484.2761520147724</v>
      </c>
      <c r="L14" s="27">
        <f t="shared" si="2"/>
        <v>-8532.074813296842</v>
      </c>
      <c r="M14" s="14"/>
      <c r="N14" s="14"/>
    </row>
    <row r="15" spans="1:14" ht="18" x14ac:dyDescent="0.35">
      <c r="A15" s="21" t="s">
        <v>103</v>
      </c>
      <c r="B15" s="28">
        <f>-(B14/B7)</f>
        <v>0.4207114878583505</v>
      </c>
      <c r="C15" s="28">
        <f>-(C14/C7)</f>
        <v>0.41278666482960458</v>
      </c>
      <c r="D15" s="28">
        <f>-(D14/D7)</f>
        <v>0.43372207087002201</v>
      </c>
      <c r="E15" s="28">
        <f t="shared" ref="E15:F15" si="3">-(E14/E7)</f>
        <v>0.42122417505551596</v>
      </c>
      <c r="F15" s="28">
        <f t="shared" si="3"/>
        <v>0.4409795309598511</v>
      </c>
      <c r="G15" s="14"/>
      <c r="H15" s="23">
        <f>CHOOSE($B$4,H17,H18,H19)</f>
        <v>0.41</v>
      </c>
      <c r="I15" s="23">
        <f t="shared" ref="I15:L15" si="4">CHOOSE($B$4,I17,I18,I19)</f>
        <v>0.41</v>
      </c>
      <c r="J15" s="23">
        <f t="shared" si="4"/>
        <v>0.41</v>
      </c>
      <c r="K15" s="23">
        <f t="shared" si="4"/>
        <v>0.41</v>
      </c>
      <c r="L15" s="23">
        <f t="shared" si="4"/>
        <v>0.41</v>
      </c>
      <c r="M15" s="14"/>
      <c r="N15" s="14"/>
    </row>
    <row r="16" spans="1:14" ht="18" x14ac:dyDescent="0.35">
      <c r="A16" s="14"/>
      <c r="B16" s="14"/>
      <c r="C16" s="14"/>
      <c r="D16" s="14"/>
      <c r="E16" s="14"/>
      <c r="F16" s="14"/>
      <c r="G16" s="14"/>
      <c r="H16" s="23"/>
      <c r="I16" s="23"/>
      <c r="J16" s="23"/>
      <c r="K16" s="23"/>
      <c r="L16" s="23"/>
      <c r="M16" s="14"/>
      <c r="N16" s="14"/>
    </row>
    <row r="17" spans="1:14" ht="18" x14ac:dyDescent="0.35">
      <c r="A17" s="14" t="s">
        <v>90</v>
      </c>
      <c r="B17" s="24"/>
      <c r="C17" s="24"/>
      <c r="D17" s="24"/>
      <c r="E17" s="24"/>
      <c r="F17" s="24"/>
      <c r="G17" s="14"/>
      <c r="H17" s="23">
        <v>0.41</v>
      </c>
      <c r="I17" s="23">
        <v>0.41</v>
      </c>
      <c r="J17" s="23">
        <v>0.41</v>
      </c>
      <c r="K17" s="23">
        <v>0.41</v>
      </c>
      <c r="L17" s="23">
        <v>0.41</v>
      </c>
      <c r="M17" s="14"/>
      <c r="N17" s="14"/>
    </row>
    <row r="18" spans="1:14" ht="18" x14ac:dyDescent="0.35">
      <c r="A18" s="14" t="s">
        <v>92</v>
      </c>
      <c r="B18" s="24"/>
      <c r="C18" s="24"/>
      <c r="D18" s="24"/>
      <c r="E18" s="24"/>
      <c r="F18" s="24"/>
      <c r="G18" s="14"/>
      <c r="H18" s="26">
        <v>0.43</v>
      </c>
      <c r="I18" s="26">
        <v>0.43</v>
      </c>
      <c r="J18" s="26">
        <v>0.43</v>
      </c>
      <c r="K18" s="26">
        <v>0.43</v>
      </c>
      <c r="L18" s="26">
        <v>0.43</v>
      </c>
      <c r="M18" s="14"/>
      <c r="N18" s="14"/>
    </row>
    <row r="19" spans="1:14" ht="18" x14ac:dyDescent="0.35">
      <c r="A19" s="14" t="s">
        <v>95</v>
      </c>
      <c r="B19" s="24"/>
      <c r="C19" s="24"/>
      <c r="D19" s="24"/>
      <c r="E19" s="24"/>
      <c r="F19" s="24"/>
      <c r="G19" s="14"/>
      <c r="H19" s="23">
        <v>0.44</v>
      </c>
      <c r="I19" s="23">
        <v>0.44</v>
      </c>
      <c r="J19" s="23">
        <v>0.44</v>
      </c>
      <c r="K19" s="23">
        <v>0.44</v>
      </c>
      <c r="L19" s="23">
        <v>0.44</v>
      </c>
      <c r="M19" s="14"/>
      <c r="N19" s="14"/>
    </row>
    <row r="20" spans="1:14" s="31" customFormat="1" ht="18" x14ac:dyDescent="0.35">
      <c r="A20" s="14"/>
      <c r="B20" s="14"/>
      <c r="C20" s="14"/>
      <c r="D20" s="14"/>
      <c r="E20" s="14"/>
      <c r="F20" s="14"/>
      <c r="G20" s="14"/>
      <c r="H20" s="30"/>
      <c r="I20" s="30"/>
      <c r="J20" s="30"/>
      <c r="K20" s="30"/>
      <c r="L20" s="30"/>
      <c r="M20" s="14"/>
      <c r="N20" s="14"/>
    </row>
    <row r="21" spans="1:14" ht="18" x14ac:dyDescent="0.35">
      <c r="A21" s="14" t="s">
        <v>113</v>
      </c>
      <c r="B21" s="19">
        <f>-'P&amp;L SOURCE'!B14</f>
        <v>-792.79</v>
      </c>
      <c r="C21" s="19">
        <f>-'P&amp;L SOURCE'!C14</f>
        <v>-937.91</v>
      </c>
      <c r="D21" s="19">
        <f>-'P&amp;L SOURCE'!D14</f>
        <v>-947.74</v>
      </c>
      <c r="E21" s="19">
        <f>-'P&amp;L SOURCE'!E14</f>
        <v>-1033.46</v>
      </c>
      <c r="F21" s="19">
        <f>-'P&amp;L SOURCE'!F14</f>
        <v>-1079.95</v>
      </c>
      <c r="G21" s="14"/>
      <c r="H21" s="27">
        <f>-H7*H22</f>
        <v>-1232.1154200000003</v>
      </c>
      <c r="I21" s="27">
        <f>-I7*I22</f>
        <v>-1404.6115788000006</v>
      </c>
      <c r="J21" s="27">
        <f t="shared" ref="J21:L21" si="5">-J7*J22</f>
        <v>-1601.2571998320009</v>
      </c>
      <c r="K21" s="27">
        <f t="shared" si="5"/>
        <v>-1825.4332078084813</v>
      </c>
      <c r="L21" s="27">
        <f t="shared" si="5"/>
        <v>-2080.993856901669</v>
      </c>
      <c r="M21" s="14"/>
      <c r="N21" s="14"/>
    </row>
    <row r="22" spans="1:14" ht="18" x14ac:dyDescent="0.35">
      <c r="A22" s="21" t="s">
        <v>103</v>
      </c>
      <c r="B22" s="28">
        <f>-(B21/B7)</f>
        <v>0.10358095696005393</v>
      </c>
      <c r="C22" s="28">
        <f t="shared" ref="C22:F22" si="6">-(C21/C7)</f>
        <v>0.11140079152037476</v>
      </c>
      <c r="D22" s="28">
        <f>-(D21/D7)</f>
        <v>0.11015211670959284</v>
      </c>
      <c r="E22" s="28">
        <f t="shared" si="6"/>
        <v>0.10886823221065317</v>
      </c>
      <c r="F22" s="28">
        <f t="shared" si="6"/>
        <v>9.9921077199082525E-2</v>
      </c>
      <c r="G22" s="14"/>
      <c r="H22" s="23">
        <f>CHOOSE($B$4,H24,H25,H26)</f>
        <v>0.1</v>
      </c>
      <c r="I22" s="23">
        <f t="shared" ref="I22:L22" si="7">CHOOSE($B$4,I24,I25,I26)</f>
        <v>0.1</v>
      </c>
      <c r="J22" s="23">
        <f t="shared" si="7"/>
        <v>0.1</v>
      </c>
      <c r="K22" s="23">
        <f t="shared" si="7"/>
        <v>0.1</v>
      </c>
      <c r="L22" s="23">
        <f t="shared" si="7"/>
        <v>0.1</v>
      </c>
      <c r="M22" s="14"/>
      <c r="N22" s="14"/>
    </row>
    <row r="23" spans="1:14" ht="18" x14ac:dyDescent="0.35">
      <c r="A23" s="14"/>
      <c r="B23" s="14"/>
      <c r="C23" s="14"/>
      <c r="D23" s="14"/>
      <c r="E23" s="14"/>
      <c r="F23" s="14"/>
      <c r="G23" s="14"/>
      <c r="H23" s="23"/>
      <c r="I23" s="23"/>
      <c r="J23" s="23"/>
      <c r="K23" s="23"/>
      <c r="L23" s="23"/>
      <c r="M23" s="14"/>
      <c r="N23" s="14"/>
    </row>
    <row r="24" spans="1:14" ht="18" x14ac:dyDescent="0.35">
      <c r="A24" s="14" t="s">
        <v>90</v>
      </c>
      <c r="B24" s="24"/>
      <c r="C24" s="24"/>
      <c r="D24" s="24"/>
      <c r="E24" s="24"/>
      <c r="F24" s="24"/>
      <c r="G24" s="14"/>
      <c r="H24" s="23">
        <v>0.1</v>
      </c>
      <c r="I24" s="23">
        <v>0.1</v>
      </c>
      <c r="J24" s="23">
        <v>0.1</v>
      </c>
      <c r="K24" s="23">
        <v>0.1</v>
      </c>
      <c r="L24" s="23">
        <v>0.1</v>
      </c>
      <c r="M24" s="14"/>
      <c r="N24" s="14"/>
    </row>
    <row r="25" spans="1:14" ht="18" x14ac:dyDescent="0.35">
      <c r="A25" s="14" t="s">
        <v>92</v>
      </c>
      <c r="B25" s="24"/>
      <c r="C25" s="24"/>
      <c r="D25" s="24"/>
      <c r="E25" s="24"/>
      <c r="F25" s="24"/>
      <c r="G25" s="14"/>
      <c r="H25" s="26">
        <v>0.11</v>
      </c>
      <c r="I25" s="26">
        <v>0.11</v>
      </c>
      <c r="J25" s="26">
        <v>0.11</v>
      </c>
      <c r="K25" s="26">
        <v>0.11</v>
      </c>
      <c r="L25" s="26">
        <v>0.11</v>
      </c>
      <c r="M25" s="14"/>
      <c r="N25" s="14"/>
    </row>
    <row r="26" spans="1:14" ht="18" x14ac:dyDescent="0.35">
      <c r="A26" s="14" t="s">
        <v>95</v>
      </c>
      <c r="B26" s="24"/>
      <c r="C26" s="24"/>
      <c r="D26" s="24"/>
      <c r="E26" s="24"/>
      <c r="F26" s="24"/>
      <c r="G26" s="14"/>
      <c r="H26" s="23">
        <v>0.12</v>
      </c>
      <c r="I26" s="23">
        <v>0.12</v>
      </c>
      <c r="J26" s="23">
        <v>0.12</v>
      </c>
      <c r="K26" s="23">
        <v>0.12</v>
      </c>
      <c r="L26" s="23">
        <v>0.12</v>
      </c>
      <c r="M26" s="14"/>
      <c r="N26" s="14"/>
    </row>
    <row r="27" spans="1:14" s="31" customFormat="1" ht="18" x14ac:dyDescent="0.35">
      <c r="A27" s="14"/>
      <c r="B27" s="14"/>
      <c r="C27" s="14"/>
      <c r="D27" s="14"/>
      <c r="E27" s="14"/>
      <c r="F27" s="14"/>
      <c r="G27" s="14"/>
      <c r="H27" s="30"/>
      <c r="I27" s="30"/>
      <c r="J27" s="30"/>
      <c r="K27" s="30"/>
      <c r="L27" s="30"/>
      <c r="M27" s="14"/>
      <c r="N27" s="14"/>
    </row>
    <row r="28" spans="1:14" ht="18" x14ac:dyDescent="0.35">
      <c r="A28" s="14" t="s">
        <v>15</v>
      </c>
      <c r="B28" s="19">
        <f>-'P&amp;L SOURCE'!B17</f>
        <v>-1491.7</v>
      </c>
      <c r="C28" s="19">
        <f>-'P&amp;L SOURCE'!C17</f>
        <v>-1546.55</v>
      </c>
      <c r="D28" s="19">
        <f>-'P&amp;L SOURCE'!D17</f>
        <v>-1603.26</v>
      </c>
      <c r="E28" s="19">
        <f>-'P&amp;L SOURCE'!E17</f>
        <v>-1736.55</v>
      </c>
      <c r="F28" s="19">
        <f>-'P&amp;L SOURCE'!F17</f>
        <v>-1915.23</v>
      </c>
      <c r="G28" s="14"/>
      <c r="H28" s="27">
        <f>-H7*H29</f>
        <v>-2217.8077560000006</v>
      </c>
      <c r="I28" s="27">
        <f>-I7*I29</f>
        <v>-2528.3008418400009</v>
      </c>
      <c r="J28" s="27">
        <f t="shared" ref="J28:L28" si="8">-J7*J29</f>
        <v>-2882.2629596976012</v>
      </c>
      <c r="K28" s="27">
        <f t="shared" si="8"/>
        <v>-3285.779774055266</v>
      </c>
      <c r="L28" s="27">
        <f t="shared" si="8"/>
        <v>-3745.7889424230038</v>
      </c>
      <c r="M28" s="14"/>
      <c r="N28" s="14"/>
    </row>
    <row r="29" spans="1:14" ht="18" x14ac:dyDescent="0.35">
      <c r="A29" s="21" t="s">
        <v>103</v>
      </c>
      <c r="B29" s="28">
        <f>-(B28/B7)</f>
        <v>0.19489614336370598</v>
      </c>
      <c r="C29" s="28">
        <f t="shared" ref="C29:F29" si="9">-(C28/C7)</f>
        <v>0.18369235227882802</v>
      </c>
      <c r="D29" s="28">
        <f>-(D28/D7)</f>
        <v>0.18634064472937917</v>
      </c>
      <c r="E29" s="28">
        <f t="shared" si="9"/>
        <v>0.18293415192209642</v>
      </c>
      <c r="F29" s="28">
        <f t="shared" si="9"/>
        <v>0.17720435639057255</v>
      </c>
      <c r="G29" s="14"/>
      <c r="H29" s="23">
        <f>CHOOSE($B$4,H31,H32,H33)</f>
        <v>0.18</v>
      </c>
      <c r="I29" s="23">
        <f t="shared" ref="I29:L29" si="10">CHOOSE($B$4,I31,I32,I33)</f>
        <v>0.18</v>
      </c>
      <c r="J29" s="23">
        <f t="shared" si="10"/>
        <v>0.18</v>
      </c>
      <c r="K29" s="23">
        <f t="shared" si="10"/>
        <v>0.18</v>
      </c>
      <c r="L29" s="23">
        <f t="shared" si="10"/>
        <v>0.18</v>
      </c>
      <c r="M29" s="14"/>
      <c r="N29" s="14"/>
    </row>
    <row r="30" spans="1:14" ht="18" x14ac:dyDescent="0.35">
      <c r="A30" s="14"/>
      <c r="B30" s="14"/>
      <c r="C30" s="14"/>
      <c r="D30" s="14"/>
      <c r="E30" s="14"/>
      <c r="F30" s="14"/>
      <c r="G30" s="14"/>
      <c r="H30" s="23"/>
      <c r="I30" s="23"/>
      <c r="J30" s="23"/>
      <c r="K30" s="23"/>
      <c r="L30" s="23"/>
      <c r="M30" s="14"/>
      <c r="N30" s="14"/>
    </row>
    <row r="31" spans="1:14" ht="18" x14ac:dyDescent="0.35">
      <c r="A31" s="14" t="s">
        <v>90</v>
      </c>
      <c r="B31" s="24"/>
      <c r="C31" s="24"/>
      <c r="D31" s="24"/>
      <c r="E31" s="24"/>
      <c r="F31" s="24"/>
      <c r="G31" s="14"/>
      <c r="H31" s="23">
        <v>0.18</v>
      </c>
      <c r="I31" s="23">
        <v>0.18</v>
      </c>
      <c r="J31" s="23">
        <v>0.18</v>
      </c>
      <c r="K31" s="23">
        <v>0.18</v>
      </c>
      <c r="L31" s="23">
        <v>0.18</v>
      </c>
      <c r="M31" s="14"/>
      <c r="N31" s="14"/>
    </row>
    <row r="32" spans="1:14" ht="18" x14ac:dyDescent="0.35">
      <c r="A32" s="14" t="s">
        <v>92</v>
      </c>
      <c r="B32" s="24"/>
      <c r="C32" s="24"/>
      <c r="D32" s="24"/>
      <c r="E32" s="24"/>
      <c r="F32" s="24"/>
      <c r="G32" s="14"/>
      <c r="H32" s="26">
        <v>0.19</v>
      </c>
      <c r="I32" s="26">
        <v>0.19</v>
      </c>
      <c r="J32" s="26">
        <v>0.19</v>
      </c>
      <c r="K32" s="26">
        <v>0.19</v>
      </c>
      <c r="L32" s="26">
        <v>0.19</v>
      </c>
      <c r="M32" s="14"/>
      <c r="N32" s="14"/>
    </row>
    <row r="33" spans="1:14" ht="18" x14ac:dyDescent="0.35">
      <c r="A33" s="14" t="s">
        <v>95</v>
      </c>
      <c r="B33" s="24"/>
      <c r="C33" s="24"/>
      <c r="D33" s="24"/>
      <c r="E33" s="24"/>
      <c r="F33" s="24"/>
      <c r="G33" s="14"/>
      <c r="H33" s="23">
        <v>0.19</v>
      </c>
      <c r="I33" s="23">
        <v>0.19</v>
      </c>
      <c r="J33" s="23">
        <v>0.19</v>
      </c>
      <c r="K33" s="23">
        <v>0.19</v>
      </c>
      <c r="L33" s="23">
        <v>0.19</v>
      </c>
      <c r="M33" s="14"/>
      <c r="N33" s="14"/>
    </row>
    <row r="34" spans="1:14" ht="18" x14ac:dyDescent="0.35">
      <c r="A34" s="14"/>
      <c r="B34" s="14"/>
      <c r="C34" s="14"/>
      <c r="D34" s="14"/>
      <c r="E34" s="14"/>
      <c r="F34" s="14"/>
      <c r="G34" s="14"/>
      <c r="H34" s="23"/>
      <c r="I34" s="23"/>
      <c r="J34" s="23"/>
      <c r="K34" s="23"/>
      <c r="L34" s="23"/>
      <c r="M34" s="14"/>
      <c r="N34" s="14"/>
    </row>
    <row r="35" spans="1:14" ht="18" x14ac:dyDescent="0.35">
      <c r="A35" s="14" t="s">
        <v>114</v>
      </c>
      <c r="B35" s="19">
        <f>-'P&amp;L SOURCE'!B16</f>
        <v>-162.18</v>
      </c>
      <c r="C35" s="19">
        <f>-'P&amp;L SOURCE'!C16</f>
        <v>-176.9</v>
      </c>
      <c r="D35" s="19">
        <f>-'P&amp;L SOURCE'!D16</f>
        <v>-220.45</v>
      </c>
      <c r="E35" s="19">
        <f>-'P&amp;L SOURCE'!E16</f>
        <v>-240.13</v>
      </c>
      <c r="F35" s="19">
        <f>-'P&amp;L SOURCE'!F16</f>
        <v>-252.89</v>
      </c>
      <c r="G35" s="14"/>
      <c r="H35" s="27">
        <f>-H7*H36</f>
        <v>-246.42308400000005</v>
      </c>
      <c r="I35" s="27">
        <f t="shared" ref="I35:L35" si="11">-I7*I36</f>
        <v>-280.92231576000012</v>
      </c>
      <c r="J35" s="27">
        <f t="shared" si="11"/>
        <v>-320.25143996640014</v>
      </c>
      <c r="K35" s="27">
        <f t="shared" si="11"/>
        <v>-365.08664156169624</v>
      </c>
      <c r="L35" s="27">
        <f t="shared" si="11"/>
        <v>-416.19877138033377</v>
      </c>
      <c r="M35" s="14"/>
      <c r="N35" s="14"/>
    </row>
    <row r="36" spans="1:14" ht="18" x14ac:dyDescent="0.35">
      <c r="A36" s="21" t="s">
        <v>103</v>
      </c>
      <c r="B36" s="28">
        <f>-(B35/B7)</f>
        <v>2.1189419139723695E-2</v>
      </c>
      <c r="C36" s="28">
        <f t="shared" ref="C36:F36" si="12">-(C35/C7)</f>
        <v>2.1011397703355649E-2</v>
      </c>
      <c r="D36" s="28">
        <f>-(D35/D7)</f>
        <v>2.5622042045951147E-2</v>
      </c>
      <c r="E36" s="28">
        <f t="shared" si="12"/>
        <v>2.5296120411766439E-2</v>
      </c>
      <c r="F36" s="28">
        <f t="shared" si="12"/>
        <v>2.3398343638942526E-2</v>
      </c>
      <c r="G36" s="14"/>
      <c r="H36" s="23">
        <f>CHOOSE($B$4,H38,H39,H40)</f>
        <v>0.02</v>
      </c>
      <c r="I36" s="23">
        <f t="shared" ref="I36:L36" si="13">CHOOSE($B$4,I38,I39,I40)</f>
        <v>0.02</v>
      </c>
      <c r="J36" s="23">
        <f t="shared" si="13"/>
        <v>0.02</v>
      </c>
      <c r="K36" s="23">
        <f t="shared" si="13"/>
        <v>0.02</v>
      </c>
      <c r="L36" s="23">
        <f t="shared" si="13"/>
        <v>0.02</v>
      </c>
      <c r="M36" s="14"/>
      <c r="N36" s="14"/>
    </row>
    <row r="37" spans="1:14" ht="18" x14ac:dyDescent="0.35">
      <c r="A37" s="14"/>
      <c r="B37" s="14"/>
      <c r="C37" s="14"/>
      <c r="D37" s="14"/>
      <c r="E37" s="14"/>
      <c r="F37" s="14"/>
      <c r="G37" s="14"/>
      <c r="H37" s="23"/>
      <c r="I37" s="23"/>
      <c r="J37" s="23"/>
      <c r="K37" s="23"/>
      <c r="L37" s="23"/>
      <c r="M37" s="14"/>
      <c r="N37" s="14"/>
    </row>
    <row r="38" spans="1:14" ht="18" x14ac:dyDescent="0.35">
      <c r="A38" s="14" t="s">
        <v>90</v>
      </c>
      <c r="B38" s="24"/>
      <c r="C38" s="24"/>
      <c r="D38" s="24"/>
      <c r="E38" s="24"/>
      <c r="F38" s="24"/>
      <c r="G38" s="14"/>
      <c r="H38" s="23">
        <v>0.02</v>
      </c>
      <c r="I38" s="23">
        <v>0.02</v>
      </c>
      <c r="J38" s="23">
        <v>0.02</v>
      </c>
      <c r="K38" s="23">
        <v>0.02</v>
      </c>
      <c r="L38" s="23">
        <v>0.02</v>
      </c>
      <c r="M38" s="14"/>
      <c r="N38" s="14"/>
    </row>
    <row r="39" spans="1:14" ht="18" x14ac:dyDescent="0.35">
      <c r="A39" s="14" t="s">
        <v>92</v>
      </c>
      <c r="B39" s="24"/>
      <c r="C39" s="24"/>
      <c r="D39" s="24"/>
      <c r="E39" s="24"/>
      <c r="F39" s="24"/>
      <c r="G39" s="14"/>
      <c r="H39" s="26">
        <v>0.02</v>
      </c>
      <c r="I39" s="26">
        <v>0.02</v>
      </c>
      <c r="J39" s="26">
        <v>0.02</v>
      </c>
      <c r="K39" s="26">
        <v>0.02</v>
      </c>
      <c r="L39" s="26">
        <v>0.02</v>
      </c>
      <c r="M39" s="14"/>
      <c r="N39" s="14"/>
    </row>
    <row r="40" spans="1:14" ht="18" x14ac:dyDescent="0.35">
      <c r="A40" s="14" t="s">
        <v>95</v>
      </c>
      <c r="B40" s="24"/>
      <c r="C40" s="24"/>
      <c r="D40" s="24"/>
      <c r="E40" s="24"/>
      <c r="F40" s="24"/>
      <c r="G40" s="14"/>
      <c r="H40" s="23">
        <v>0.03</v>
      </c>
      <c r="I40" s="23">
        <v>0.03</v>
      </c>
      <c r="J40" s="23">
        <v>0.03</v>
      </c>
      <c r="K40" s="23">
        <v>0.03</v>
      </c>
      <c r="L40" s="23">
        <v>0.03</v>
      </c>
      <c r="M40" s="14"/>
      <c r="N40" s="14"/>
    </row>
    <row r="41" spans="1:14" ht="18" x14ac:dyDescent="0.35">
      <c r="A41" s="14"/>
      <c r="B41" s="14"/>
      <c r="C41" s="14"/>
      <c r="D41" s="14"/>
      <c r="E41" s="14"/>
      <c r="F41" s="14"/>
      <c r="G41" s="14"/>
      <c r="H41" s="23"/>
      <c r="I41" s="23"/>
      <c r="J41" s="23"/>
      <c r="K41" s="23"/>
      <c r="L41" s="23"/>
      <c r="M41" s="14"/>
      <c r="N41" s="14"/>
    </row>
    <row r="42" spans="1:14" ht="18" x14ac:dyDescent="0.35">
      <c r="A42" s="21" t="s">
        <v>104</v>
      </c>
      <c r="B42" s="32">
        <v>0.34610000000000002</v>
      </c>
      <c r="C42" s="32">
        <v>0.25169999999999998</v>
      </c>
      <c r="D42" s="32">
        <v>0.25169999999999998</v>
      </c>
      <c r="E42" s="32">
        <v>0.25169999999999998</v>
      </c>
      <c r="F42" s="32">
        <v>0.34939999999999999</v>
      </c>
      <c r="G42" s="14"/>
      <c r="H42" s="23">
        <f>CHOOSE($B$4,H44,H45,H46)</f>
        <v>0.25</v>
      </c>
      <c r="I42" s="23">
        <f t="shared" ref="I42:L42" si="14">CHOOSE($B$4,I44,I45,I46)</f>
        <v>0.25</v>
      </c>
      <c r="J42" s="23">
        <f t="shared" si="14"/>
        <v>0.25</v>
      </c>
      <c r="K42" s="23">
        <f t="shared" si="14"/>
        <v>0.25</v>
      </c>
      <c r="L42" s="23">
        <f t="shared" si="14"/>
        <v>0.25</v>
      </c>
      <c r="M42" s="14"/>
      <c r="N42" s="14"/>
    </row>
    <row r="43" spans="1:14" ht="18" x14ac:dyDescent="0.35">
      <c r="A43" s="14"/>
      <c r="B43" s="14"/>
      <c r="C43" s="14"/>
      <c r="D43" s="14"/>
      <c r="E43" s="14"/>
      <c r="F43" s="14"/>
      <c r="G43" s="14"/>
      <c r="H43" s="23"/>
      <c r="I43" s="23"/>
      <c r="J43" s="23"/>
      <c r="K43" s="23"/>
      <c r="L43" s="23"/>
      <c r="M43" s="14"/>
      <c r="N43" s="14"/>
    </row>
    <row r="44" spans="1:14" ht="18" x14ac:dyDescent="0.35">
      <c r="A44" s="14" t="s">
        <v>90</v>
      </c>
      <c r="B44" s="24"/>
      <c r="C44" s="24"/>
      <c r="D44" s="24"/>
      <c r="E44" s="24"/>
      <c r="F44" s="24"/>
      <c r="G44" s="14"/>
      <c r="H44" s="23">
        <v>0.25</v>
      </c>
      <c r="I44" s="23">
        <v>0.25</v>
      </c>
      <c r="J44" s="23">
        <v>0.25</v>
      </c>
      <c r="K44" s="23">
        <v>0.25</v>
      </c>
      <c r="L44" s="23">
        <v>0.25</v>
      </c>
      <c r="M44" s="14"/>
      <c r="N44" s="14"/>
    </row>
    <row r="45" spans="1:14" ht="18" x14ac:dyDescent="0.35">
      <c r="A45" s="14" t="s">
        <v>92</v>
      </c>
      <c r="B45" s="24"/>
      <c r="C45" s="24"/>
      <c r="D45" s="24"/>
      <c r="E45" s="24"/>
      <c r="F45" s="24"/>
      <c r="G45" s="14"/>
      <c r="H45" s="23">
        <v>0.34</v>
      </c>
      <c r="I45" s="23">
        <v>0.34</v>
      </c>
      <c r="J45" s="23">
        <v>0.34</v>
      </c>
      <c r="K45" s="23">
        <v>0.34</v>
      </c>
      <c r="L45" s="23">
        <v>0.34</v>
      </c>
      <c r="M45" s="14"/>
      <c r="N45" s="14"/>
    </row>
    <row r="46" spans="1:14" ht="18" x14ac:dyDescent="0.35">
      <c r="A46" s="14" t="s">
        <v>95</v>
      </c>
      <c r="B46" s="24"/>
      <c r="C46" s="24"/>
      <c r="D46" s="24"/>
      <c r="E46" s="24"/>
      <c r="F46" s="24"/>
      <c r="G46" s="14"/>
      <c r="H46" s="23">
        <v>0.39</v>
      </c>
      <c r="I46" s="23">
        <v>0.39</v>
      </c>
      <c r="J46" s="23">
        <v>0.39</v>
      </c>
      <c r="K46" s="23">
        <v>0.39</v>
      </c>
      <c r="L46" s="23">
        <v>0.39</v>
      </c>
      <c r="M46" s="14"/>
      <c r="N46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FD28-3240-4B3B-8198-2DCCCAE81B7B}">
  <dimension ref="A1:L16"/>
  <sheetViews>
    <sheetView zoomScaleNormal="100" workbookViewId="0">
      <selection activeCell="E19" sqref="E19"/>
    </sheetView>
  </sheetViews>
  <sheetFormatPr defaultRowHeight="14.4" x14ac:dyDescent="0.3"/>
  <cols>
    <col min="1" max="1" width="31.21875" bestFit="1" customWidth="1"/>
    <col min="2" max="2" width="20.33203125" bestFit="1" customWidth="1"/>
    <col min="3" max="6" width="11.88671875" bestFit="1" customWidth="1"/>
    <col min="7" max="7" width="12" customWidth="1"/>
    <col min="8" max="11" width="11.88671875" bestFit="1" customWidth="1"/>
  </cols>
  <sheetData>
    <row r="1" spans="1:12" ht="18" x14ac:dyDescent="0.35">
      <c r="A1" s="13" t="s">
        <v>115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2" ht="18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2" ht="54.6" thickBot="1" x14ac:dyDescent="0.4">
      <c r="A3" s="16" t="s">
        <v>97</v>
      </c>
      <c r="B3" s="17" t="s">
        <v>98</v>
      </c>
      <c r="C3" s="17" t="s">
        <v>108</v>
      </c>
      <c r="D3" s="17" t="s">
        <v>107</v>
      </c>
      <c r="E3" s="17" t="s">
        <v>106</v>
      </c>
      <c r="F3" s="17" t="s">
        <v>105</v>
      </c>
      <c r="G3" s="39" t="s">
        <v>99</v>
      </c>
      <c r="H3" s="18" t="s">
        <v>109</v>
      </c>
      <c r="I3" s="18" t="s">
        <v>110</v>
      </c>
      <c r="J3" s="18" t="s">
        <v>111</v>
      </c>
      <c r="K3" s="18" t="s">
        <v>112</v>
      </c>
    </row>
    <row r="4" spans="1:12" ht="18" x14ac:dyDescent="0.35">
      <c r="A4" s="14" t="s">
        <v>116</v>
      </c>
      <c r="B4" s="19">
        <f>'BS SOURCE'!B38</f>
        <v>706.08</v>
      </c>
      <c r="C4" s="19">
        <f>'BS SOURCE'!C38</f>
        <v>833.56</v>
      </c>
      <c r="D4" s="19">
        <f>'BS SOURCE'!D38</f>
        <v>813.89</v>
      </c>
      <c r="E4" s="19">
        <f>'BS SOURCE'!E38</f>
        <v>561.58000000000004</v>
      </c>
      <c r="F4" s="19">
        <f>'BS SOURCE'!F38</f>
        <v>646.15</v>
      </c>
      <c r="G4" s="20">
        <f>G5*'P&amp;L ASSUMPTION'!H7/365</f>
        <v>736.61099999999999</v>
      </c>
      <c r="H4" s="20">
        <f>H5*'P&amp;L ASSUMPTION'!I7/365</f>
        <v>839.73654000000022</v>
      </c>
      <c r="I4" s="20">
        <f>I5*'P&amp;L ASSUMPTION'!J7/365</f>
        <v>957.29965560000028</v>
      </c>
      <c r="J4" s="20">
        <f>J5*'P&amp;L ASSUMPTION'!K7/365</f>
        <v>1091.3216073840006</v>
      </c>
      <c r="K4" s="20">
        <f>K5*'P&amp;L ASSUMPTION'!L7/365</f>
        <v>1244.1066324177609</v>
      </c>
      <c r="L4" s="19"/>
    </row>
    <row r="5" spans="1:12" ht="18" x14ac:dyDescent="0.35">
      <c r="A5" s="21" t="s">
        <v>117</v>
      </c>
      <c r="B5" s="40">
        <f>B4/'P&amp;L ASSUMPTION'!B7*365</f>
        <v>33.671970336381051</v>
      </c>
      <c r="C5" s="40">
        <f>C4/'P&amp;L ASSUMPTION'!C7*365</f>
        <v>36.137394824235912</v>
      </c>
      <c r="D5" s="40">
        <f>D4/'P&amp;L ASSUMPTION'!D7*365</f>
        <v>34.527267803512814</v>
      </c>
      <c r="E5" s="40">
        <f>E4/'P&amp;L ASSUMPTION'!E7*365</f>
        <v>21.592950838323102</v>
      </c>
      <c r="F5" s="40">
        <f>F4/'P&amp;L ASSUMPTION'!F7*365</f>
        <v>21.821252346634861</v>
      </c>
      <c r="G5" s="33">
        <f>F5</f>
        <v>21.821252346634861</v>
      </c>
      <c r="H5" s="33">
        <f t="shared" ref="H5:K5" si="0">G5</f>
        <v>21.821252346634861</v>
      </c>
      <c r="I5" s="33">
        <f t="shared" si="0"/>
        <v>21.821252346634861</v>
      </c>
      <c r="J5" s="33">
        <f t="shared" si="0"/>
        <v>21.821252346634861</v>
      </c>
      <c r="K5" s="33">
        <f t="shared" si="0"/>
        <v>21.821252346634861</v>
      </c>
    </row>
    <row r="6" spans="1:12" ht="18" x14ac:dyDescent="0.35">
      <c r="A6" s="14"/>
      <c r="B6" s="19"/>
      <c r="C6" s="19"/>
      <c r="D6" s="19"/>
      <c r="E6" s="19"/>
      <c r="F6" s="19"/>
      <c r="G6" s="34"/>
      <c r="H6" s="34"/>
      <c r="I6" s="34"/>
      <c r="J6" s="34"/>
      <c r="K6" s="34"/>
    </row>
    <row r="7" spans="1:12" ht="18" x14ac:dyDescent="0.35">
      <c r="A7" s="14" t="s">
        <v>118</v>
      </c>
      <c r="B7" s="19">
        <f>'BS SOURCE'!B37</f>
        <v>1256.18</v>
      </c>
      <c r="C7" s="19">
        <f>'BS SOURCE'!C37</f>
        <v>1300.53</v>
      </c>
      <c r="D7" s="19">
        <f>'BS SOURCE'!D37</f>
        <v>1379.57</v>
      </c>
      <c r="E7" s="19">
        <f>'BS SOURCE'!E37</f>
        <v>1734.28</v>
      </c>
      <c r="F7" s="19">
        <f>'BS SOURCE'!F37</f>
        <v>1911.37</v>
      </c>
      <c r="G7" s="20">
        <f>-G8*'P&amp;L ASSUMPTION'!H14/365</f>
        <v>2025.8861812824982</v>
      </c>
      <c r="H7" s="20">
        <f>-H8*'P&amp;L ASSUMPTION'!I14/365</f>
        <v>2309.5102466620483</v>
      </c>
      <c r="I7" s="20">
        <f>-I8*'P&amp;L ASSUMPTION'!J14/365</f>
        <v>2632.8416811947359</v>
      </c>
      <c r="J7" s="20">
        <f>-J8*'P&amp;L ASSUMPTION'!K14/365</f>
        <v>3001.439516561999</v>
      </c>
      <c r="K7" s="20">
        <f>-K8*'P&amp;L ASSUMPTION'!L14/365</f>
        <v>3421.64104888068</v>
      </c>
    </row>
    <row r="8" spans="1:12" ht="18" x14ac:dyDescent="0.35">
      <c r="A8" s="21" t="s">
        <v>119</v>
      </c>
      <c r="B8" s="40">
        <f>-B7/'P&amp;L ASSUMPTION'!B14*365</f>
        <v>142.39086349590846</v>
      </c>
      <c r="C8" s="40">
        <f>-C7/'P&amp;L ASSUMPTION'!C14*365</f>
        <v>136.58867452199058</v>
      </c>
      <c r="D8" s="40">
        <f>-D7/'P&amp;L ASSUMPTION'!D14*365</f>
        <v>134.9362758628082</v>
      </c>
      <c r="E8" s="40">
        <f>-E7/'P&amp;L ASSUMPTION'!E14*365</f>
        <v>158.30924978367321</v>
      </c>
      <c r="F8" s="40">
        <f>-F7/'P&amp;L ASSUMPTION'!F14*365</f>
        <v>146.37693763480567</v>
      </c>
      <c r="G8" s="33">
        <f>F8</f>
        <v>146.37693763480567</v>
      </c>
      <c r="H8" s="33">
        <f t="shared" ref="H8:K8" si="1">G8</f>
        <v>146.37693763480567</v>
      </c>
      <c r="I8" s="33">
        <f t="shared" si="1"/>
        <v>146.37693763480567</v>
      </c>
      <c r="J8" s="33">
        <f t="shared" si="1"/>
        <v>146.37693763480567</v>
      </c>
      <c r="K8" s="33">
        <f t="shared" si="1"/>
        <v>146.37693763480567</v>
      </c>
    </row>
    <row r="9" spans="1:12" ht="18" x14ac:dyDescent="0.35">
      <c r="A9" s="14"/>
      <c r="B9" s="19"/>
      <c r="C9" s="19"/>
      <c r="D9" s="19"/>
      <c r="E9" s="19"/>
      <c r="F9" s="19"/>
      <c r="G9" s="34"/>
      <c r="H9" s="34"/>
      <c r="I9" s="34"/>
      <c r="J9" s="34"/>
      <c r="K9" s="34"/>
    </row>
    <row r="10" spans="1:12" ht="18" x14ac:dyDescent="0.35">
      <c r="A10" s="14" t="s">
        <v>120</v>
      </c>
      <c r="B10" s="19">
        <f>'BS SOURCE'!B19</f>
        <v>1410.32</v>
      </c>
      <c r="C10" s="19">
        <f>'BS SOURCE'!C19</f>
        <v>1455.43</v>
      </c>
      <c r="D10" s="19">
        <f>'BS SOURCE'!D19</f>
        <v>1482.15</v>
      </c>
      <c r="E10" s="19">
        <f>'BS SOURCE'!E19</f>
        <v>1915.26</v>
      </c>
      <c r="F10" s="19">
        <f>'BS SOURCE'!F19</f>
        <v>2017.95</v>
      </c>
      <c r="G10" s="20">
        <f>-G11*'P&amp;L ASSUMPTION'!H14/365</f>
        <v>2138.851723904329</v>
      </c>
      <c r="H10" s="20">
        <f>-H11*'P&amp;L ASSUMPTION'!I14/365</f>
        <v>2438.2909652509352</v>
      </c>
      <c r="I10" s="20">
        <f>-I11*'P&amp;L ASSUMPTION'!J14/365</f>
        <v>2779.6517003860668</v>
      </c>
      <c r="J10" s="20">
        <f>-J11*'P&amp;L ASSUMPTION'!K14/365</f>
        <v>3168.8029384401166</v>
      </c>
      <c r="K10" s="20">
        <f>-K11*'P&amp;L ASSUMPTION'!L14/365</f>
        <v>3612.4353498217338</v>
      </c>
    </row>
    <row r="11" spans="1:12" ht="18" x14ac:dyDescent="0.35">
      <c r="A11" s="21" t="s">
        <v>121</v>
      </c>
      <c r="B11" s="40">
        <f>-B10/'P&amp;L ASSUMPTION'!B14*365</f>
        <v>159.8629834940451</v>
      </c>
      <c r="C11" s="40">
        <f>-C10/'P&amp;L ASSUMPTION'!C14*365</f>
        <v>152.85710791718819</v>
      </c>
      <c r="D11" s="40">
        <f>-D10/'P&amp;L ASSUMPTION'!D14*365</f>
        <v>144.96966538128635</v>
      </c>
      <c r="E11" s="40">
        <f>-E10/'P&amp;L ASSUMPTION'!E14*365</f>
        <v>174.82953948651772</v>
      </c>
      <c r="F11" s="40">
        <f>-F10/'P&amp;L ASSUMPTION'!F14*365</f>
        <v>154.53906951566472</v>
      </c>
      <c r="G11" s="33">
        <f>F11</f>
        <v>154.53906951566472</v>
      </c>
      <c r="H11" s="33">
        <f t="shared" ref="H11:K11" si="2">G11</f>
        <v>154.53906951566472</v>
      </c>
      <c r="I11" s="33">
        <f t="shared" si="2"/>
        <v>154.53906951566472</v>
      </c>
      <c r="J11" s="33">
        <f t="shared" si="2"/>
        <v>154.53906951566472</v>
      </c>
      <c r="K11" s="33">
        <f t="shared" si="2"/>
        <v>154.53906951566472</v>
      </c>
    </row>
    <row r="12" spans="1:12" ht="18" x14ac:dyDescent="0.35">
      <c r="A12" s="14"/>
      <c r="B12" s="19"/>
      <c r="C12" s="19"/>
      <c r="D12" s="19"/>
      <c r="E12" s="19"/>
      <c r="F12" s="19"/>
      <c r="G12" s="34"/>
      <c r="H12" s="34"/>
      <c r="I12" s="34"/>
      <c r="J12" s="34"/>
      <c r="K12" s="34"/>
    </row>
    <row r="13" spans="1:12" ht="18" x14ac:dyDescent="0.35">
      <c r="A13" s="14" t="s">
        <v>122</v>
      </c>
      <c r="B13" s="19">
        <f>B5+B8-B11</f>
        <v>16.199850338244431</v>
      </c>
      <c r="C13" s="19">
        <f>C5+C8-C11</f>
        <v>19.868961429038308</v>
      </c>
      <c r="D13" s="19">
        <f t="shared" ref="D13:F13" si="3">D5+D8-D11</f>
        <v>24.493878285034668</v>
      </c>
      <c r="E13" s="19">
        <f t="shared" si="3"/>
        <v>5.0726611354785973</v>
      </c>
      <c r="F13" s="19">
        <f t="shared" si="3"/>
        <v>13.6591204657758</v>
      </c>
      <c r="G13" s="20">
        <f>G5+G8-G11</f>
        <v>13.6591204657758</v>
      </c>
      <c r="H13" s="20">
        <f>H5+H8-H11</f>
        <v>13.6591204657758</v>
      </c>
      <c r="I13" s="20">
        <f t="shared" ref="I13:K13" si="4">I5+I8-I11</f>
        <v>13.6591204657758</v>
      </c>
      <c r="J13" s="20">
        <f t="shared" si="4"/>
        <v>13.6591204657758</v>
      </c>
      <c r="K13" s="20">
        <f t="shared" si="4"/>
        <v>13.6591204657758</v>
      </c>
    </row>
    <row r="14" spans="1:12" ht="18" x14ac:dyDescent="0.35">
      <c r="A14" s="21"/>
      <c r="B14" s="35"/>
      <c r="C14" s="35"/>
      <c r="D14" s="35"/>
      <c r="E14" s="35"/>
      <c r="F14" s="35"/>
      <c r="G14" s="36"/>
      <c r="H14" s="36"/>
      <c r="I14" s="36"/>
      <c r="J14" s="36"/>
      <c r="K14" s="36"/>
    </row>
    <row r="15" spans="1:12" ht="18" x14ac:dyDescent="0.35">
      <c r="A15" s="14" t="s">
        <v>124</v>
      </c>
      <c r="B15" s="41">
        <f>SUM('BS SOURCE'!B26:B28)</f>
        <v>1658.08</v>
      </c>
      <c r="C15" s="41">
        <f>SUM('BS SOURCE'!C26:C28)</f>
        <v>1696.75</v>
      </c>
      <c r="D15" s="41">
        <f>SUM('BS SOURCE'!D26:D28)</f>
        <v>2063.2800000000002</v>
      </c>
      <c r="E15" s="41">
        <f>SUM('BS SOURCE'!E26:E28)</f>
        <v>2054.21</v>
      </c>
      <c r="F15" s="41">
        <f>SUM('BS SOURCE'!F26:F28)</f>
        <v>2224.25</v>
      </c>
      <c r="G15" s="37">
        <f>G16*'P&amp;L ASSUMPTION'!H7</f>
        <v>2710.6539240000006</v>
      </c>
      <c r="H15" s="37">
        <f>H16*'P&amp;L ASSUMPTION'!I7</f>
        <v>3090.1454733600012</v>
      </c>
      <c r="I15" s="37">
        <f>I16*'P&amp;L ASSUMPTION'!J7</f>
        <v>3522.7658396304014</v>
      </c>
      <c r="J15" s="37">
        <f>J16*'P&amp;L ASSUMPTION'!K7</f>
        <v>4015.9530571786586</v>
      </c>
      <c r="K15" s="37">
        <f>K16*'P&amp;L ASSUMPTION'!L7</f>
        <v>4578.1864851836717</v>
      </c>
    </row>
    <row r="16" spans="1:12" ht="18" x14ac:dyDescent="0.35">
      <c r="A16" s="21" t="s">
        <v>123</v>
      </c>
      <c r="B16" s="38">
        <f>B15/'P&amp;L ASSUMPTION'!B7</f>
        <v>0.21663430809713319</v>
      </c>
      <c r="C16" s="38">
        <f>C15/'P&amp;L ASSUMPTION'!C7</f>
        <v>0.2015324423582176</v>
      </c>
      <c r="D16" s="38">
        <f>D15/'P&amp;L ASSUMPTION'!D7</f>
        <v>0.23980697170592011</v>
      </c>
      <c r="E16" s="38">
        <f>E15/'P&amp;L ASSUMPTION'!E7</f>
        <v>0.21639754929019589</v>
      </c>
      <c r="F16" s="38">
        <f>F15/'P&amp;L ASSUMPTION'!F7</f>
        <v>0.20579606089176286</v>
      </c>
      <c r="G16" s="38">
        <v>0.22</v>
      </c>
      <c r="H16" s="38">
        <v>0.22</v>
      </c>
      <c r="I16" s="38">
        <v>0.22</v>
      </c>
      <c r="J16" s="38">
        <v>0.22</v>
      </c>
      <c r="K16" s="38">
        <v>0.22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F775-2E5C-4016-ADAF-BAB5A2762FF1}">
  <dimension ref="B7"/>
  <sheetViews>
    <sheetView workbookViewId="0">
      <selection activeCell="B7" sqref="B7"/>
    </sheetView>
  </sheetViews>
  <sheetFormatPr defaultRowHeight="14.4" x14ac:dyDescent="0.3"/>
  <sheetData>
    <row r="7" spans="2:2" ht="51.6" x14ac:dyDescent="0.95">
      <c r="B7" s="102" t="s">
        <v>190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FEBC-7091-4E60-B3B6-053C0526C671}">
  <dimension ref="A1:K14"/>
  <sheetViews>
    <sheetView workbookViewId="0">
      <selection activeCell="B3" sqref="B3:K3"/>
    </sheetView>
  </sheetViews>
  <sheetFormatPr defaultRowHeight="14.4" x14ac:dyDescent="0.3"/>
  <cols>
    <col min="1" max="1" width="46.5546875" bestFit="1" customWidth="1"/>
    <col min="2" max="2" width="44.109375" bestFit="1" customWidth="1"/>
    <col min="3" max="5" width="10.6640625" bestFit="1" customWidth="1"/>
    <col min="6" max="6" width="11.88671875" bestFit="1" customWidth="1"/>
    <col min="7" max="7" width="9.88671875" bestFit="1" customWidth="1"/>
    <col min="8" max="11" width="11.88671875" bestFit="1" customWidth="1"/>
  </cols>
  <sheetData>
    <row r="1" spans="1:11" ht="18" x14ac:dyDescent="0.35">
      <c r="A1" s="13" t="s">
        <v>125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8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54.6" thickBot="1" x14ac:dyDescent="0.4">
      <c r="A3" s="16" t="s">
        <v>126</v>
      </c>
      <c r="B3" s="17" t="s">
        <v>98</v>
      </c>
      <c r="C3" s="17" t="s">
        <v>108</v>
      </c>
      <c r="D3" s="17" t="s">
        <v>107</v>
      </c>
      <c r="E3" s="17" t="s">
        <v>106</v>
      </c>
      <c r="F3" s="17" t="s">
        <v>105</v>
      </c>
      <c r="G3" s="18" t="s">
        <v>99</v>
      </c>
      <c r="H3" s="18" t="s">
        <v>109</v>
      </c>
      <c r="I3" s="18" t="s">
        <v>110</v>
      </c>
      <c r="J3" s="18" t="s">
        <v>111</v>
      </c>
      <c r="K3" s="18" t="s">
        <v>112</v>
      </c>
    </row>
    <row r="4" spans="1:11" ht="18" x14ac:dyDescent="0.35">
      <c r="A4" s="14" t="s">
        <v>127</v>
      </c>
      <c r="B4" s="19">
        <f>'P&amp;L ASSUMPTION'!B7</f>
        <v>7653.82</v>
      </c>
      <c r="C4" s="19">
        <f>'P&amp;L ASSUMPTION'!C7</f>
        <v>8419.24</v>
      </c>
      <c r="D4" s="19">
        <f>'P&amp;L ASSUMPTION'!D7</f>
        <v>8603.92</v>
      </c>
      <c r="E4" s="19">
        <f>'P&amp;L ASSUMPTION'!E7</f>
        <v>9492.76</v>
      </c>
      <c r="F4" s="19">
        <f>'P&amp;L ASSUMPTION'!F7</f>
        <v>10808.03</v>
      </c>
      <c r="G4" s="19">
        <f>'P&amp;L ASSUMPTION'!H7</f>
        <v>12321.154200000003</v>
      </c>
      <c r="H4" s="19">
        <f>'P&amp;L ASSUMPTION'!I7</f>
        <v>14046.115788000005</v>
      </c>
      <c r="I4" s="19">
        <f>'P&amp;L ASSUMPTION'!J7</f>
        <v>16012.571998320007</v>
      </c>
      <c r="J4" s="19">
        <f>'P&amp;L ASSUMPTION'!K7</f>
        <v>18254.332078084812</v>
      </c>
      <c r="K4" s="19">
        <f>'P&amp;L ASSUMPTION'!L7</f>
        <v>20809.938569016689</v>
      </c>
    </row>
    <row r="5" spans="1:11" ht="18" x14ac:dyDescent="0.35">
      <c r="A5" s="14" t="s">
        <v>128</v>
      </c>
      <c r="B5" s="19">
        <f>'P&amp;L ASSUMPTION'!B14</f>
        <v>-3220.05</v>
      </c>
      <c r="C5" s="19">
        <f>'P&amp;L ASSUMPTION'!C14</f>
        <v>-3475.35</v>
      </c>
      <c r="D5" s="19">
        <f>'P&amp;L ASSUMPTION'!D14</f>
        <v>-3731.71</v>
      </c>
      <c r="E5" s="19">
        <f>'P&amp;L ASSUMPTION'!E14</f>
        <v>-3998.58</v>
      </c>
      <c r="F5" s="19">
        <f>'P&amp;L ASSUMPTION'!F14</f>
        <v>-4766.12</v>
      </c>
      <c r="G5" s="20">
        <f>'P&amp;L ASSUMPTION'!H14</f>
        <v>-5051.6732220000004</v>
      </c>
      <c r="H5" s="20">
        <f>'P&amp;L ASSUMPTION'!I14</f>
        <v>-5758.9074730800012</v>
      </c>
      <c r="I5" s="20">
        <f>'P&amp;L ASSUMPTION'!J14</f>
        <v>-6565.1545193112024</v>
      </c>
      <c r="J5" s="20">
        <f>'P&amp;L ASSUMPTION'!K14</f>
        <v>-7484.2761520147724</v>
      </c>
      <c r="K5" s="20">
        <f>'P&amp;L ASSUMPTION'!L14</f>
        <v>-8532.074813296842</v>
      </c>
    </row>
    <row r="6" spans="1:11" ht="18" x14ac:dyDescent="0.35">
      <c r="A6" s="42" t="s">
        <v>129</v>
      </c>
      <c r="B6" s="43">
        <f t="shared" ref="B6" si="0">SUM(B4:B5)</f>
        <v>4433.7699999999995</v>
      </c>
      <c r="C6" s="43">
        <f t="shared" ref="C6:F6" si="1">SUM(C4:C5)</f>
        <v>4943.8899999999994</v>
      </c>
      <c r="D6" s="43">
        <f t="shared" si="1"/>
        <v>4872.21</v>
      </c>
      <c r="E6" s="43">
        <f t="shared" si="1"/>
        <v>5494.18</v>
      </c>
      <c r="F6" s="43">
        <f t="shared" si="1"/>
        <v>6041.9100000000008</v>
      </c>
      <c r="G6" s="44">
        <f>SUM(G4:G5)</f>
        <v>7269.4809780000023</v>
      </c>
      <c r="H6" s="44">
        <f t="shared" ref="H6:K6" si="2">SUM(H4:H5)</f>
        <v>8287.2083149200043</v>
      </c>
      <c r="I6" s="44">
        <f t="shared" si="2"/>
        <v>9447.4174790088036</v>
      </c>
      <c r="J6" s="44">
        <f t="shared" si="2"/>
        <v>10770.055926070039</v>
      </c>
      <c r="K6" s="44">
        <f t="shared" si="2"/>
        <v>12277.863755719847</v>
      </c>
    </row>
    <row r="7" spans="1:11" ht="18" x14ac:dyDescent="0.35">
      <c r="A7" s="14" t="s">
        <v>113</v>
      </c>
      <c r="B7" s="19">
        <f>'P&amp;L ASSUMPTION'!B21</f>
        <v>-792.79</v>
      </c>
      <c r="C7" s="19">
        <f>'P&amp;L ASSUMPTION'!C21</f>
        <v>-937.91</v>
      </c>
      <c r="D7" s="19">
        <f>'P&amp;L ASSUMPTION'!D21</f>
        <v>-947.74</v>
      </c>
      <c r="E7" s="19">
        <f>'P&amp;L ASSUMPTION'!E21</f>
        <v>-1033.46</v>
      </c>
      <c r="F7" s="19">
        <f>'P&amp;L ASSUMPTION'!F21</f>
        <v>-1079.95</v>
      </c>
      <c r="G7" s="20">
        <f>'P&amp;L ASSUMPTION'!H21</f>
        <v>-1232.1154200000003</v>
      </c>
      <c r="H7" s="20">
        <f>'P&amp;L ASSUMPTION'!I21</f>
        <v>-1404.6115788000006</v>
      </c>
      <c r="I7" s="20">
        <f>'P&amp;L ASSUMPTION'!J21</f>
        <v>-1601.2571998320009</v>
      </c>
      <c r="J7" s="20">
        <f>'P&amp;L ASSUMPTION'!K21</f>
        <v>-1825.4332078084813</v>
      </c>
      <c r="K7" s="20">
        <f>'P&amp;L ASSUMPTION'!L21</f>
        <v>-2080.993856901669</v>
      </c>
    </row>
    <row r="8" spans="1:11" ht="18" x14ac:dyDescent="0.35">
      <c r="A8" s="14" t="s">
        <v>15</v>
      </c>
      <c r="B8" s="19">
        <f>'P&amp;L ASSUMPTION'!B28</f>
        <v>-1491.7</v>
      </c>
      <c r="C8" s="19">
        <f>'P&amp;L ASSUMPTION'!C28</f>
        <v>-1546.55</v>
      </c>
      <c r="D8" s="19">
        <f>'P&amp;L ASSUMPTION'!D28</f>
        <v>-1603.26</v>
      </c>
      <c r="E8" s="19">
        <f>'P&amp;L ASSUMPTION'!E28</f>
        <v>-1736.55</v>
      </c>
      <c r="F8" s="19">
        <f>'P&amp;L ASSUMPTION'!F28</f>
        <v>-1915.23</v>
      </c>
      <c r="G8" s="20">
        <f>'P&amp;L ASSUMPTION'!H28</f>
        <v>-2217.8077560000006</v>
      </c>
      <c r="H8" s="20">
        <f>'P&amp;L ASSUMPTION'!I28</f>
        <v>-2528.3008418400009</v>
      </c>
      <c r="I8" s="20">
        <f>'P&amp;L ASSUMPTION'!J28</f>
        <v>-2882.2629596976012</v>
      </c>
      <c r="J8" s="20">
        <f>'P&amp;L ASSUMPTION'!K28</f>
        <v>-3285.779774055266</v>
      </c>
      <c r="K8" s="20">
        <f>'P&amp;L ASSUMPTION'!L28</f>
        <v>-3745.7889424230038</v>
      </c>
    </row>
    <row r="9" spans="1:11" ht="18" x14ac:dyDescent="0.35">
      <c r="A9" s="42" t="s">
        <v>130</v>
      </c>
      <c r="B9" s="43">
        <f t="shared" ref="B9:K9" si="3">B6+SUM(B7:B8)</f>
        <v>2149.2799999999997</v>
      </c>
      <c r="C9" s="43">
        <f t="shared" si="3"/>
        <v>2459.4299999999994</v>
      </c>
      <c r="D9" s="43">
        <f t="shared" si="3"/>
        <v>2321.21</v>
      </c>
      <c r="E9" s="43">
        <f t="shared" si="3"/>
        <v>2724.17</v>
      </c>
      <c r="F9" s="43">
        <f t="shared" si="3"/>
        <v>3046.7300000000005</v>
      </c>
      <c r="G9" s="43">
        <f t="shared" si="3"/>
        <v>3819.5578020000012</v>
      </c>
      <c r="H9" s="43">
        <f t="shared" si="3"/>
        <v>4354.2958942800033</v>
      </c>
      <c r="I9" s="43">
        <f t="shared" si="3"/>
        <v>4963.8973194792015</v>
      </c>
      <c r="J9" s="43">
        <f t="shared" si="3"/>
        <v>5658.8429442062916</v>
      </c>
      <c r="K9" s="43">
        <f t="shared" si="3"/>
        <v>6451.0809563951743</v>
      </c>
    </row>
    <row r="10" spans="1:11" ht="18" x14ac:dyDescent="0.35">
      <c r="A10" s="14" t="s">
        <v>131</v>
      </c>
      <c r="B10" s="19">
        <f>'P&amp;L ASSUMPTION'!B35</f>
        <v>-162.18</v>
      </c>
      <c r="C10" s="19">
        <f>'P&amp;L ASSUMPTION'!C35</f>
        <v>-176.9</v>
      </c>
      <c r="D10" s="19">
        <f>'P&amp;L ASSUMPTION'!D35</f>
        <v>-220.45</v>
      </c>
      <c r="E10" s="19">
        <f>'P&amp;L ASSUMPTION'!E35</f>
        <v>-240.13</v>
      </c>
      <c r="F10" s="19">
        <f>'P&amp;L ASSUMPTION'!F35</f>
        <v>-252.89</v>
      </c>
      <c r="G10" s="20">
        <f>'P&amp;L ASSUMPTION'!H35</f>
        <v>-246.42308400000005</v>
      </c>
      <c r="H10" s="20">
        <f>'P&amp;L ASSUMPTION'!I35</f>
        <v>-280.92231576000012</v>
      </c>
      <c r="I10" s="20">
        <f>'P&amp;L ASSUMPTION'!J35</f>
        <v>-320.25143996640014</v>
      </c>
      <c r="J10" s="20">
        <f>'P&amp;L ASSUMPTION'!K35</f>
        <v>-365.08664156169624</v>
      </c>
      <c r="K10" s="20">
        <f>'P&amp;L ASSUMPTION'!L35</f>
        <v>-416.19877138033377</v>
      </c>
    </row>
    <row r="11" spans="1:11" ht="18" x14ac:dyDescent="0.35">
      <c r="A11" s="42" t="s">
        <v>132</v>
      </c>
      <c r="B11" s="43">
        <f>SUM(B9:B10)</f>
        <v>1987.0999999999997</v>
      </c>
      <c r="C11" s="43">
        <f t="shared" ref="C11:F11" si="4">SUM(C9:C10)</f>
        <v>2282.5299999999993</v>
      </c>
      <c r="D11" s="43">
        <f t="shared" si="4"/>
        <v>2100.7600000000002</v>
      </c>
      <c r="E11" s="43">
        <f t="shared" si="4"/>
        <v>2484.04</v>
      </c>
      <c r="F11" s="43">
        <f t="shared" si="4"/>
        <v>2793.8400000000006</v>
      </c>
      <c r="G11" s="44">
        <f>SUM(G9:G10)</f>
        <v>3573.1347180000012</v>
      </c>
      <c r="H11" s="44">
        <f t="shared" ref="H11:K11" si="5">SUM(H9:H10)</f>
        <v>4073.3735785200033</v>
      </c>
      <c r="I11" s="44">
        <f t="shared" si="5"/>
        <v>4643.645879512801</v>
      </c>
      <c r="J11" s="44">
        <f t="shared" si="5"/>
        <v>5293.7563026445951</v>
      </c>
      <c r="K11" s="44">
        <f t="shared" si="5"/>
        <v>6034.8821850148406</v>
      </c>
    </row>
    <row r="12" spans="1:11" ht="18" x14ac:dyDescent="0.35">
      <c r="A12" s="14" t="s">
        <v>133</v>
      </c>
      <c r="B12" s="45">
        <f t="shared" ref="B12" si="6">-B11*B13</f>
        <v>-687.73530999999991</v>
      </c>
      <c r="C12" s="45">
        <f t="shared" ref="C12:F12" si="7">-C11*C13</f>
        <v>-574.51280099999974</v>
      </c>
      <c r="D12" s="45">
        <f t="shared" si="7"/>
        <v>-528.76129200000003</v>
      </c>
      <c r="E12" s="45">
        <f t="shared" si="7"/>
        <v>-625.23286799999994</v>
      </c>
      <c r="F12" s="45">
        <f t="shared" si="7"/>
        <v>-976.16769600000021</v>
      </c>
      <c r="G12" s="27">
        <f>-G11*G13</f>
        <v>-893.28367950000029</v>
      </c>
      <c r="H12" s="27">
        <f t="shared" ref="H12:K12" si="8">-H11*H13</f>
        <v>-1018.3433946300008</v>
      </c>
      <c r="I12" s="27">
        <f t="shared" si="8"/>
        <v>-1160.9114698782003</v>
      </c>
      <c r="J12" s="27">
        <f t="shared" si="8"/>
        <v>-1323.4390756611488</v>
      </c>
      <c r="K12" s="27">
        <f t="shared" si="8"/>
        <v>-1508.7205462537102</v>
      </c>
    </row>
    <row r="13" spans="1:11" ht="18" x14ac:dyDescent="0.35">
      <c r="A13" s="14" t="s">
        <v>134</v>
      </c>
      <c r="B13" s="30">
        <f>'P&amp;L ASSUMPTION'!B42</f>
        <v>0.34610000000000002</v>
      </c>
      <c r="C13" s="30">
        <f>'P&amp;L ASSUMPTION'!C42</f>
        <v>0.25169999999999998</v>
      </c>
      <c r="D13" s="30">
        <f>'P&amp;L ASSUMPTION'!D42</f>
        <v>0.25169999999999998</v>
      </c>
      <c r="E13" s="30">
        <f>'P&amp;L ASSUMPTION'!E42</f>
        <v>0.25169999999999998</v>
      </c>
      <c r="F13" s="30">
        <f>'P&amp;L ASSUMPTION'!F42</f>
        <v>0.34939999999999999</v>
      </c>
      <c r="G13" s="23">
        <f>'P&amp;L ASSUMPTION'!H42</f>
        <v>0.25</v>
      </c>
      <c r="H13" s="23">
        <f>'P&amp;L ASSUMPTION'!I42</f>
        <v>0.25</v>
      </c>
      <c r="I13" s="23">
        <f>'P&amp;L ASSUMPTION'!J42</f>
        <v>0.25</v>
      </c>
      <c r="J13" s="23">
        <f>'P&amp;L ASSUMPTION'!K42</f>
        <v>0.25</v>
      </c>
      <c r="K13" s="23">
        <f>'P&amp;L ASSUMPTION'!L42</f>
        <v>0.25</v>
      </c>
    </row>
    <row r="14" spans="1:11" ht="18" x14ac:dyDescent="0.35">
      <c r="A14" s="46" t="s">
        <v>135</v>
      </c>
      <c r="B14" s="47">
        <f t="shared" ref="B14" si="9">SUM(B11:B12)</f>
        <v>1299.3646899999999</v>
      </c>
      <c r="C14" s="47">
        <f t="shared" ref="C14:K14" si="10">SUM(C11:C12)</f>
        <v>1708.0171989999994</v>
      </c>
      <c r="D14" s="47">
        <f t="shared" si="10"/>
        <v>1571.9987080000001</v>
      </c>
      <c r="E14" s="47">
        <f t="shared" si="10"/>
        <v>1858.8071319999999</v>
      </c>
      <c r="F14" s="47">
        <f t="shared" si="10"/>
        <v>1817.6723040000004</v>
      </c>
      <c r="G14" s="47">
        <f t="shared" si="10"/>
        <v>2679.8510385000009</v>
      </c>
      <c r="H14" s="47">
        <f t="shared" si="10"/>
        <v>3055.0301838900023</v>
      </c>
      <c r="I14" s="47">
        <f t="shared" si="10"/>
        <v>3482.7344096346005</v>
      </c>
      <c r="J14" s="47">
        <f t="shared" si="10"/>
        <v>3970.3172269834463</v>
      </c>
      <c r="K14" s="47">
        <f t="shared" si="10"/>
        <v>4526.1616387611302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A39F-2B3E-4E6F-A48C-B6C1B1BDDC7E}">
  <dimension ref="A1:L13"/>
  <sheetViews>
    <sheetView workbookViewId="0">
      <selection activeCell="C3" sqref="C3:K3"/>
    </sheetView>
  </sheetViews>
  <sheetFormatPr defaultRowHeight="14.4" x14ac:dyDescent="0.3"/>
  <cols>
    <col min="1" max="1" width="34.5546875" bestFit="1" customWidth="1"/>
    <col min="2" max="2" width="44.109375" bestFit="1" customWidth="1"/>
    <col min="3" max="3" width="11.77734375" bestFit="1" customWidth="1"/>
    <col min="4" max="6" width="9.88671875" bestFit="1" customWidth="1"/>
    <col min="7" max="11" width="11.88671875" bestFit="1" customWidth="1"/>
  </cols>
  <sheetData>
    <row r="1" spans="1:12" ht="18" x14ac:dyDescent="0.35">
      <c r="A1" s="13" t="s">
        <v>136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2" ht="18" x14ac:dyDescent="0.3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2" ht="36.6" thickBot="1" x14ac:dyDescent="0.4">
      <c r="A3" s="16" t="s">
        <v>97</v>
      </c>
      <c r="B3" s="17" t="s">
        <v>98</v>
      </c>
      <c r="C3" s="17" t="s">
        <v>108</v>
      </c>
      <c r="D3" s="17" t="s">
        <v>107</v>
      </c>
      <c r="E3" s="17" t="s">
        <v>106</v>
      </c>
      <c r="F3" s="17" t="s">
        <v>105</v>
      </c>
      <c r="G3" s="18" t="s">
        <v>99</v>
      </c>
      <c r="H3" s="18" t="s">
        <v>109</v>
      </c>
      <c r="I3" s="18" t="s">
        <v>110</v>
      </c>
      <c r="J3" s="18" t="s">
        <v>111</v>
      </c>
      <c r="K3" s="18" t="s">
        <v>112</v>
      </c>
    </row>
    <row r="4" spans="1:12" ht="18" x14ac:dyDescent="0.35">
      <c r="A4" s="14" t="s">
        <v>137</v>
      </c>
      <c r="B4" s="19"/>
      <c r="C4" s="19">
        <f>B7</f>
        <v>1658.08</v>
      </c>
      <c r="D4" s="19">
        <f t="shared" ref="D4:K4" si="0">C7</f>
        <v>1696.75</v>
      </c>
      <c r="E4" s="19">
        <f t="shared" si="0"/>
        <v>2063.2800000000002</v>
      </c>
      <c r="F4" s="19">
        <f t="shared" si="0"/>
        <v>2054.21</v>
      </c>
      <c r="G4" s="19">
        <f t="shared" si="0"/>
        <v>2224.25</v>
      </c>
      <c r="H4" s="19">
        <f t="shared" si="0"/>
        <v>2710.6539240000006</v>
      </c>
      <c r="I4" s="19">
        <f t="shared" si="0"/>
        <v>3090.1454733600012</v>
      </c>
      <c r="J4" s="19">
        <f t="shared" si="0"/>
        <v>3522.7658396304014</v>
      </c>
      <c r="K4" s="19">
        <f t="shared" si="0"/>
        <v>4015.9530571786586</v>
      </c>
    </row>
    <row r="5" spans="1:12" ht="18" x14ac:dyDescent="0.35">
      <c r="A5" s="14" t="s">
        <v>138</v>
      </c>
      <c r="B5" s="19">
        <f>'P&amp;L ASSUMPTION'!B35</f>
        <v>-162.18</v>
      </c>
      <c r="C5" s="19">
        <f>'P&amp;L ASSUMPTION'!C35</f>
        <v>-176.9</v>
      </c>
      <c r="D5" s="19">
        <f>'P&amp;L ASSUMPTION'!D35</f>
        <v>-220.45</v>
      </c>
      <c r="E5" s="19">
        <f>'P&amp;L ASSUMPTION'!E35</f>
        <v>-240.13</v>
      </c>
      <c r="F5" s="19">
        <f>'P&amp;L ASSUMPTION'!F35</f>
        <v>-252.89</v>
      </c>
      <c r="G5" s="19">
        <f>'P&amp;L ASSUMPTION'!H35</f>
        <v>-246.42308400000005</v>
      </c>
      <c r="H5" s="19">
        <f>'P&amp;L ASSUMPTION'!I35</f>
        <v>-280.92231576000012</v>
      </c>
      <c r="I5" s="19">
        <f>'P&amp;L ASSUMPTION'!J35</f>
        <v>-320.25143996640014</v>
      </c>
      <c r="J5" s="19">
        <f>'P&amp;L ASSUMPTION'!K35</f>
        <v>-365.08664156169624</v>
      </c>
      <c r="K5" s="19">
        <f>'P&amp;L ASSUMPTION'!L35</f>
        <v>-416.19877138033377</v>
      </c>
    </row>
    <row r="6" spans="1:12" ht="18" x14ac:dyDescent="0.35">
      <c r="A6" s="14" t="s">
        <v>139</v>
      </c>
      <c r="B6" s="19"/>
      <c r="C6" s="19">
        <f>C7-C4-C5</f>
        <v>215.57000000000008</v>
      </c>
      <c r="D6" s="19">
        <f t="shared" ref="D6:K6" si="1">D7-D4-D5</f>
        <v>586.98000000000025</v>
      </c>
      <c r="E6" s="19">
        <f t="shared" si="1"/>
        <v>231.05999999999983</v>
      </c>
      <c r="F6" s="19">
        <f t="shared" si="1"/>
        <v>422.92999999999995</v>
      </c>
      <c r="G6" s="19">
        <f>G7-G4-G5</f>
        <v>732.82700800000066</v>
      </c>
      <c r="H6" s="19">
        <f>H7-H4-H5</f>
        <v>660.41386512000076</v>
      </c>
      <c r="I6" s="19">
        <f t="shared" si="1"/>
        <v>752.87180623680024</v>
      </c>
      <c r="J6" s="19">
        <f t="shared" si="1"/>
        <v>858.27385910995349</v>
      </c>
      <c r="K6" s="19">
        <f t="shared" si="1"/>
        <v>978.43219938534685</v>
      </c>
    </row>
    <row r="7" spans="1:12" ht="18.600000000000001" thickBot="1" x14ac:dyDescent="0.4">
      <c r="A7" s="48" t="s">
        <v>143</v>
      </c>
      <c r="B7" s="49">
        <f>'BS ASSUMPTION'!B15</f>
        <v>1658.08</v>
      </c>
      <c r="C7" s="49">
        <f>'BS ASSUMPTION'!C15</f>
        <v>1696.75</v>
      </c>
      <c r="D7" s="49">
        <f>'BS ASSUMPTION'!D15</f>
        <v>2063.2800000000002</v>
      </c>
      <c r="E7" s="49">
        <f>'BS ASSUMPTION'!E15</f>
        <v>2054.21</v>
      </c>
      <c r="F7" s="49">
        <f>'BS ASSUMPTION'!F15</f>
        <v>2224.25</v>
      </c>
      <c r="G7" s="50">
        <f>'BS ASSUMPTION'!G15</f>
        <v>2710.6539240000006</v>
      </c>
      <c r="H7" s="50">
        <f>'BS ASSUMPTION'!H15</f>
        <v>3090.1454733600012</v>
      </c>
      <c r="I7" s="50">
        <f>'BS ASSUMPTION'!I15</f>
        <v>3522.7658396304014</v>
      </c>
      <c r="J7" s="50">
        <f>'BS ASSUMPTION'!J15</f>
        <v>4015.9530571786586</v>
      </c>
      <c r="K7" s="50">
        <f>'BS ASSUMPTION'!K15</f>
        <v>4578.1864851836717</v>
      </c>
    </row>
    <row r="8" spans="1:12" ht="18" x14ac:dyDescent="0.35">
      <c r="A8" s="13"/>
      <c r="B8" s="51"/>
      <c r="C8" s="51"/>
      <c r="D8" s="51"/>
      <c r="E8" s="51"/>
      <c r="F8" s="51"/>
      <c r="G8" s="14"/>
      <c r="H8" s="14"/>
      <c r="I8" s="14"/>
      <c r="J8" s="14"/>
      <c r="K8" s="14"/>
    </row>
    <row r="9" spans="1:12" ht="18" x14ac:dyDescent="0.35">
      <c r="A9" s="14" t="s">
        <v>118</v>
      </c>
      <c r="B9" s="19">
        <f>'BS ASSUMPTION'!B7</f>
        <v>1256.18</v>
      </c>
      <c r="C9" s="19">
        <f>'BS ASSUMPTION'!C7</f>
        <v>1300.53</v>
      </c>
      <c r="D9" s="19">
        <f>'BS ASSUMPTION'!D7</f>
        <v>1379.57</v>
      </c>
      <c r="E9" s="19">
        <f>'BS ASSUMPTION'!E7</f>
        <v>1734.28</v>
      </c>
      <c r="F9" s="19">
        <f>'BS ASSUMPTION'!F7</f>
        <v>1911.37</v>
      </c>
      <c r="G9" s="20">
        <f>'BS ASSUMPTION'!G7</f>
        <v>2025.8861812824982</v>
      </c>
      <c r="H9" s="20">
        <f>'BS ASSUMPTION'!H7</f>
        <v>2309.5102466620483</v>
      </c>
      <c r="I9" s="20">
        <f>'BS ASSUMPTION'!I7</f>
        <v>2632.8416811947359</v>
      </c>
      <c r="J9" s="20">
        <f>'BS ASSUMPTION'!J7</f>
        <v>3001.439516561999</v>
      </c>
      <c r="K9" s="20">
        <f>'BS ASSUMPTION'!K7</f>
        <v>3421.64104888068</v>
      </c>
    </row>
    <row r="10" spans="1:12" ht="18" x14ac:dyDescent="0.35">
      <c r="A10" s="14" t="s">
        <v>140</v>
      </c>
      <c r="B10" s="19">
        <f>'BS ASSUMPTION'!B4</f>
        <v>706.08</v>
      </c>
      <c r="C10" s="19">
        <f>'BS ASSUMPTION'!C4</f>
        <v>833.56</v>
      </c>
      <c r="D10" s="19">
        <f>'BS ASSUMPTION'!D4</f>
        <v>813.89</v>
      </c>
      <c r="E10" s="19">
        <f>'BS ASSUMPTION'!E4</f>
        <v>561.58000000000004</v>
      </c>
      <c r="F10" s="19">
        <f>'BS ASSUMPTION'!F4</f>
        <v>646.15</v>
      </c>
      <c r="G10" s="20">
        <f>'BS ASSUMPTION'!G4</f>
        <v>736.61099999999999</v>
      </c>
      <c r="H10" s="20">
        <f>'BS ASSUMPTION'!H4</f>
        <v>839.73654000000022</v>
      </c>
      <c r="I10" s="20">
        <f>'BS ASSUMPTION'!I4</f>
        <v>957.29965560000028</v>
      </c>
      <c r="J10" s="20">
        <f>'BS ASSUMPTION'!J4</f>
        <v>1091.3216073840006</v>
      </c>
      <c r="K10" s="20">
        <f>'BS ASSUMPTION'!K4</f>
        <v>1244.1066324177609</v>
      </c>
    </row>
    <row r="11" spans="1:12" ht="18" x14ac:dyDescent="0.35">
      <c r="A11" s="14" t="s">
        <v>141</v>
      </c>
      <c r="B11" s="19">
        <f>'BS ASSUMPTION'!B10</f>
        <v>1410.32</v>
      </c>
      <c r="C11" s="19">
        <f>'BS ASSUMPTION'!C10</f>
        <v>1455.43</v>
      </c>
      <c r="D11" s="19">
        <f>'BS ASSUMPTION'!D10</f>
        <v>1482.15</v>
      </c>
      <c r="E11" s="19">
        <f>'BS ASSUMPTION'!E10</f>
        <v>1915.26</v>
      </c>
      <c r="F11" s="19">
        <f>'BS ASSUMPTION'!F10</f>
        <v>2017.95</v>
      </c>
      <c r="G11" s="20">
        <f>'BS ASSUMPTION'!G10</f>
        <v>2138.851723904329</v>
      </c>
      <c r="H11" s="20">
        <f>'BS ASSUMPTION'!H10</f>
        <v>2438.2909652509352</v>
      </c>
      <c r="I11" s="20">
        <f>'BS ASSUMPTION'!I10</f>
        <v>2779.6517003860668</v>
      </c>
      <c r="J11" s="20">
        <f>'BS ASSUMPTION'!J10</f>
        <v>3168.8029384401166</v>
      </c>
      <c r="K11" s="20">
        <f>'BS ASSUMPTION'!K10</f>
        <v>3612.4353498217338</v>
      </c>
      <c r="L11" s="52"/>
    </row>
    <row r="12" spans="1:12" ht="18.600000000000001" thickBot="1" x14ac:dyDescent="0.4">
      <c r="A12" s="48" t="s">
        <v>142</v>
      </c>
      <c r="B12" s="49">
        <f>B9+B10-B11</f>
        <v>551.94000000000028</v>
      </c>
      <c r="C12" s="49">
        <f t="shared" ref="C12:F12" si="2">C9+C10-C11</f>
        <v>678.66000000000008</v>
      </c>
      <c r="D12" s="49">
        <f t="shared" si="2"/>
        <v>711.31</v>
      </c>
      <c r="E12" s="49">
        <f t="shared" si="2"/>
        <v>380.60000000000014</v>
      </c>
      <c r="F12" s="49">
        <f t="shared" si="2"/>
        <v>539.56999999999994</v>
      </c>
      <c r="G12" s="50">
        <f>G9+G10-G11</f>
        <v>623.64545737816934</v>
      </c>
      <c r="H12" s="50">
        <f t="shared" ref="H12:K12" si="3">H9+H10-H11</f>
        <v>710.95582141111345</v>
      </c>
      <c r="I12" s="50">
        <f t="shared" si="3"/>
        <v>810.48963640866941</v>
      </c>
      <c r="J12" s="50">
        <f t="shared" si="3"/>
        <v>923.95818550588274</v>
      </c>
      <c r="K12" s="50">
        <f t="shared" si="3"/>
        <v>1053.3123314767067</v>
      </c>
    </row>
    <row r="13" spans="1:12" ht="18.600000000000001" thickBot="1" x14ac:dyDescent="0.4">
      <c r="A13" s="48" t="s">
        <v>144</v>
      </c>
      <c r="B13" s="49"/>
      <c r="C13" s="49">
        <f>C12-B12</f>
        <v>126.7199999999998</v>
      </c>
      <c r="D13" s="49">
        <f t="shared" ref="D13:F13" si="4">D12-C12</f>
        <v>32.649999999999864</v>
      </c>
      <c r="E13" s="49">
        <f t="shared" si="4"/>
        <v>-330.70999999999981</v>
      </c>
      <c r="F13" s="49">
        <f t="shared" si="4"/>
        <v>158.9699999999998</v>
      </c>
      <c r="G13" s="50">
        <f>G12-F12</f>
        <v>84.075457378169403</v>
      </c>
      <c r="H13" s="50">
        <f t="shared" ref="H13:K13" si="5">H12-G12</f>
        <v>87.310364032944108</v>
      </c>
      <c r="I13" s="50">
        <f t="shared" si="5"/>
        <v>99.533814997555965</v>
      </c>
      <c r="J13" s="50">
        <f t="shared" si="5"/>
        <v>113.46854909721333</v>
      </c>
      <c r="K13" s="50">
        <f t="shared" si="5"/>
        <v>129.35414597082399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EADA-5F16-49EF-8416-4576C1E5259E}">
  <dimension ref="A1:J10"/>
  <sheetViews>
    <sheetView topLeftCell="A55" workbookViewId="0">
      <selection activeCell="B3" sqref="B3:J3"/>
    </sheetView>
  </sheetViews>
  <sheetFormatPr defaultRowHeight="14.4" x14ac:dyDescent="0.3"/>
  <cols>
    <col min="1" max="1" width="38.21875" bestFit="1" customWidth="1"/>
    <col min="2" max="2" width="11.88671875" bestFit="1" customWidth="1"/>
    <col min="3" max="3" width="10.5546875" bestFit="1" customWidth="1"/>
    <col min="4" max="10" width="11.88671875" bestFit="1" customWidth="1"/>
  </cols>
  <sheetData>
    <row r="1" spans="1:10" ht="18" x14ac:dyDescent="0.35">
      <c r="A1" s="53" t="s">
        <v>145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18" x14ac:dyDescent="0.35">
      <c r="A2" s="54"/>
      <c r="B2" s="54"/>
      <c r="C2" s="54"/>
      <c r="D2" s="54"/>
      <c r="E2" s="54"/>
      <c r="F2" s="54"/>
      <c r="G2" s="54"/>
      <c r="H2" s="54"/>
      <c r="I2" s="54"/>
      <c r="J2" s="54"/>
    </row>
    <row r="3" spans="1:10" ht="36.6" thickBot="1" x14ac:dyDescent="0.4">
      <c r="A3" s="16" t="s">
        <v>97</v>
      </c>
      <c r="B3" s="17" t="s">
        <v>108</v>
      </c>
      <c r="C3" s="17" t="s">
        <v>107</v>
      </c>
      <c r="D3" s="17" t="s">
        <v>106</v>
      </c>
      <c r="E3" s="17" t="s">
        <v>105</v>
      </c>
      <c r="F3" s="18" t="s">
        <v>99</v>
      </c>
      <c r="G3" s="18" t="s">
        <v>109</v>
      </c>
      <c r="H3" s="18" t="s">
        <v>110</v>
      </c>
      <c r="I3" s="18" t="s">
        <v>111</v>
      </c>
      <c r="J3" s="18" t="s">
        <v>112</v>
      </c>
    </row>
    <row r="4" spans="1:10" ht="18" x14ac:dyDescent="0.35">
      <c r="A4" s="54" t="s">
        <v>146</v>
      </c>
      <c r="B4" s="57">
        <f>'P&amp;L'!C14</f>
        <v>1708.0171989999994</v>
      </c>
      <c r="C4" s="57">
        <f>'P&amp;L'!D14</f>
        <v>1571.9987080000001</v>
      </c>
      <c r="D4" s="57">
        <f>'P&amp;L'!E14</f>
        <v>1858.8071319999999</v>
      </c>
      <c r="E4" s="57">
        <f>'P&amp;L'!F14</f>
        <v>1817.6723040000004</v>
      </c>
      <c r="F4" s="57">
        <f>'P&amp;L'!G14</f>
        <v>2679.8510385000009</v>
      </c>
      <c r="G4" s="57">
        <f>'P&amp;L'!H14</f>
        <v>3055.0301838900023</v>
      </c>
      <c r="H4" s="57">
        <f>'P&amp;L'!I14</f>
        <v>3482.7344096346005</v>
      </c>
      <c r="I4" s="57">
        <f>'P&amp;L'!J14</f>
        <v>3970.3172269834463</v>
      </c>
      <c r="J4" s="57">
        <f>'P&amp;L'!K14</f>
        <v>4526.1616387611302</v>
      </c>
    </row>
    <row r="5" spans="1:10" ht="18" x14ac:dyDescent="0.35">
      <c r="A5" s="54" t="s">
        <v>147</v>
      </c>
      <c r="B5" s="57">
        <f>-BS!C5</f>
        <v>176.9</v>
      </c>
      <c r="C5" s="57">
        <f>-BS!D5</f>
        <v>220.45</v>
      </c>
      <c r="D5" s="57">
        <f>-BS!E5</f>
        <v>240.13</v>
      </c>
      <c r="E5" s="57">
        <f>-BS!F5</f>
        <v>252.89</v>
      </c>
      <c r="F5" s="57">
        <f>-BS!G5</f>
        <v>246.42308400000005</v>
      </c>
      <c r="G5" s="57">
        <f>-BS!H5</f>
        <v>280.92231576000012</v>
      </c>
      <c r="H5" s="57">
        <f>-BS!I5</f>
        <v>320.25143996640014</v>
      </c>
      <c r="I5" s="57">
        <f>-BS!J5</f>
        <v>365.08664156169624</v>
      </c>
      <c r="J5" s="57">
        <f>-BS!K5</f>
        <v>416.19877138033377</v>
      </c>
    </row>
    <row r="6" spans="1:10" ht="18" x14ac:dyDescent="0.35">
      <c r="A6" s="42" t="s">
        <v>148</v>
      </c>
      <c r="B6" s="43">
        <f>B4+B5</f>
        <v>1884.9171989999995</v>
      </c>
      <c r="C6" s="43">
        <f t="shared" ref="C6:J6" si="0">C4+C5</f>
        <v>1792.4487080000001</v>
      </c>
      <c r="D6" s="43">
        <f t="shared" si="0"/>
        <v>2098.937132</v>
      </c>
      <c r="E6" s="43">
        <f t="shared" si="0"/>
        <v>2070.5623040000005</v>
      </c>
      <c r="F6" s="43">
        <f t="shared" si="0"/>
        <v>2926.2741225000009</v>
      </c>
      <c r="G6" s="43">
        <f t="shared" si="0"/>
        <v>3335.9524996500022</v>
      </c>
      <c r="H6" s="43">
        <f t="shared" si="0"/>
        <v>3802.9858496010006</v>
      </c>
      <c r="I6" s="43">
        <f t="shared" si="0"/>
        <v>4335.4038685451424</v>
      </c>
      <c r="J6" s="43">
        <f t="shared" si="0"/>
        <v>4942.3604101414639</v>
      </c>
    </row>
    <row r="7" spans="1:10" ht="18" x14ac:dyDescent="0.35">
      <c r="A7" s="54" t="s">
        <v>149</v>
      </c>
      <c r="B7" s="57">
        <f>-BS!C6</f>
        <v>-215.57000000000008</v>
      </c>
      <c r="C7" s="57">
        <f>-BS!D6</f>
        <v>-586.98000000000025</v>
      </c>
      <c r="D7" s="57">
        <f>-BS!E6</f>
        <v>-231.05999999999983</v>
      </c>
      <c r="E7" s="57">
        <f>-BS!F6</f>
        <v>-422.92999999999995</v>
      </c>
      <c r="F7" s="57">
        <f>-BS!G6</f>
        <v>-732.82700800000066</v>
      </c>
      <c r="G7" s="57">
        <f>-BS!H6</f>
        <v>-660.41386512000076</v>
      </c>
      <c r="H7" s="57">
        <f>-BS!I6</f>
        <v>-752.87180623680024</v>
      </c>
      <c r="I7" s="57">
        <f>-BS!J6</f>
        <v>-858.27385910995349</v>
      </c>
      <c r="J7" s="57">
        <f>-BS!K6</f>
        <v>-978.43219938534685</v>
      </c>
    </row>
    <row r="8" spans="1:10" ht="18" x14ac:dyDescent="0.35">
      <c r="A8" s="54" t="s">
        <v>151</v>
      </c>
      <c r="B8" s="57">
        <f>-BS!C13</f>
        <v>-126.7199999999998</v>
      </c>
      <c r="C8" s="57">
        <f>-BS!D13</f>
        <v>-32.649999999999864</v>
      </c>
      <c r="D8" s="57">
        <f>-BS!E13</f>
        <v>330.70999999999981</v>
      </c>
      <c r="E8" s="57">
        <f>-BS!F13</f>
        <v>-158.9699999999998</v>
      </c>
      <c r="F8" s="57">
        <f>-BS!G13</f>
        <v>-84.075457378169403</v>
      </c>
      <c r="G8" s="57">
        <f>-BS!H13</f>
        <v>-87.310364032944108</v>
      </c>
      <c r="H8" s="57">
        <f>-BS!I13</f>
        <v>-99.533814997555965</v>
      </c>
      <c r="I8" s="57">
        <f>-BS!J13</f>
        <v>-113.46854909721333</v>
      </c>
      <c r="J8" s="57">
        <f>-BS!K13</f>
        <v>-129.35414597082399</v>
      </c>
    </row>
    <row r="9" spans="1:10" ht="18.600000000000001" thickBot="1" x14ac:dyDescent="0.4">
      <c r="A9" s="55" t="s">
        <v>150</v>
      </c>
      <c r="B9" s="56">
        <f>B6+B7+B8</f>
        <v>1542.6271989999996</v>
      </c>
      <c r="C9" s="56">
        <f t="shared" ref="C9:J9" si="1">C6+C7+C8</f>
        <v>1172.818708</v>
      </c>
      <c r="D9" s="56">
        <f t="shared" si="1"/>
        <v>2198.5871319999997</v>
      </c>
      <c r="E9" s="56">
        <f t="shared" si="1"/>
        <v>1488.6623040000009</v>
      </c>
      <c r="F9" s="56">
        <f t="shared" si="1"/>
        <v>2109.371657121831</v>
      </c>
      <c r="G9" s="56">
        <f t="shared" si="1"/>
        <v>2588.2282704970571</v>
      </c>
      <c r="H9" s="56">
        <f t="shared" si="1"/>
        <v>2950.5802283666444</v>
      </c>
      <c r="I9" s="56">
        <f t="shared" si="1"/>
        <v>3363.6614603379758</v>
      </c>
      <c r="J9" s="56">
        <f t="shared" si="1"/>
        <v>3834.5740647852931</v>
      </c>
    </row>
    <row r="10" spans="1:10" ht="15" thickTop="1" x14ac:dyDescent="0.3"/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E857-14FC-4512-A845-C1541E43C291}">
  <dimension ref="A1:K27"/>
  <sheetViews>
    <sheetView tabSelected="1" topLeftCell="A6" zoomScaleNormal="100" workbookViewId="0">
      <selection activeCell="H11" sqref="H11"/>
    </sheetView>
  </sheetViews>
  <sheetFormatPr defaultRowHeight="14.4" x14ac:dyDescent="0.3"/>
  <cols>
    <col min="1" max="1" width="25.44140625" bestFit="1" customWidth="1"/>
    <col min="2" max="2" width="36" bestFit="1" customWidth="1"/>
    <col min="3" max="3" width="16.5546875" bestFit="1" customWidth="1"/>
    <col min="4" max="6" width="11.88671875" bestFit="1" customWidth="1"/>
    <col min="7" max="10" width="13.33203125" bestFit="1" customWidth="1"/>
    <col min="11" max="11" width="11.88671875" bestFit="1" customWidth="1"/>
  </cols>
  <sheetData>
    <row r="1" spans="1:11" ht="18" x14ac:dyDescent="0.35">
      <c r="A1" s="13" t="s">
        <v>152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8" x14ac:dyDescent="0.3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8" x14ac:dyDescent="0.35">
      <c r="A3" s="14" t="s">
        <v>153</v>
      </c>
      <c r="B3" s="58">
        <f>WACC!C22</f>
        <v>9.9861186292270976E-2</v>
      </c>
      <c r="C3" s="14"/>
      <c r="D3" s="14"/>
      <c r="E3" s="14"/>
      <c r="F3" s="14"/>
      <c r="G3" s="14"/>
      <c r="H3" s="14"/>
      <c r="I3" s="14"/>
      <c r="J3" s="14"/>
      <c r="K3" s="14"/>
    </row>
    <row r="4" spans="1:11" ht="18" x14ac:dyDescent="0.35">
      <c r="A4" s="14" t="s">
        <v>188</v>
      </c>
      <c r="B4" s="59">
        <v>6.9493016568881835E-2</v>
      </c>
      <c r="C4" s="14"/>
      <c r="D4" s="14"/>
      <c r="E4" s="14"/>
      <c r="F4" s="14"/>
      <c r="G4" s="14"/>
      <c r="H4" s="14"/>
      <c r="I4" s="14"/>
      <c r="J4" s="14"/>
      <c r="K4" s="14"/>
    </row>
    <row r="5" spans="1:11" ht="18" x14ac:dyDescent="0.3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 ht="36.6" thickBot="1" x14ac:dyDescent="0.4">
      <c r="A6" s="16" t="s">
        <v>97</v>
      </c>
      <c r="B6" s="17"/>
      <c r="C6" s="17" t="s">
        <v>108</v>
      </c>
      <c r="D6" s="17" t="s">
        <v>107</v>
      </c>
      <c r="E6" s="17" t="s">
        <v>106</v>
      </c>
      <c r="F6" s="17" t="s">
        <v>105</v>
      </c>
      <c r="G6" s="18" t="s">
        <v>99</v>
      </c>
      <c r="H6" s="18" t="s">
        <v>109</v>
      </c>
      <c r="I6" s="18" t="s">
        <v>110</v>
      </c>
      <c r="J6" s="18" t="s">
        <v>111</v>
      </c>
      <c r="K6" s="18" t="s">
        <v>112</v>
      </c>
    </row>
    <row r="7" spans="1:11" ht="18.600000000000001" thickBot="1" x14ac:dyDescent="0.4">
      <c r="A7" s="55" t="s">
        <v>150</v>
      </c>
      <c r="B7" s="14"/>
      <c r="C7" s="19">
        <f>'CASH FLOW'!B9</f>
        <v>1542.6271989999996</v>
      </c>
      <c r="D7" s="19">
        <f>'CASH FLOW'!C9</f>
        <v>1172.818708</v>
      </c>
      <c r="E7" s="19">
        <f>'CASH FLOW'!D9</f>
        <v>2198.5871319999997</v>
      </c>
      <c r="F7" s="19">
        <f>'CASH FLOW'!E9</f>
        <v>1488.6623040000009</v>
      </c>
      <c r="G7" s="19">
        <f>'CASH FLOW'!F9</f>
        <v>2109.371657121831</v>
      </c>
      <c r="H7" s="19">
        <f>'CASH FLOW'!G9</f>
        <v>2588.2282704970571</v>
      </c>
      <c r="I7" s="19">
        <f>'CASH FLOW'!H9</f>
        <v>2950.5802283666444</v>
      </c>
      <c r="J7" s="19">
        <f>'CASH FLOW'!I9</f>
        <v>3363.6614603379758</v>
      </c>
      <c r="K7" s="19">
        <f>'CASH FLOW'!J9</f>
        <v>3834.5740647852931</v>
      </c>
    </row>
    <row r="8" spans="1:11" ht="18.600000000000001" thickTop="1" x14ac:dyDescent="0.35">
      <c r="A8" s="14" t="s">
        <v>154</v>
      </c>
      <c r="B8" s="14"/>
      <c r="C8" s="14"/>
      <c r="D8" s="14"/>
      <c r="E8" s="14"/>
      <c r="F8" s="14"/>
      <c r="G8" s="60">
        <f>1/(1+$B$3)^1</f>
        <v>0.90920564564250894</v>
      </c>
      <c r="H8" s="60">
        <f>1/(1+$B$3)^2</f>
        <v>0.82665490606821157</v>
      </c>
      <c r="I8" s="60">
        <f>1/(1+$B$3)^3</f>
        <v>0.75159930759529592</v>
      </c>
      <c r="J8" s="60">
        <f>1/(1+$B$3)^4</f>
        <v>0.68335833372664367</v>
      </c>
      <c r="K8" s="60">
        <f>1/(1+$B$3)^5</f>
        <v>0.62131325502112222</v>
      </c>
    </row>
    <row r="9" spans="1:11" ht="18.600000000000001" thickBot="1" x14ac:dyDescent="0.4">
      <c r="A9" s="61" t="s">
        <v>155</v>
      </c>
      <c r="B9" s="61"/>
      <c r="C9" s="61"/>
      <c r="D9" s="61"/>
      <c r="E9" s="61"/>
      <c r="F9" s="61"/>
      <c r="G9" s="61">
        <f>G7*G8</f>
        <v>1917.8526194134633</v>
      </c>
      <c r="H9" s="61">
        <f t="shared" ref="H9:K9" si="0">H7*H8</f>
        <v>2139.5715978308344</v>
      </c>
      <c r="I9" s="61">
        <f>I7*I8</f>
        <v>2217.6540566447402</v>
      </c>
      <c r="J9" s="61">
        <f t="shared" si="0"/>
        <v>2298.5860907570882</v>
      </c>
      <c r="K9" s="61">
        <f t="shared" si="0"/>
        <v>2382.4716938113261</v>
      </c>
    </row>
    <row r="10" spans="1:11" ht="18.600000000000001" thickTop="1" x14ac:dyDescent="0.3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 ht="18" x14ac:dyDescent="0.35">
      <c r="A11" s="14" t="s">
        <v>156</v>
      </c>
      <c r="B11" s="45">
        <f>SUM(G9:K9)</f>
        <v>10956.13605845745</v>
      </c>
      <c r="C11" s="28">
        <f>B11/B14</f>
        <v>0.11549675038001503</v>
      </c>
      <c r="D11" s="14"/>
      <c r="E11" s="14"/>
      <c r="F11" s="14"/>
      <c r="G11" s="14"/>
      <c r="H11" s="14"/>
      <c r="I11" s="14"/>
      <c r="J11" s="14"/>
      <c r="K11" s="14"/>
    </row>
    <row r="12" spans="1:11" ht="18" x14ac:dyDescent="0.35">
      <c r="A12" s="14" t="s">
        <v>157</v>
      </c>
      <c r="B12" s="45">
        <f>K7*(1+B4)/(B3-B4)</f>
        <v>135044.36458169061</v>
      </c>
      <c r="C12" s="14"/>
      <c r="D12" s="14"/>
      <c r="E12" s="14"/>
      <c r="F12" s="14"/>
      <c r="G12" s="14"/>
      <c r="H12" s="14"/>
      <c r="I12" s="14"/>
      <c r="J12" s="14"/>
      <c r="K12" s="14"/>
    </row>
    <row r="13" spans="1:11" ht="18.600000000000001" thickBot="1" x14ac:dyDescent="0.4">
      <c r="A13" s="14" t="s">
        <v>158</v>
      </c>
      <c r="B13" s="14">
        <f>B12*K8</f>
        <v>83904.853730509334</v>
      </c>
      <c r="C13" s="28">
        <f>B13/B14</f>
        <v>0.88450324961998505</v>
      </c>
      <c r="E13" s="99">
        <f>B14</f>
        <v>94860.989788966777</v>
      </c>
      <c r="F13" s="63">
        <v>6.9000000000000006E-2</v>
      </c>
      <c r="G13" s="63">
        <v>7.9000000000000001E-2</v>
      </c>
      <c r="H13" s="63">
        <v>8.8999999999999996E-2</v>
      </c>
      <c r="I13" s="63">
        <v>9.9000000000000005E-2</v>
      </c>
      <c r="J13" s="63">
        <v>0.109</v>
      </c>
      <c r="K13" s="14"/>
    </row>
    <row r="14" spans="1:11" ht="19.2" thickTop="1" thickBot="1" x14ac:dyDescent="0.4">
      <c r="A14" s="99" t="s">
        <v>159</v>
      </c>
      <c r="B14" s="99">
        <f>B11+B13</f>
        <v>94860.989788966777</v>
      </c>
      <c r="C14" s="14"/>
      <c r="D14" s="14"/>
      <c r="E14" s="63">
        <v>0.08</v>
      </c>
      <c r="F14" s="19">
        <f t="dataTable" ref="F14:J18" dt2D="1" dtr="1" r1="B4" r2="B3"/>
        <v>265216.44145045208</v>
      </c>
      <c r="G14" s="19">
        <v>2827513.1781561142</v>
      </c>
      <c r="H14" s="19">
        <v>-304182.83337302925</v>
      </c>
      <c r="I14" s="19">
        <v>-139356.72750307401</v>
      </c>
      <c r="J14" s="19">
        <v>-88203.798095156963</v>
      </c>
      <c r="K14" s="14"/>
    </row>
    <row r="15" spans="1:11" ht="18.600000000000001" thickTop="1" x14ac:dyDescent="0.35">
      <c r="A15" s="14" t="s">
        <v>160</v>
      </c>
      <c r="B15" s="14">
        <f>WACC!C29</f>
        <v>867.65</v>
      </c>
      <c r="C15" s="14"/>
      <c r="D15" s="14"/>
      <c r="E15" s="63">
        <v>0.09</v>
      </c>
      <c r="F15" s="19">
        <v>138132.52382549943</v>
      </c>
      <c r="G15" s="19">
        <v>255730.31348743229</v>
      </c>
      <c r="H15" s="19">
        <v>2725283.8963880199</v>
      </c>
      <c r="I15" s="19">
        <v>-293059.37160158751</v>
      </c>
      <c r="J15" s="19">
        <v>-134199.19960213458</v>
      </c>
      <c r="K15" s="14"/>
    </row>
    <row r="16" spans="1:11" ht="18" x14ac:dyDescent="0.35">
      <c r="A16" s="21" t="s">
        <v>161</v>
      </c>
      <c r="B16" s="14"/>
      <c r="C16" s="14"/>
      <c r="D16" s="14"/>
      <c r="E16" s="63">
        <v>0.1</v>
      </c>
      <c r="F16" s="19">
        <v>93056.872596264584</v>
      </c>
      <c r="G16" s="19">
        <v>133288.29628047784</v>
      </c>
      <c r="H16" s="19">
        <v>246667.76302689704</v>
      </c>
      <c r="I16" s="19">
        <v>2627636.5647017006</v>
      </c>
      <c r="J16" s="19">
        <v>-282436.41512305982</v>
      </c>
      <c r="K16" s="14"/>
    </row>
    <row r="17" spans="1:11" ht="18" x14ac:dyDescent="0.35">
      <c r="A17" s="14" t="str">
        <f>'BS SOURCE'!A30</f>
        <v>Non-Current Investments</v>
      </c>
      <c r="B17" s="14">
        <f>'BS SOURCE'!F30</f>
        <v>5365.06</v>
      </c>
      <c r="C17" s="14"/>
      <c r="D17" s="14"/>
      <c r="E17" s="63">
        <v>0.11</v>
      </c>
      <c r="F17" s="19">
        <v>69982.788437847121</v>
      </c>
      <c r="G17" s="19">
        <v>89856.531231923975</v>
      </c>
      <c r="H17" s="19">
        <v>128657.64811559784</v>
      </c>
      <c r="I17" s="19">
        <v>238006.2502423152</v>
      </c>
      <c r="J17" s="19">
        <v>2534326.8949033753</v>
      </c>
      <c r="K17" s="14"/>
    </row>
    <row r="18" spans="1:11" ht="18" x14ac:dyDescent="0.35">
      <c r="A18" s="14" t="str">
        <f>'BS SOURCE'!A31</f>
        <v>Deferred Tax Assets [Net]</v>
      </c>
      <c r="B18" s="14">
        <f>'BS SOURCE'!F31</f>
        <v>0.67</v>
      </c>
      <c r="C18" s="14"/>
      <c r="D18" s="14"/>
      <c r="E18" s="63">
        <v>0.12</v>
      </c>
      <c r="F18" s="19">
        <v>55967.679306222773</v>
      </c>
      <c r="G18" s="19">
        <v>67622.108484383236</v>
      </c>
      <c r="H18" s="19">
        <v>86795.524229098824</v>
      </c>
      <c r="I18" s="19">
        <v>124229.33592116265</v>
      </c>
      <c r="J18" s="19">
        <v>229724.62341697878</v>
      </c>
      <c r="K18" s="14"/>
    </row>
    <row r="19" spans="1:11" ht="18" x14ac:dyDescent="0.35">
      <c r="A19" s="14" t="str">
        <f>'BS SOURCE'!A32</f>
        <v>Long Term Loans And Advances</v>
      </c>
      <c r="B19" s="14">
        <f>'BS SOURCE'!F32</f>
        <v>0</v>
      </c>
      <c r="C19" s="14"/>
      <c r="D19" s="14"/>
      <c r="E19" s="14"/>
      <c r="F19" s="14"/>
      <c r="G19" s="14"/>
      <c r="H19" s="14"/>
      <c r="I19" s="14"/>
      <c r="J19" s="14"/>
      <c r="K19" s="14"/>
    </row>
    <row r="20" spans="1:11" ht="18" x14ac:dyDescent="0.35">
      <c r="A20" s="14" t="str">
        <f>'BS SOURCE'!A33</f>
        <v>Other Non-Current Assets</v>
      </c>
      <c r="B20" s="14">
        <f>'BS SOURCE'!F33</f>
        <v>126.56</v>
      </c>
      <c r="C20" s="14"/>
      <c r="D20" s="14"/>
      <c r="E20" s="14"/>
      <c r="F20" s="14"/>
      <c r="G20" s="14"/>
      <c r="H20" s="14"/>
      <c r="I20" s="14"/>
      <c r="J20" s="14"/>
      <c r="K20" s="14"/>
    </row>
    <row r="21" spans="1:11" ht="18" x14ac:dyDescent="0.35">
      <c r="A21" s="14" t="str">
        <f>'BS SOURCE'!A36</f>
        <v>Current Investments</v>
      </c>
      <c r="B21" s="14">
        <f>'BS SOURCE'!F36</f>
        <v>854.56</v>
      </c>
      <c r="C21" s="14"/>
      <c r="D21" s="14"/>
      <c r="E21" s="14"/>
      <c r="F21" s="14"/>
      <c r="G21" s="14"/>
      <c r="H21" s="14"/>
      <c r="I21" s="14"/>
      <c r="J21" s="14"/>
      <c r="K21" s="14"/>
    </row>
    <row r="22" spans="1:11" ht="18" x14ac:dyDescent="0.35">
      <c r="A22" s="14" t="str">
        <f>'BS SOURCE'!A39</f>
        <v>Cash And Cash Equivalents</v>
      </c>
      <c r="B22" s="14">
        <f>'BS SOURCE'!F39</f>
        <v>570.14</v>
      </c>
      <c r="C22" s="14"/>
      <c r="D22" s="14"/>
      <c r="E22" s="14"/>
      <c r="F22" s="14"/>
      <c r="G22" s="14"/>
      <c r="H22" s="14"/>
      <c r="I22" s="14"/>
      <c r="J22" s="14"/>
      <c r="K22" s="14"/>
    </row>
    <row r="23" spans="1:11" ht="18" x14ac:dyDescent="0.35">
      <c r="A23" s="14" t="str">
        <f>'BS SOURCE'!A40</f>
        <v>Short Term Loans And Advances</v>
      </c>
      <c r="B23" s="14">
        <f>'BS SOURCE'!F40</f>
        <v>0</v>
      </c>
      <c r="C23" s="14"/>
      <c r="D23" s="14"/>
      <c r="E23" s="14"/>
      <c r="F23" s="14"/>
      <c r="G23" s="14"/>
      <c r="H23" s="14"/>
      <c r="I23" s="14"/>
      <c r="J23" s="14"/>
      <c r="K23" s="14"/>
    </row>
    <row r="24" spans="1:11" ht="18" x14ac:dyDescent="0.35">
      <c r="A24" s="14" t="str">
        <f>'BS SOURCE'!A41</f>
        <v>OtherCurrentAssets</v>
      </c>
      <c r="B24" s="14">
        <f>'BS SOURCE'!F41</f>
        <v>334.62</v>
      </c>
      <c r="C24" s="14"/>
      <c r="D24" s="14"/>
      <c r="E24" s="14"/>
      <c r="F24" s="14"/>
      <c r="G24" s="14"/>
      <c r="H24" s="14"/>
      <c r="I24" s="14"/>
      <c r="J24" s="14"/>
      <c r="K24" s="14"/>
    </row>
    <row r="25" spans="1:11" ht="18" x14ac:dyDescent="0.35">
      <c r="A25" s="62" t="s">
        <v>162</v>
      </c>
      <c r="B25" s="101">
        <f>B14-B15+SUM(B17:B24)</f>
        <v>101244.94978896678</v>
      </c>
      <c r="C25" s="14"/>
      <c r="D25" s="14"/>
      <c r="E25" s="14"/>
      <c r="F25" s="14"/>
      <c r="G25" s="14"/>
      <c r="H25" s="14"/>
      <c r="I25" s="14"/>
      <c r="J25" s="14"/>
      <c r="K25" s="14"/>
    </row>
    <row r="26" spans="1:11" ht="18" x14ac:dyDescent="0.35">
      <c r="A26" s="14" t="s">
        <v>163</v>
      </c>
      <c r="B26" s="19">
        <f>WACC!C25</f>
        <v>177.20943396226414</v>
      </c>
      <c r="C26" s="14"/>
      <c r="D26" s="14"/>
      <c r="E26" s="14"/>
      <c r="F26" s="14"/>
      <c r="G26" s="14"/>
      <c r="H26" s="14"/>
      <c r="I26" s="14"/>
      <c r="J26" s="14"/>
      <c r="K26" s="14"/>
    </row>
    <row r="27" spans="1:11" ht="18" x14ac:dyDescent="0.35">
      <c r="A27" s="62" t="s">
        <v>164</v>
      </c>
      <c r="B27" s="101">
        <f>B25/B26</f>
        <v>571.32934474880381</v>
      </c>
      <c r="C27" s="14"/>
      <c r="D27" s="14"/>
      <c r="E27" s="14"/>
      <c r="F27" s="14"/>
      <c r="G27" s="14"/>
      <c r="H27" s="14"/>
      <c r="I27" s="14"/>
      <c r="J27" s="14"/>
      <c r="K27" s="14"/>
    </row>
  </sheetData>
  <conditionalFormatting sqref="F14:J18">
    <cfRule type="cellIs" dxfId="0" priority="1" operator="greaterThan">
      <formula>$C$14</formula>
    </cfRule>
  </conditionalFormatting>
  <pageMargins left="0.7" right="0.7" top="0.75" bottom="0.75" header="0.3" footer="0.3"/>
  <pageSetup paperSize="9" orientation="portrait" r:id="rId1"/>
  <ignoredErrors>
    <ignoredError sqref="J16 I15" evalError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5796-8281-4F28-8171-0221AADD052B}">
  <dimension ref="B1:M62"/>
  <sheetViews>
    <sheetView zoomScaleNormal="100" workbookViewId="0">
      <selection activeCell="F12" sqref="F12"/>
    </sheetView>
  </sheetViews>
  <sheetFormatPr defaultRowHeight="14.4" outlineLevelCol="1" x14ac:dyDescent="0.3"/>
  <cols>
    <col min="2" max="2" width="45" bestFit="1" customWidth="1"/>
    <col min="3" max="3" width="13.109375" bestFit="1" customWidth="1"/>
    <col min="4" max="4" width="20.21875" bestFit="1" customWidth="1"/>
    <col min="6" max="6" width="9" customWidth="1"/>
    <col min="7" max="7" width="10.33203125" hidden="1" customWidth="1" outlineLevel="1"/>
    <col min="8" max="12" width="0" hidden="1" customWidth="1" outlineLevel="1"/>
    <col min="13" max="13" width="8.88671875" collapsed="1"/>
  </cols>
  <sheetData>
    <row r="1" spans="2:12" ht="15" thickBot="1" x14ac:dyDescent="0.35"/>
    <row r="2" spans="2:12" ht="72" x14ac:dyDescent="0.35">
      <c r="B2" s="104" t="s">
        <v>165</v>
      </c>
      <c r="C2" s="105"/>
      <c r="G2" s="89" t="s">
        <v>183</v>
      </c>
      <c r="H2" s="91" t="s">
        <v>184</v>
      </c>
      <c r="I2" s="92" t="s">
        <v>185</v>
      </c>
      <c r="J2" s="89"/>
      <c r="K2" s="91" t="s">
        <v>186</v>
      </c>
      <c r="L2" s="92" t="s">
        <v>185</v>
      </c>
    </row>
    <row r="3" spans="2:12" ht="17.399999999999999" x14ac:dyDescent="0.3">
      <c r="B3" s="64"/>
      <c r="C3" s="65"/>
      <c r="G3" s="93">
        <v>43191</v>
      </c>
      <c r="H3">
        <v>346.24139400000001</v>
      </c>
      <c r="I3">
        <v>9496.4873050000006</v>
      </c>
      <c r="K3" s="94">
        <f t="shared" ref="K3:L5" si="0">H4/H3-1</f>
        <v>3.7628735979499783E-2</v>
      </c>
      <c r="L3" s="94">
        <f t="shared" si="0"/>
        <v>-1.9075515522947506E-2</v>
      </c>
    </row>
    <row r="4" spans="2:12" ht="18.600000000000001" thickBot="1" x14ac:dyDescent="0.4">
      <c r="B4" s="66" t="s">
        <v>166</v>
      </c>
      <c r="C4" s="67"/>
      <c r="G4" s="93">
        <v>43221</v>
      </c>
      <c r="H4">
        <v>359.27001999999999</v>
      </c>
      <c r="I4">
        <v>9315.3369139999995</v>
      </c>
      <c r="K4" s="94">
        <f t="shared" si="0"/>
        <v>2.1262664777873752E-2</v>
      </c>
      <c r="L4" s="94">
        <f t="shared" si="0"/>
        <v>-1.6413623942061473E-2</v>
      </c>
    </row>
    <row r="5" spans="2:12" ht="17.399999999999999" x14ac:dyDescent="0.3">
      <c r="B5" s="68" t="s">
        <v>167</v>
      </c>
      <c r="C5" s="69">
        <f>C27/SUM(C27,C29)</f>
        <v>0.99084647792747349</v>
      </c>
      <c r="D5" s="94"/>
      <c r="G5" s="93">
        <v>43252</v>
      </c>
      <c r="H5">
        <v>366.90905800000002</v>
      </c>
      <c r="I5">
        <v>9162.4384769999997</v>
      </c>
      <c r="K5" s="94">
        <f t="shared" si="0"/>
        <v>7.6893579988968286E-2</v>
      </c>
      <c r="L5" s="94">
        <f t="shared" si="0"/>
        <v>5.327713121625588E-2</v>
      </c>
    </row>
    <row r="6" spans="2:12" ht="17.399999999999999" x14ac:dyDescent="0.3">
      <c r="B6" s="70" t="s">
        <v>168</v>
      </c>
      <c r="C6" s="71">
        <f>1-C5</f>
        <v>9.1535220725265098E-3</v>
      </c>
      <c r="G6" s="93">
        <v>43282</v>
      </c>
      <c r="H6">
        <v>395.12200899999999</v>
      </c>
      <c r="I6">
        <v>9650.5869139999995</v>
      </c>
      <c r="K6" s="94">
        <f t="shared" ref="K6:K61" si="1">H7/H6-1</f>
        <v>0.16599502560233237</v>
      </c>
      <c r="L6" s="94">
        <f t="shared" ref="L6:L61" si="2">I7/I6-1</f>
        <v>3.5376127280376535E-2</v>
      </c>
    </row>
    <row r="7" spans="2:12" ht="17.399999999999999" x14ac:dyDescent="0.3">
      <c r="B7" s="72"/>
      <c r="C7" s="73"/>
      <c r="G7" s="93">
        <v>43313</v>
      </c>
      <c r="H7">
        <v>460.71029700000003</v>
      </c>
      <c r="I7">
        <v>9991.9873050000006</v>
      </c>
      <c r="K7" s="94">
        <f t="shared" si="1"/>
        <v>-0.10830278881307498</v>
      </c>
      <c r="L7" s="94">
        <f t="shared" si="2"/>
        <v>-8.7670149817108967E-2</v>
      </c>
    </row>
    <row r="8" spans="2:12" ht="18" thickBot="1" x14ac:dyDescent="0.35">
      <c r="B8" s="74" t="s">
        <v>169</v>
      </c>
      <c r="C8" s="75"/>
      <c r="G8" s="93">
        <v>43344</v>
      </c>
      <c r="H8">
        <v>410.81408699999997</v>
      </c>
      <c r="I8">
        <v>9115.9882809999999</v>
      </c>
      <c r="K8" s="94">
        <f t="shared" si="1"/>
        <v>-9.8735168251423588E-2</v>
      </c>
      <c r="L8" s="94">
        <f t="shared" si="2"/>
        <v>-3.9770762403857463E-2</v>
      </c>
    </row>
    <row r="9" spans="2:12" ht="17.399999999999999" x14ac:dyDescent="0.3">
      <c r="B9" s="76" t="s">
        <v>170</v>
      </c>
      <c r="C9" s="77">
        <v>7.4800000000000005E-2</v>
      </c>
      <c r="G9" s="93">
        <v>43374</v>
      </c>
      <c r="H9">
        <v>370.25228900000002</v>
      </c>
      <c r="I9">
        <v>8753.4384769999997</v>
      </c>
      <c r="K9" s="94">
        <f t="shared" si="1"/>
        <v>6.3287830207040097E-2</v>
      </c>
      <c r="L9" s="94">
        <f t="shared" si="2"/>
        <v>4.0635482380394272E-2</v>
      </c>
    </row>
    <row r="10" spans="2:12" ht="17.399999999999999" x14ac:dyDescent="0.3">
      <c r="B10" s="76" t="s">
        <v>171</v>
      </c>
      <c r="C10" s="78">
        <f>SLOPE(K3:K61,L3:L61)</f>
        <v>0.42266902699127801</v>
      </c>
      <c r="G10" s="93">
        <v>43405</v>
      </c>
      <c r="H10">
        <v>393.684753</v>
      </c>
      <c r="I10">
        <v>9109.1386719999991</v>
      </c>
      <c r="K10" s="94">
        <f t="shared" si="1"/>
        <v>5.6251805108642472E-2</v>
      </c>
      <c r="L10" s="94">
        <f t="shared" si="2"/>
        <v>6.6800617699500631E-3</v>
      </c>
    </row>
    <row r="11" spans="2:12" ht="17.399999999999999" x14ac:dyDescent="0.3">
      <c r="B11" s="76" t="s">
        <v>172</v>
      </c>
      <c r="C11" s="77">
        <v>0.06</v>
      </c>
      <c r="G11" s="93">
        <v>43435</v>
      </c>
      <c r="H11">
        <v>415.83023100000003</v>
      </c>
      <c r="I11">
        <v>9169.9882809999999</v>
      </c>
      <c r="K11" s="94">
        <f t="shared" si="1"/>
        <v>3.0186941843581394E-2</v>
      </c>
      <c r="L11" s="94">
        <f t="shared" si="2"/>
        <v>-1.8118931552427386E-2</v>
      </c>
    </row>
    <row r="12" spans="2:12" ht="17.399999999999999" x14ac:dyDescent="0.3">
      <c r="B12" s="79" t="s">
        <v>173</v>
      </c>
      <c r="C12" s="80">
        <f>C9+C10*C11</f>
        <v>0.10016014161947669</v>
      </c>
      <c r="G12" s="93">
        <v>43466</v>
      </c>
      <c r="H12">
        <v>428.38287400000002</v>
      </c>
      <c r="I12">
        <v>9003.8378909999992</v>
      </c>
      <c r="K12" s="94">
        <f t="shared" si="1"/>
        <v>-1.2622631127872874E-2</v>
      </c>
      <c r="L12" s="94">
        <f t="shared" si="2"/>
        <v>-5.3198885386284145E-3</v>
      </c>
    </row>
    <row r="13" spans="2:12" ht="17.399999999999999" x14ac:dyDescent="0.3">
      <c r="B13" s="76"/>
      <c r="C13" s="81"/>
      <c r="G13" s="93">
        <v>43497</v>
      </c>
      <c r="H13">
        <v>422.97555499999999</v>
      </c>
      <c r="I13">
        <v>8955.9384769999997</v>
      </c>
      <c r="K13" s="94">
        <f t="shared" si="1"/>
        <v>-6.6773071554927066E-2</v>
      </c>
      <c r="L13" s="94">
        <f t="shared" si="2"/>
        <v>7.9025668255492176E-2</v>
      </c>
    </row>
    <row r="14" spans="2:12" ht="17.399999999999999" x14ac:dyDescent="0.3">
      <c r="B14" s="76" t="s">
        <v>174</v>
      </c>
      <c r="C14" s="82">
        <v>0.09</v>
      </c>
      <c r="G14" s="93">
        <v>43525</v>
      </c>
      <c r="H14">
        <v>394.73217799999998</v>
      </c>
      <c r="I14">
        <v>9663.6875</v>
      </c>
      <c r="K14" s="94">
        <f t="shared" si="1"/>
        <v>-2.6174248201270234E-2</v>
      </c>
      <c r="L14" s="94">
        <f t="shared" si="2"/>
        <v>6.2047639682205613E-5</v>
      </c>
    </row>
    <row r="15" spans="2:12" ht="17.399999999999999" x14ac:dyDescent="0.3">
      <c r="B15" s="76" t="s">
        <v>175</v>
      </c>
      <c r="C15" s="82">
        <f>'P&amp;L ASSUMPTION'!H42</f>
        <v>0.25</v>
      </c>
      <c r="G15" s="93">
        <v>43556</v>
      </c>
      <c r="H15">
        <v>384.40035999999998</v>
      </c>
      <c r="I15">
        <v>9664.2871090000008</v>
      </c>
      <c r="K15" s="94">
        <f t="shared" si="1"/>
        <v>-5.4006687194568803E-3</v>
      </c>
      <c r="L15" s="94">
        <f t="shared" si="2"/>
        <v>1.4563929901143524E-2</v>
      </c>
    </row>
    <row r="16" spans="2:12" ht="17.399999999999999" x14ac:dyDescent="0.3">
      <c r="B16" s="79" t="s">
        <v>176</v>
      </c>
      <c r="C16" s="80">
        <f>C14*(1-C15)</f>
        <v>6.7500000000000004E-2</v>
      </c>
      <c r="G16" s="93">
        <v>43586</v>
      </c>
      <c r="H16">
        <v>382.324341</v>
      </c>
      <c r="I16">
        <v>9805.0371090000008</v>
      </c>
      <c r="K16" s="94">
        <f t="shared" si="1"/>
        <v>1.1491374021618928E-2</v>
      </c>
      <c r="L16" s="94">
        <f t="shared" si="2"/>
        <v>-1.5002453062108123E-2</v>
      </c>
    </row>
    <row r="17" spans="2:12" ht="17.399999999999999" x14ac:dyDescent="0.3">
      <c r="B17" s="83"/>
      <c r="C17" s="84"/>
      <c r="G17" s="93">
        <v>43617</v>
      </c>
      <c r="H17">
        <v>386.71777300000002</v>
      </c>
      <c r="I17">
        <v>9657.9375</v>
      </c>
      <c r="K17" s="94">
        <f t="shared" si="1"/>
        <v>6.4794120543303801E-2</v>
      </c>
      <c r="L17" s="94">
        <f t="shared" si="2"/>
        <v>-6.3471007448536509E-2</v>
      </c>
    </row>
    <row r="18" spans="2:12" ht="17.399999999999999" x14ac:dyDescent="0.3">
      <c r="B18" s="83"/>
      <c r="C18" s="84"/>
      <c r="G18" s="93">
        <v>43647</v>
      </c>
      <c r="H18">
        <v>411.774811</v>
      </c>
      <c r="I18">
        <v>9044.9384769999997</v>
      </c>
      <c r="K18" s="94">
        <f t="shared" si="1"/>
        <v>5.2409252395965389E-2</v>
      </c>
      <c r="L18" s="94">
        <f t="shared" si="2"/>
        <v>-7.4517246492487033E-3</v>
      </c>
    </row>
    <row r="19" spans="2:12" ht="17.399999999999999" x14ac:dyDescent="0.3">
      <c r="B19" s="66" t="s">
        <v>177</v>
      </c>
      <c r="C19" s="98">
        <f>C5*C12</f>
        <v>9.9243323552375431E-2</v>
      </c>
      <c r="D19" s="98"/>
      <c r="G19" s="93">
        <v>43678</v>
      </c>
      <c r="H19">
        <v>433.35562099999999</v>
      </c>
      <c r="I19">
        <v>8977.5380860000005</v>
      </c>
      <c r="K19" s="94">
        <f t="shared" si="1"/>
        <v>3.501994497032257E-3</v>
      </c>
      <c r="L19" s="94">
        <f t="shared" si="2"/>
        <v>4.0473190480430743E-2</v>
      </c>
    </row>
    <row r="20" spans="2:12" ht="17.399999999999999" x14ac:dyDescent="0.3">
      <c r="B20" s="66" t="s">
        <v>178</v>
      </c>
      <c r="C20" s="97">
        <f>C6*C16</f>
        <v>6.1786273989553942E-4</v>
      </c>
      <c r="D20" s="97"/>
      <c r="G20" s="93">
        <v>43709</v>
      </c>
      <c r="H20">
        <v>434.87322999999998</v>
      </c>
      <c r="I20">
        <v>9340.8876949999994</v>
      </c>
      <c r="K20" s="94">
        <f t="shared" si="1"/>
        <v>3.2867539351640662E-2</v>
      </c>
      <c r="L20" s="94">
        <f t="shared" si="2"/>
        <v>3.7335851943352205E-2</v>
      </c>
    </row>
    <row r="21" spans="2:12" ht="17.399999999999999" x14ac:dyDescent="0.3">
      <c r="B21" s="76"/>
      <c r="C21" s="81"/>
      <c r="G21" s="93">
        <v>43739</v>
      </c>
      <c r="H21">
        <v>449.16644300000002</v>
      </c>
      <c r="I21">
        <v>9689.6376949999994</v>
      </c>
      <c r="K21" s="94">
        <f t="shared" si="1"/>
        <v>-6.1695370239401859E-3</v>
      </c>
      <c r="L21" s="94">
        <f t="shared" si="2"/>
        <v>1.2797176107419039E-2</v>
      </c>
    </row>
    <row r="22" spans="2:12" ht="18" thickBot="1" x14ac:dyDescent="0.35">
      <c r="B22" s="85" t="s">
        <v>179</v>
      </c>
      <c r="C22" s="86">
        <f>C19+C20</f>
        <v>9.9861186292270976E-2</v>
      </c>
      <c r="G22" s="93">
        <v>43770</v>
      </c>
      <c r="H22">
        <v>446.39529399999998</v>
      </c>
      <c r="I22">
        <v>9813.6376949999994</v>
      </c>
      <c r="K22" s="94">
        <f t="shared" si="1"/>
        <v>1.411659147105615E-3</v>
      </c>
      <c r="L22" s="94">
        <f t="shared" si="2"/>
        <v>6.0017921825268328E-3</v>
      </c>
    </row>
    <row r="23" spans="2:12" ht="19.2" thickTop="1" thickBot="1" x14ac:dyDescent="0.4">
      <c r="B23" s="87"/>
      <c r="C23" s="88"/>
      <c r="G23" s="93">
        <v>43800</v>
      </c>
      <c r="H23">
        <v>447.02545199999997</v>
      </c>
      <c r="I23">
        <v>9872.5371090000008</v>
      </c>
      <c r="K23" s="94">
        <f t="shared" si="1"/>
        <v>8.1479067549827144E-2</v>
      </c>
      <c r="L23" s="94">
        <f t="shared" si="2"/>
        <v>-1.1242914437751272E-3</v>
      </c>
    </row>
    <row r="24" spans="2:12" ht="18" x14ac:dyDescent="0.35">
      <c r="B24" s="89"/>
      <c r="C24" s="89"/>
      <c r="G24" s="93">
        <v>43831</v>
      </c>
      <c r="H24">
        <v>483.448669</v>
      </c>
      <c r="I24">
        <v>9861.4375</v>
      </c>
      <c r="K24" s="94">
        <f t="shared" si="1"/>
        <v>7.0598808495225818E-4</v>
      </c>
      <c r="L24" s="94">
        <f t="shared" si="2"/>
        <v>-6.3418686575866801E-2</v>
      </c>
    </row>
    <row r="25" spans="2:12" ht="18" x14ac:dyDescent="0.35">
      <c r="B25" s="89" t="s">
        <v>163</v>
      </c>
      <c r="C25" s="96">
        <f>C27/C26</f>
        <v>177.20943396226414</v>
      </c>
      <c r="G25" s="93">
        <v>43862</v>
      </c>
      <c r="H25">
        <v>483.78997800000002</v>
      </c>
      <c r="I25">
        <v>9236.0380860000005</v>
      </c>
      <c r="K25" s="94">
        <f t="shared" si="1"/>
        <v>-9.2823993968721763E-2</v>
      </c>
      <c r="L25" s="94">
        <f t="shared" si="2"/>
        <v>-0.24245215774871376</v>
      </c>
    </row>
    <row r="26" spans="2:12" ht="18" x14ac:dyDescent="0.35">
      <c r="B26" s="89" t="s">
        <v>180</v>
      </c>
      <c r="C26" s="90">
        <v>530</v>
      </c>
      <c r="G26" s="93">
        <v>43891</v>
      </c>
      <c r="H26">
        <v>438.88265999999999</v>
      </c>
      <c r="I26">
        <v>6996.7407229999999</v>
      </c>
      <c r="K26" s="94">
        <f t="shared" si="1"/>
        <v>8.7212518261714944E-2</v>
      </c>
      <c r="L26" s="94">
        <f t="shared" si="2"/>
        <v>0.14523168389814289</v>
      </c>
    </row>
    <row r="27" spans="2:12" ht="18" x14ac:dyDescent="0.35">
      <c r="B27" s="89" t="s">
        <v>181</v>
      </c>
      <c r="C27" s="90">
        <v>93921</v>
      </c>
      <c r="G27" s="93">
        <v>43922</v>
      </c>
      <c r="H27">
        <v>477.15872200000001</v>
      </c>
      <c r="I27">
        <v>8012.8891599999997</v>
      </c>
      <c r="K27" s="94">
        <f t="shared" si="1"/>
        <v>-4.6699259539051297E-2</v>
      </c>
      <c r="L27" s="94">
        <f t="shared" si="2"/>
        <v>-2.3774135420587705E-2</v>
      </c>
    </row>
    <row r="28" spans="2:12" ht="18" x14ac:dyDescent="0.35">
      <c r="B28" s="89"/>
      <c r="C28" s="89"/>
      <c r="G28" s="93">
        <v>43952</v>
      </c>
      <c r="H28">
        <v>454.87576300000001</v>
      </c>
      <c r="I28">
        <v>7822.3896480000003</v>
      </c>
      <c r="K28" s="94">
        <f t="shared" si="1"/>
        <v>-1.0720289794819982E-3</v>
      </c>
      <c r="L28" s="94">
        <f t="shared" si="2"/>
        <v>8.3401549188591328E-2</v>
      </c>
    </row>
    <row r="29" spans="2:12" ht="18" x14ac:dyDescent="0.35">
      <c r="B29" s="89" t="s">
        <v>182</v>
      </c>
      <c r="C29" s="89">
        <f>SUM('BS SOURCE'!F12,'BS SOURCE'!F18)</f>
        <v>867.65</v>
      </c>
      <c r="D29" s="95"/>
      <c r="G29" s="93">
        <v>43983</v>
      </c>
      <c r="H29">
        <v>454.38812300000001</v>
      </c>
      <c r="I29">
        <v>8474.7890630000002</v>
      </c>
      <c r="K29" s="94">
        <f t="shared" si="1"/>
        <v>0.10215690430799396</v>
      </c>
      <c r="L29" s="94">
        <f t="shared" si="2"/>
        <v>6.6190345721882649E-2</v>
      </c>
    </row>
    <row r="30" spans="2:12" x14ac:dyDescent="0.3">
      <c r="G30" s="93">
        <v>44013</v>
      </c>
      <c r="H30">
        <v>500.807007</v>
      </c>
      <c r="I30">
        <v>9035.7382809999999</v>
      </c>
      <c r="K30" s="94">
        <f t="shared" si="1"/>
        <v>-7.5844565808960485E-2</v>
      </c>
      <c r="L30" s="94">
        <f t="shared" si="2"/>
        <v>3.7218743786233466E-2</v>
      </c>
    </row>
    <row r="31" spans="2:12" x14ac:dyDescent="0.3">
      <c r="B31" t="s">
        <v>187</v>
      </c>
      <c r="G31" s="93">
        <v>44044</v>
      </c>
      <c r="H31">
        <v>462.82351699999998</v>
      </c>
      <c r="I31">
        <v>9372.0371090000008</v>
      </c>
      <c r="K31" s="94">
        <f t="shared" si="1"/>
        <v>7.9176629220420569E-2</v>
      </c>
      <c r="L31" s="94">
        <f t="shared" si="2"/>
        <v>-3.2330008564417367E-3</v>
      </c>
    </row>
    <row r="32" spans="2:12" x14ac:dyDescent="0.3">
      <c r="G32" s="93">
        <v>44075</v>
      </c>
      <c r="H32">
        <v>499.468323</v>
      </c>
      <c r="I32">
        <v>9341.7373050000006</v>
      </c>
      <c r="K32" s="94">
        <f t="shared" si="1"/>
        <v>1.7627384149445646E-3</v>
      </c>
      <c r="L32" s="94">
        <f t="shared" si="2"/>
        <v>2.5680489845459009E-2</v>
      </c>
    </row>
    <row r="33" spans="7:12" x14ac:dyDescent="0.3">
      <c r="G33" s="93">
        <v>44105</v>
      </c>
      <c r="H33">
        <v>500.34875499999998</v>
      </c>
      <c r="I33">
        <v>9581.6376949999994</v>
      </c>
      <c r="K33" s="94">
        <f t="shared" si="1"/>
        <v>-2.27783019066371E-2</v>
      </c>
      <c r="L33" s="94">
        <f t="shared" si="2"/>
        <v>0.11870605779568666</v>
      </c>
    </row>
    <row r="34" spans="7:12" x14ac:dyDescent="0.3">
      <c r="G34" s="93">
        <v>44136</v>
      </c>
      <c r="H34">
        <v>488.95166</v>
      </c>
      <c r="I34">
        <v>10719.036133</v>
      </c>
      <c r="K34" s="94">
        <f t="shared" si="1"/>
        <v>7.2070298319469872E-2</v>
      </c>
      <c r="L34" s="94">
        <f t="shared" si="2"/>
        <v>7.4563516073931746E-2</v>
      </c>
    </row>
    <row r="35" spans="7:12" x14ac:dyDescent="0.3">
      <c r="G35" s="93">
        <v>44166</v>
      </c>
      <c r="H35">
        <v>524.19055200000003</v>
      </c>
      <c r="I35">
        <v>11518.285156</v>
      </c>
      <c r="K35" s="94">
        <f t="shared" si="1"/>
        <v>-3.642322992498348E-2</v>
      </c>
      <c r="L35" s="94">
        <f t="shared" si="2"/>
        <v>-1.8744058779230244E-2</v>
      </c>
    </row>
    <row r="36" spans="7:12" x14ac:dyDescent="0.3">
      <c r="G36" s="93">
        <v>44197</v>
      </c>
      <c r="H36">
        <v>505.09783900000002</v>
      </c>
      <c r="I36">
        <v>11302.385742</v>
      </c>
      <c r="K36" s="94">
        <f t="shared" si="1"/>
        <v>-2.2252429395169138E-2</v>
      </c>
      <c r="L36" s="94">
        <f t="shared" si="2"/>
        <v>7.7771104620293796E-2</v>
      </c>
    </row>
    <row r="37" spans="7:12" x14ac:dyDescent="0.3">
      <c r="G37" s="93">
        <v>44228</v>
      </c>
      <c r="H37">
        <v>493.85818499999999</v>
      </c>
      <c r="I37">
        <v>12181.384765999999</v>
      </c>
      <c r="K37" s="94">
        <f t="shared" si="1"/>
        <v>7.4339118222774836E-2</v>
      </c>
      <c r="L37" s="94">
        <f t="shared" si="2"/>
        <v>1.0860737965462386E-2</v>
      </c>
    </row>
    <row r="38" spans="7:12" x14ac:dyDescent="0.3">
      <c r="G38" s="93">
        <v>44256</v>
      </c>
      <c r="H38">
        <v>530.57116699999995</v>
      </c>
      <c r="I38">
        <v>12313.683594</v>
      </c>
      <c r="K38" s="94">
        <f t="shared" si="1"/>
        <v>-4.5329055734382173E-3</v>
      </c>
      <c r="L38" s="94">
        <f t="shared" si="2"/>
        <v>4.1132625841286963E-3</v>
      </c>
    </row>
    <row r="39" spans="7:12" x14ac:dyDescent="0.3">
      <c r="G39" s="93">
        <v>44287</v>
      </c>
      <c r="H39">
        <v>528.16613800000005</v>
      </c>
      <c r="I39">
        <v>12364.333008</v>
      </c>
      <c r="K39" s="94">
        <f t="shared" si="1"/>
        <v>4.4607517038510736E-3</v>
      </c>
      <c r="L39" s="94">
        <f t="shared" si="2"/>
        <v>6.9716580946361351E-2</v>
      </c>
    </row>
    <row r="40" spans="7:12" x14ac:dyDescent="0.3">
      <c r="G40" s="93">
        <v>44317</v>
      </c>
      <c r="H40">
        <v>530.522156</v>
      </c>
      <c r="I40">
        <v>13226.332031</v>
      </c>
      <c r="K40" s="94">
        <f t="shared" si="1"/>
        <v>5.2363675457882231E-2</v>
      </c>
      <c r="L40" s="94">
        <f t="shared" si="2"/>
        <v>1.8690003806089983E-2</v>
      </c>
    </row>
    <row r="41" spans="7:12" x14ac:dyDescent="0.3">
      <c r="G41" s="93">
        <v>44348</v>
      </c>
      <c r="H41">
        <v>558.30224599999997</v>
      </c>
      <c r="I41">
        <v>13473.532227</v>
      </c>
      <c r="K41" s="94">
        <f t="shared" si="1"/>
        <v>5.6175731379737526E-2</v>
      </c>
      <c r="L41" s="94">
        <f t="shared" si="2"/>
        <v>1.4153689751663645E-2</v>
      </c>
    </row>
    <row r="42" spans="7:12" x14ac:dyDescent="0.3">
      <c r="G42" s="93">
        <v>44378</v>
      </c>
      <c r="H42">
        <v>589.66528300000004</v>
      </c>
      <c r="I42">
        <v>13664.232421999999</v>
      </c>
      <c r="K42" s="94">
        <f t="shared" si="1"/>
        <v>3.9913050129491756E-2</v>
      </c>
      <c r="L42" s="94">
        <f t="shared" si="2"/>
        <v>6.525419134150634E-2</v>
      </c>
    </row>
    <row r="43" spans="7:12" x14ac:dyDescent="0.3">
      <c r="G43" s="93">
        <v>44409</v>
      </c>
      <c r="H43">
        <v>613.20062299999995</v>
      </c>
      <c r="I43">
        <v>14555.880859000001</v>
      </c>
      <c r="K43" s="94">
        <f t="shared" si="1"/>
        <v>-7.1600775265355798E-3</v>
      </c>
      <c r="L43" s="94">
        <f t="shared" si="2"/>
        <v>3.4127099885738366E-2</v>
      </c>
    </row>
    <row r="44" spans="7:12" x14ac:dyDescent="0.3">
      <c r="G44" s="93">
        <v>44440</v>
      </c>
      <c r="H44">
        <v>608.81005900000002</v>
      </c>
      <c r="I44">
        <v>15052.630859000001</v>
      </c>
      <c r="K44" s="94">
        <f t="shared" si="1"/>
        <v>-5.0563303849748054E-2</v>
      </c>
      <c r="L44" s="94">
        <f t="shared" si="2"/>
        <v>2.275349759176537E-3</v>
      </c>
    </row>
    <row r="45" spans="7:12" x14ac:dyDescent="0.3">
      <c r="G45" s="93">
        <v>44470</v>
      </c>
      <c r="H45">
        <v>578.026611</v>
      </c>
      <c r="I45">
        <v>15086.880859000001</v>
      </c>
      <c r="K45" s="94">
        <f t="shared" si="1"/>
        <v>1.5533155098978568E-2</v>
      </c>
      <c r="L45" s="94">
        <f t="shared" si="2"/>
        <v>-2.9068353167141514E-2</v>
      </c>
    </row>
    <row r="46" spans="7:12" x14ac:dyDescent="0.3">
      <c r="G46" s="93">
        <v>44501</v>
      </c>
      <c r="H46">
        <v>587.00518799999998</v>
      </c>
      <c r="I46">
        <v>14648.330078000001</v>
      </c>
      <c r="K46" s="94">
        <f t="shared" si="1"/>
        <v>-2.1000379983012962E-2</v>
      </c>
      <c r="L46" s="94">
        <f t="shared" si="2"/>
        <v>2.3746774147479721E-2</v>
      </c>
    </row>
    <row r="47" spans="7:12" x14ac:dyDescent="0.3">
      <c r="G47" s="93">
        <v>44531</v>
      </c>
      <c r="H47">
        <v>574.67785600000002</v>
      </c>
      <c r="I47">
        <v>14996.180664</v>
      </c>
      <c r="K47" s="94">
        <f t="shared" si="1"/>
        <v>-7.4648648024468134E-2</v>
      </c>
      <c r="L47" s="94">
        <f t="shared" si="2"/>
        <v>-4.9846025247912706E-3</v>
      </c>
    </row>
    <row r="48" spans="7:12" x14ac:dyDescent="0.3">
      <c r="G48" s="93">
        <v>44562</v>
      </c>
      <c r="H48">
        <v>531.77893100000006</v>
      </c>
      <c r="I48">
        <v>14921.430664</v>
      </c>
      <c r="K48" s="94">
        <f t="shared" si="1"/>
        <v>4.9557390230640763E-2</v>
      </c>
      <c r="L48" s="94">
        <f t="shared" si="2"/>
        <v>-4.1115294961638682E-2</v>
      </c>
    </row>
    <row r="49" spans="7:12" x14ac:dyDescent="0.3">
      <c r="G49" s="93">
        <v>44593</v>
      </c>
      <c r="H49">
        <v>558.13250700000003</v>
      </c>
      <c r="I49">
        <v>14307.931640999999</v>
      </c>
      <c r="K49" s="94">
        <f t="shared" si="1"/>
        <v>-4.8193858380658705E-2</v>
      </c>
      <c r="L49" s="94">
        <f t="shared" si="2"/>
        <v>4.0994662451365071E-2</v>
      </c>
    </row>
    <row r="50" spans="7:12" x14ac:dyDescent="0.3">
      <c r="G50" s="93">
        <v>44621</v>
      </c>
      <c r="H50">
        <v>531.23394800000005</v>
      </c>
      <c r="I50">
        <v>14894.480469</v>
      </c>
      <c r="K50" s="94">
        <f t="shared" si="1"/>
        <v>3.823208226142949E-2</v>
      </c>
      <c r="L50" s="94">
        <f t="shared" si="2"/>
        <v>-7.4625221894336624E-3</v>
      </c>
    </row>
    <row r="51" spans="7:12" x14ac:dyDescent="0.3">
      <c r="G51" s="93">
        <v>44652</v>
      </c>
      <c r="H51">
        <v>551.544128</v>
      </c>
      <c r="I51">
        <v>14783.330078000001</v>
      </c>
      <c r="K51" s="94">
        <f t="shared" si="1"/>
        <v>-6.7720584997326028E-2</v>
      </c>
      <c r="L51" s="94">
        <f t="shared" si="2"/>
        <v>-4.4898478184408952E-2</v>
      </c>
    </row>
    <row r="52" spans="7:12" x14ac:dyDescent="0.3">
      <c r="G52" s="93">
        <v>44682</v>
      </c>
      <c r="H52">
        <v>514.19323699999995</v>
      </c>
      <c r="I52">
        <v>14119.581055000001</v>
      </c>
      <c r="K52" s="94">
        <f t="shared" si="1"/>
        <v>-4.4412206067190985E-2</v>
      </c>
      <c r="L52" s="94">
        <f t="shared" si="2"/>
        <v>-5.1846356145302863E-2</v>
      </c>
    </row>
    <row r="53" spans="7:12" x14ac:dyDescent="0.3">
      <c r="G53" s="93">
        <v>44713</v>
      </c>
      <c r="H53">
        <v>491.35678100000001</v>
      </c>
      <c r="I53">
        <v>13387.532227</v>
      </c>
      <c r="K53" s="94">
        <f t="shared" si="1"/>
        <v>0.17773966164109978</v>
      </c>
      <c r="L53" s="94">
        <f t="shared" si="2"/>
        <v>9.5469322525500999E-2</v>
      </c>
    </row>
    <row r="54" spans="7:12" x14ac:dyDescent="0.3">
      <c r="G54" s="93">
        <v>44743</v>
      </c>
      <c r="H54">
        <v>578.69036900000003</v>
      </c>
      <c r="I54">
        <v>14665.630859000001</v>
      </c>
      <c r="K54" s="94">
        <f t="shared" si="1"/>
        <v>3.9997831724756239E-3</v>
      </c>
      <c r="L54" s="94">
        <f t="shared" si="2"/>
        <v>4.4962159782941713E-2</v>
      </c>
    </row>
    <row r="55" spans="7:12" x14ac:dyDescent="0.3">
      <c r="G55" s="93">
        <v>44774</v>
      </c>
      <c r="H55">
        <v>581.00500499999998</v>
      </c>
      <c r="I55">
        <v>15325.029296999999</v>
      </c>
      <c r="K55" s="94">
        <f t="shared" si="1"/>
        <v>-1.8248724036378894E-2</v>
      </c>
      <c r="L55" s="94">
        <f t="shared" si="2"/>
        <v>-3.2345727332282248E-2</v>
      </c>
    </row>
    <row r="56" spans="7:12" x14ac:dyDescent="0.3">
      <c r="G56" s="93">
        <v>44805</v>
      </c>
      <c r="H56">
        <v>570.40240500000004</v>
      </c>
      <c r="I56">
        <v>14829.330078000001</v>
      </c>
      <c r="K56" s="94">
        <f t="shared" si="1"/>
        <v>-3.1852640943896615E-2</v>
      </c>
      <c r="L56" s="94">
        <f t="shared" si="2"/>
        <v>4.0099546700507416E-2</v>
      </c>
    </row>
    <row r="57" spans="7:12" x14ac:dyDescent="0.3">
      <c r="G57" s="93">
        <v>44835</v>
      </c>
      <c r="H57">
        <v>552.23358199999996</v>
      </c>
      <c r="I57">
        <v>15423.979492</v>
      </c>
      <c r="K57" s="94">
        <f t="shared" si="1"/>
        <v>6.0663288311213259E-2</v>
      </c>
      <c r="L57" s="94">
        <f t="shared" si="2"/>
        <v>3.3853156461393308E-2</v>
      </c>
    </row>
    <row r="58" spans="7:12" x14ac:dyDescent="0.3">
      <c r="G58" s="93">
        <v>44866</v>
      </c>
      <c r="H58">
        <v>585.73388699999998</v>
      </c>
      <c r="I58">
        <v>15946.129883</v>
      </c>
      <c r="K58" s="94">
        <f t="shared" si="1"/>
        <v>-4.1458886943312456E-2</v>
      </c>
      <c r="L58" s="94">
        <f t="shared" si="2"/>
        <v>-3.1186299412383933E-2</v>
      </c>
    </row>
    <row r="59" spans="7:12" x14ac:dyDescent="0.3">
      <c r="G59" s="93">
        <v>44896</v>
      </c>
      <c r="H59">
        <v>561.45001200000002</v>
      </c>
      <c r="I59">
        <v>15448.829102</v>
      </c>
      <c r="K59" s="94">
        <f t="shared" si="1"/>
        <v>-6.5901004914397099E-3</v>
      </c>
      <c r="L59" s="94">
        <f t="shared" si="2"/>
        <v>-3.3228967037608137E-2</v>
      </c>
    </row>
    <row r="60" spans="7:12" x14ac:dyDescent="0.3">
      <c r="G60" s="93">
        <v>44927</v>
      </c>
      <c r="H60">
        <v>557.75</v>
      </c>
      <c r="I60">
        <v>14935.480469</v>
      </c>
      <c r="K60" s="94">
        <f t="shared" si="1"/>
        <v>-4.5091930076199049E-2</v>
      </c>
      <c r="L60" s="94">
        <f t="shared" si="2"/>
        <v>-2.7902046396496183E-2</v>
      </c>
    </row>
    <row r="61" spans="7:12" x14ac:dyDescent="0.3">
      <c r="G61" s="93">
        <v>44958</v>
      </c>
      <c r="H61">
        <v>532.59997599999997</v>
      </c>
      <c r="I61">
        <v>14518.75</v>
      </c>
      <c r="K61" s="94">
        <f t="shared" si="1"/>
        <v>-1.1171521344567115E-2</v>
      </c>
      <c r="L61" s="94">
        <f t="shared" si="2"/>
        <v>1.9643577787343824E-2</v>
      </c>
    </row>
    <row r="62" spans="7:12" x14ac:dyDescent="0.3">
      <c r="G62" s="93">
        <v>44986</v>
      </c>
      <c r="H62">
        <v>526.65002400000003</v>
      </c>
      <c r="I62">
        <v>14803.950194999999</v>
      </c>
      <c r="K62" s="94"/>
      <c r="L62" s="94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2F61-1BC1-4D42-900C-D99B0B1C5785}">
  <dimension ref="B7"/>
  <sheetViews>
    <sheetView workbookViewId="0">
      <selection activeCell="G7" sqref="G7"/>
    </sheetView>
  </sheetViews>
  <sheetFormatPr defaultRowHeight="14.4" x14ac:dyDescent="0.3"/>
  <sheetData>
    <row r="7" spans="2:2" ht="50.4" x14ac:dyDescent="0.85">
      <c r="B7" s="103" t="s">
        <v>191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D6C1F-7047-4DB6-84BE-D4080811AD85}">
  <dimension ref="A1:F38"/>
  <sheetViews>
    <sheetView workbookViewId="0">
      <selection activeCell="A14" sqref="A14"/>
    </sheetView>
  </sheetViews>
  <sheetFormatPr defaultRowHeight="14.4" x14ac:dyDescent="0.3"/>
  <cols>
    <col min="1" max="1" width="39.44140625" bestFit="1" customWidth="1"/>
    <col min="2" max="5" width="6.109375" bestFit="1" customWidth="1"/>
  </cols>
  <sheetData>
    <row r="1" spans="1:6" ht="13.95" customHeight="1" x14ac:dyDescent="0.3">
      <c r="B1" s="10">
        <v>43160</v>
      </c>
      <c r="C1" s="10">
        <v>43525</v>
      </c>
      <c r="D1" s="10">
        <v>43891</v>
      </c>
      <c r="E1" s="10">
        <v>44256</v>
      </c>
      <c r="F1" s="10">
        <v>44621</v>
      </c>
    </row>
    <row r="2" spans="1:6" ht="13.95" customHeight="1" x14ac:dyDescent="0.3">
      <c r="A2" s="1" t="s">
        <v>0</v>
      </c>
      <c r="B2" s="2"/>
      <c r="C2" s="2"/>
      <c r="D2" s="2"/>
      <c r="E2" s="2"/>
      <c r="F2" s="12"/>
    </row>
    <row r="3" spans="1:6" ht="13.95" customHeight="1" x14ac:dyDescent="0.3">
      <c r="A3" s="3" t="s">
        <v>1</v>
      </c>
      <c r="B3" s="4">
        <v>7680.31</v>
      </c>
      <c r="C3" s="4">
        <v>8437.2999999999993</v>
      </c>
      <c r="D3" s="4">
        <v>8622.8700000000008</v>
      </c>
      <c r="E3" s="4">
        <v>9507.81</v>
      </c>
      <c r="F3" s="4">
        <v>10808.03</v>
      </c>
    </row>
    <row r="4" spans="1:6" ht="13.95" customHeight="1" x14ac:dyDescent="0.3">
      <c r="A4" s="5" t="s">
        <v>2</v>
      </c>
      <c r="B4" s="6">
        <v>26.49</v>
      </c>
      <c r="C4" s="6">
        <v>18.059999999999999</v>
      </c>
      <c r="D4" s="6">
        <v>18.95</v>
      </c>
      <c r="E4" s="6">
        <v>15.05</v>
      </c>
      <c r="F4" s="6">
        <v>0</v>
      </c>
    </row>
    <row r="5" spans="1:6" ht="13.95" customHeight="1" x14ac:dyDescent="0.3">
      <c r="A5" s="3" t="s">
        <v>3</v>
      </c>
      <c r="B5" s="4">
        <v>7653.82</v>
      </c>
      <c r="C5" s="4">
        <v>8419.24</v>
      </c>
      <c r="D5" s="4">
        <v>8603.92</v>
      </c>
      <c r="E5" s="4">
        <v>9492.76</v>
      </c>
      <c r="F5" s="4">
        <v>10808.03</v>
      </c>
    </row>
    <row r="6" spans="1:6" ht="13.95" customHeight="1" x14ac:dyDescent="0.3">
      <c r="A6" s="5" t="s">
        <v>4</v>
      </c>
      <c r="B6" s="6">
        <v>68.03</v>
      </c>
      <c r="C6" s="6">
        <v>95.75</v>
      </c>
      <c r="D6" s="6">
        <v>80.72</v>
      </c>
      <c r="E6" s="6">
        <v>53.84</v>
      </c>
      <c r="F6" s="6">
        <v>80.650000000000006</v>
      </c>
    </row>
    <row r="7" spans="1:6" ht="13.95" customHeight="1" x14ac:dyDescent="0.3">
      <c r="A7" s="3" t="s">
        <v>5</v>
      </c>
      <c r="B7" s="4">
        <v>7721.85</v>
      </c>
      <c r="C7" s="4">
        <v>8514.99</v>
      </c>
      <c r="D7" s="4">
        <v>8684.64</v>
      </c>
      <c r="E7" s="4">
        <v>9546.6</v>
      </c>
      <c r="F7" s="4">
        <v>10888.68</v>
      </c>
    </row>
    <row r="8" spans="1:6" ht="13.95" customHeight="1" x14ac:dyDescent="0.3">
      <c r="A8" s="5" t="s">
        <v>6</v>
      </c>
      <c r="B8" s="6">
        <v>305.18</v>
      </c>
      <c r="C8" s="6">
        <v>296.17</v>
      </c>
      <c r="D8" s="6">
        <v>305.29000000000002</v>
      </c>
      <c r="E8" s="6">
        <v>325.29000000000002</v>
      </c>
      <c r="F8" s="6">
        <v>393.16</v>
      </c>
    </row>
    <row r="9" spans="1:6" ht="13.95" customHeight="1" x14ac:dyDescent="0.3">
      <c r="A9" s="7" t="s">
        <v>7</v>
      </c>
      <c r="B9" s="8">
        <v>8027.03</v>
      </c>
      <c r="C9" s="8">
        <v>8811.16</v>
      </c>
      <c r="D9" s="8">
        <v>8989.93</v>
      </c>
      <c r="E9" s="8">
        <v>9871.89</v>
      </c>
      <c r="F9" s="8">
        <v>11281.84</v>
      </c>
    </row>
    <row r="10" spans="1:6" ht="13.95" customHeight="1" x14ac:dyDescent="0.3">
      <c r="A10" s="1" t="s">
        <v>8</v>
      </c>
      <c r="B10" s="2"/>
      <c r="C10" s="2"/>
      <c r="D10" s="2"/>
      <c r="E10" s="2"/>
      <c r="F10" s="12"/>
    </row>
    <row r="11" spans="1:6" ht="13.95" customHeight="1" x14ac:dyDescent="0.3">
      <c r="A11" s="5" t="s">
        <v>9</v>
      </c>
      <c r="B11" s="9">
        <v>3220.05</v>
      </c>
      <c r="C11" s="9">
        <v>3475.35</v>
      </c>
      <c r="D11" s="9">
        <v>3731.71</v>
      </c>
      <c r="E11" s="9">
        <v>3998.58</v>
      </c>
      <c r="F11" s="9">
        <v>4766.12</v>
      </c>
    </row>
    <row r="12" spans="1:6" ht="13.95" customHeight="1" x14ac:dyDescent="0.3">
      <c r="A12" s="5" t="s">
        <v>10</v>
      </c>
      <c r="B12" s="6">
        <v>665.8</v>
      </c>
      <c r="C12" s="6">
        <v>802.98</v>
      </c>
      <c r="D12" s="6">
        <v>674.62</v>
      </c>
      <c r="E12" s="6">
        <v>982.53</v>
      </c>
      <c r="F12" s="6">
        <v>882.12</v>
      </c>
    </row>
    <row r="13" spans="1:6" ht="13.95" customHeight="1" x14ac:dyDescent="0.3">
      <c r="A13" s="5" t="s">
        <v>11</v>
      </c>
      <c r="B13" s="6">
        <v>-65.930000000000007</v>
      </c>
      <c r="C13" s="6">
        <v>12.64</v>
      </c>
      <c r="D13" s="6">
        <v>-65.040000000000006</v>
      </c>
      <c r="E13" s="6">
        <v>-207.2</v>
      </c>
      <c r="F13" s="6">
        <v>-8.5500000000000007</v>
      </c>
    </row>
    <row r="14" spans="1:6" ht="13.95" customHeight="1" x14ac:dyDescent="0.3">
      <c r="A14" s="5" t="s">
        <v>12</v>
      </c>
      <c r="B14" s="6">
        <v>792.79</v>
      </c>
      <c r="C14" s="6">
        <v>937.91</v>
      </c>
      <c r="D14" s="6">
        <v>947.74</v>
      </c>
      <c r="E14" s="9">
        <v>1033.46</v>
      </c>
      <c r="F14" s="9">
        <v>1079.95</v>
      </c>
    </row>
    <row r="15" spans="1:6" ht="13.95" customHeight="1" x14ac:dyDescent="0.3">
      <c r="A15" s="5" t="s">
        <v>13</v>
      </c>
      <c r="B15" s="6">
        <v>53.05</v>
      </c>
      <c r="C15" s="6">
        <v>59.58</v>
      </c>
      <c r="D15" s="6">
        <v>49.54</v>
      </c>
      <c r="E15" s="6">
        <v>30.81</v>
      </c>
      <c r="F15" s="6">
        <v>38.6</v>
      </c>
    </row>
    <row r="16" spans="1:6" ht="13.95" customHeight="1" x14ac:dyDescent="0.3">
      <c r="A16" s="5" t="s">
        <v>14</v>
      </c>
      <c r="B16" s="6">
        <v>162.18</v>
      </c>
      <c r="C16" s="6">
        <v>176.9</v>
      </c>
      <c r="D16" s="6">
        <v>220.45</v>
      </c>
      <c r="E16" s="6">
        <v>240.13</v>
      </c>
      <c r="F16" s="6">
        <v>252.89</v>
      </c>
    </row>
    <row r="17" spans="1:6" ht="13.95" customHeight="1" x14ac:dyDescent="0.3">
      <c r="A17" s="5" t="s">
        <v>15</v>
      </c>
      <c r="B17" s="9">
        <v>1491.7</v>
      </c>
      <c r="C17" s="9">
        <v>1546.55</v>
      </c>
      <c r="D17" s="9">
        <v>1603.26</v>
      </c>
      <c r="E17" s="9">
        <v>1736.55</v>
      </c>
      <c r="F17" s="9">
        <v>1915.23</v>
      </c>
    </row>
    <row r="18" spans="1:6" ht="13.95" customHeight="1" x14ac:dyDescent="0.3">
      <c r="A18" s="7" t="s">
        <v>16</v>
      </c>
      <c r="B18" s="8">
        <v>6319.64</v>
      </c>
      <c r="C18" s="8">
        <v>7011.91</v>
      </c>
      <c r="D18" s="8">
        <v>7162.28</v>
      </c>
      <c r="E18" s="8">
        <v>7814.86</v>
      </c>
      <c r="F18" s="8">
        <v>8926.36</v>
      </c>
    </row>
    <row r="19" spans="1:6" ht="13.95" customHeight="1" x14ac:dyDescent="0.3">
      <c r="A19" s="7" t="s">
        <v>17</v>
      </c>
      <c r="B19" s="8">
        <v>1707.39</v>
      </c>
      <c r="C19" s="8">
        <v>1799.25</v>
      </c>
      <c r="D19" s="8">
        <v>1827.65</v>
      </c>
      <c r="E19" s="8">
        <v>2057.0300000000002</v>
      </c>
      <c r="F19" s="8">
        <v>2355.48</v>
      </c>
    </row>
    <row r="20" spans="1:6" ht="13.95" customHeight="1" x14ac:dyDescent="0.3">
      <c r="A20" s="5" t="s">
        <v>18</v>
      </c>
      <c r="B20" s="6">
        <v>-14.54</v>
      </c>
      <c r="C20" s="6">
        <v>-75.34</v>
      </c>
      <c r="D20" s="6">
        <v>-100</v>
      </c>
      <c r="E20" s="6">
        <v>0</v>
      </c>
      <c r="F20" s="6">
        <v>-85</v>
      </c>
    </row>
    <row r="21" spans="1:6" ht="13.95" customHeight="1" x14ac:dyDescent="0.3">
      <c r="A21" s="3" t="s">
        <v>19</v>
      </c>
      <c r="B21" s="4">
        <v>1692.85</v>
      </c>
      <c r="C21" s="4">
        <v>1723.91</v>
      </c>
      <c r="D21" s="4">
        <v>1727.65</v>
      </c>
      <c r="E21" s="4">
        <v>2057.0300000000002</v>
      </c>
      <c r="F21" s="4">
        <v>2270.48</v>
      </c>
    </row>
    <row r="22" spans="1:6" ht="13.95" customHeight="1" x14ac:dyDescent="0.3">
      <c r="A22" s="1" t="s">
        <v>20</v>
      </c>
      <c r="B22" s="2"/>
      <c r="C22" s="2"/>
      <c r="D22" s="2"/>
      <c r="E22" s="2"/>
      <c r="F22" s="12"/>
    </row>
    <row r="23" spans="1:6" ht="13.95" customHeight="1" x14ac:dyDescent="0.3">
      <c r="A23" s="5" t="s">
        <v>21</v>
      </c>
      <c r="B23" s="6">
        <v>371.34</v>
      </c>
      <c r="C23" s="6">
        <v>406.99</v>
      </c>
      <c r="D23" s="6">
        <v>465.42</v>
      </c>
      <c r="E23" s="6">
        <v>505.18</v>
      </c>
      <c r="F23" s="6">
        <v>442.17</v>
      </c>
    </row>
    <row r="24" spans="1:6" ht="13.95" customHeight="1" x14ac:dyDescent="0.3">
      <c r="A24" s="5" t="s">
        <v>22</v>
      </c>
      <c r="B24" s="6">
        <v>-35.99</v>
      </c>
      <c r="C24" s="6">
        <v>-128.37</v>
      </c>
      <c r="D24" s="6">
        <v>-185.7</v>
      </c>
      <c r="E24" s="6">
        <v>-144.11000000000001</v>
      </c>
      <c r="F24" s="6">
        <v>84.21</v>
      </c>
    </row>
    <row r="25" spans="1:6" ht="13.95" customHeight="1" x14ac:dyDescent="0.3">
      <c r="A25" s="3" t="s">
        <v>23</v>
      </c>
      <c r="B25" s="2">
        <v>335.35</v>
      </c>
      <c r="C25" s="2">
        <v>278.62</v>
      </c>
      <c r="D25" s="2">
        <v>279.72000000000003</v>
      </c>
      <c r="E25" s="2">
        <v>361.07</v>
      </c>
      <c r="F25" s="2">
        <v>526.38</v>
      </c>
    </row>
    <row r="26" spans="1:6" ht="13.95" customHeight="1" x14ac:dyDescent="0.3">
      <c r="A26" s="3" t="s">
        <v>24</v>
      </c>
      <c r="B26" s="4">
        <v>1357.5</v>
      </c>
      <c r="C26" s="4">
        <v>1445.29</v>
      </c>
      <c r="D26" s="4">
        <v>1447.93</v>
      </c>
      <c r="E26" s="4">
        <v>1695.96</v>
      </c>
      <c r="F26" s="4">
        <v>1744.1</v>
      </c>
    </row>
    <row r="27" spans="1:6" ht="13.95" customHeight="1" x14ac:dyDescent="0.3">
      <c r="A27" s="3" t="s">
        <v>25</v>
      </c>
      <c r="B27" s="4">
        <v>1357.5</v>
      </c>
      <c r="C27" s="4">
        <v>1445.29</v>
      </c>
      <c r="D27" s="4">
        <v>1447.93</v>
      </c>
      <c r="E27" s="4">
        <v>1695.96</v>
      </c>
      <c r="F27" s="4">
        <v>1744.1</v>
      </c>
    </row>
    <row r="28" spans="1:6" ht="13.95" customHeight="1" x14ac:dyDescent="0.3">
      <c r="A28" s="7" t="s">
        <v>26</v>
      </c>
      <c r="B28" s="8">
        <v>1357.5</v>
      </c>
      <c r="C28" s="8">
        <v>1445.29</v>
      </c>
      <c r="D28" s="8">
        <v>1447.93</v>
      </c>
      <c r="E28" s="8">
        <v>1695.96</v>
      </c>
      <c r="F28" s="8">
        <v>1744.1</v>
      </c>
    </row>
    <row r="29" spans="1:6" ht="13.95" customHeight="1" x14ac:dyDescent="0.3">
      <c r="A29" s="5" t="s">
        <v>27</v>
      </c>
      <c r="B29" s="6">
        <v>-3.35</v>
      </c>
      <c r="C29" s="6">
        <v>-3.92</v>
      </c>
      <c r="D29" s="6">
        <v>-2.96</v>
      </c>
      <c r="E29" s="6">
        <v>-1.65</v>
      </c>
      <c r="F29" s="6">
        <v>-3.08</v>
      </c>
    </row>
    <row r="30" spans="1:6" ht="13.95" customHeight="1" x14ac:dyDescent="0.3">
      <c r="A30" s="5" t="s">
        <v>28</v>
      </c>
      <c r="B30" s="6">
        <v>0.24</v>
      </c>
      <c r="C30" s="6">
        <v>0.96</v>
      </c>
      <c r="D30" s="6">
        <v>-0.01</v>
      </c>
      <c r="E30" s="6">
        <v>-1.01</v>
      </c>
      <c r="F30" s="6">
        <v>-1.8</v>
      </c>
    </row>
    <row r="31" spans="1:6" ht="13.95" customHeight="1" x14ac:dyDescent="0.3">
      <c r="A31" s="3" t="s">
        <v>29</v>
      </c>
      <c r="B31" s="4">
        <v>1354.39</v>
      </c>
      <c r="C31" s="4">
        <v>1442.33</v>
      </c>
      <c r="D31" s="4">
        <v>1444.96</v>
      </c>
      <c r="E31" s="4">
        <v>1693.3</v>
      </c>
      <c r="F31" s="4">
        <v>1739.22</v>
      </c>
    </row>
    <row r="32" spans="1:6" ht="13.95" customHeight="1" x14ac:dyDescent="0.3">
      <c r="A32" s="1" t="s">
        <v>30</v>
      </c>
      <c r="B32" s="2"/>
      <c r="C32" s="2"/>
      <c r="D32" s="2"/>
      <c r="E32" s="2"/>
      <c r="F32" s="12"/>
    </row>
    <row r="33" spans="1:6" ht="13.95" customHeight="1" x14ac:dyDescent="0.3">
      <c r="A33" s="1" t="s">
        <v>31</v>
      </c>
      <c r="B33" s="2"/>
      <c r="C33" s="2"/>
      <c r="D33" s="2"/>
      <c r="E33" s="2"/>
      <c r="F33" s="12"/>
    </row>
    <row r="34" spans="1:6" ht="13.95" customHeight="1" x14ac:dyDescent="0.3">
      <c r="A34" s="5" t="s">
        <v>32</v>
      </c>
      <c r="B34" s="6">
        <v>8</v>
      </c>
      <c r="C34" s="6">
        <v>8</v>
      </c>
      <c r="D34" s="6">
        <v>8</v>
      </c>
      <c r="E34" s="6">
        <v>10</v>
      </c>
      <c r="F34" s="6">
        <v>10</v>
      </c>
    </row>
    <row r="35" spans="1:6" ht="13.95" customHeight="1" x14ac:dyDescent="0.3">
      <c r="A35" s="5" t="s">
        <v>33</v>
      </c>
      <c r="B35" s="6">
        <v>8</v>
      </c>
      <c r="C35" s="6">
        <v>8</v>
      </c>
      <c r="D35" s="6">
        <v>8</v>
      </c>
      <c r="E35" s="6">
        <v>10</v>
      </c>
      <c r="F35" s="6">
        <v>10</v>
      </c>
    </row>
    <row r="36" spans="1:6" ht="13.95" customHeight="1" x14ac:dyDescent="0.3">
      <c r="A36" s="1" t="s">
        <v>34</v>
      </c>
      <c r="B36" s="2"/>
      <c r="C36" s="2"/>
      <c r="D36" s="2"/>
      <c r="E36" s="2"/>
      <c r="F36" s="12"/>
    </row>
    <row r="37" spans="1:6" ht="13.95" customHeight="1" x14ac:dyDescent="0.3">
      <c r="A37" s="5" t="s">
        <v>35</v>
      </c>
      <c r="B37" s="6">
        <v>396.34</v>
      </c>
      <c r="C37" s="9">
        <v>1324.71</v>
      </c>
      <c r="D37" s="6">
        <v>617.78</v>
      </c>
      <c r="E37" s="6">
        <v>592.09</v>
      </c>
      <c r="F37" s="6">
        <v>972.32</v>
      </c>
    </row>
    <row r="38" spans="1:6" ht="13.95" customHeight="1" x14ac:dyDescent="0.3">
      <c r="A38" s="5" t="s">
        <v>36</v>
      </c>
      <c r="B38" s="6">
        <v>80.69</v>
      </c>
      <c r="C38" s="6">
        <v>272.3</v>
      </c>
      <c r="D38" s="6">
        <v>0</v>
      </c>
      <c r="E38" s="6">
        <v>0</v>
      </c>
      <c r="F38" s="6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3C4B-035B-4926-9495-E21AACCA2C59}">
  <dimension ref="A1:G54"/>
  <sheetViews>
    <sheetView topLeftCell="A16" workbookViewId="0">
      <selection activeCell="G29" sqref="G29"/>
    </sheetView>
  </sheetViews>
  <sheetFormatPr defaultRowHeight="14.4" x14ac:dyDescent="0.3"/>
  <cols>
    <col min="1" max="1" width="30.21875" bestFit="1" customWidth="1"/>
    <col min="2" max="4" width="6.109375" bestFit="1" customWidth="1"/>
    <col min="5" max="6" width="6.88671875" bestFit="1" customWidth="1"/>
  </cols>
  <sheetData>
    <row r="1" spans="1:6" x14ac:dyDescent="0.3">
      <c r="B1" s="10">
        <v>43160</v>
      </c>
      <c r="C1" s="10">
        <v>43525</v>
      </c>
      <c r="D1" s="10">
        <v>43891</v>
      </c>
      <c r="E1" s="10">
        <v>44256</v>
      </c>
      <c r="F1" s="10">
        <v>44621</v>
      </c>
    </row>
    <row r="2" spans="1:6" ht="13.95" customHeight="1" x14ac:dyDescent="0.3">
      <c r="A2" s="1" t="s">
        <v>37</v>
      </c>
      <c r="B2" s="2"/>
      <c r="C2" s="2"/>
      <c r="D2" s="2"/>
      <c r="E2" s="2"/>
      <c r="F2" s="12"/>
    </row>
    <row r="3" spans="1:6" ht="13.95" customHeight="1" x14ac:dyDescent="0.3">
      <c r="A3" s="1" t="s">
        <v>38</v>
      </c>
      <c r="B3" s="2"/>
      <c r="C3" s="2"/>
      <c r="D3" s="2"/>
      <c r="E3" s="2"/>
      <c r="F3" s="12"/>
    </row>
    <row r="4" spans="1:6" ht="13.95" customHeight="1" x14ac:dyDescent="0.3">
      <c r="A4" s="5" t="s">
        <v>39</v>
      </c>
      <c r="B4" s="6">
        <v>176.15</v>
      </c>
      <c r="C4" s="6">
        <v>176.63</v>
      </c>
      <c r="D4" s="6">
        <v>176.71</v>
      </c>
      <c r="E4" s="6">
        <v>176.74</v>
      </c>
      <c r="F4" s="6">
        <v>176.79</v>
      </c>
    </row>
    <row r="5" spans="1:6" ht="13.95" customHeight="1" x14ac:dyDescent="0.3">
      <c r="A5" s="7" t="s">
        <v>40</v>
      </c>
      <c r="B5" s="11">
        <v>176.15</v>
      </c>
      <c r="C5" s="11">
        <v>176.63</v>
      </c>
      <c r="D5" s="11">
        <v>176.71</v>
      </c>
      <c r="E5" s="11">
        <v>176.74</v>
      </c>
      <c r="F5" s="11">
        <v>176.79</v>
      </c>
    </row>
    <row r="6" spans="1:6" ht="13.95" customHeight="1" x14ac:dyDescent="0.3">
      <c r="A6" s="5" t="s">
        <v>41</v>
      </c>
      <c r="B6" s="9">
        <v>5530.37</v>
      </c>
      <c r="C6" s="9">
        <v>5455.05</v>
      </c>
      <c r="D6" s="9">
        <v>6429.04</v>
      </c>
      <c r="E6" s="9">
        <v>7486.79</v>
      </c>
      <c r="F6" s="9">
        <v>8056.3</v>
      </c>
    </row>
    <row r="7" spans="1:6" ht="13.95" customHeight="1" x14ac:dyDescent="0.3">
      <c r="A7" s="7" t="s">
        <v>42</v>
      </c>
      <c r="B7" s="8">
        <v>5530.37</v>
      </c>
      <c r="C7" s="8">
        <v>5455.05</v>
      </c>
      <c r="D7" s="8">
        <v>6429.04</v>
      </c>
      <c r="E7" s="8">
        <v>7486.79</v>
      </c>
      <c r="F7" s="8">
        <v>8056.3</v>
      </c>
    </row>
    <row r="8" spans="1:6" ht="13.95" customHeight="1" x14ac:dyDescent="0.3">
      <c r="A8" s="5" t="s">
        <v>43</v>
      </c>
      <c r="B8" s="6">
        <v>0</v>
      </c>
      <c r="C8" s="6">
        <v>0</v>
      </c>
      <c r="D8" s="6">
        <v>0</v>
      </c>
      <c r="E8" s="6">
        <v>0</v>
      </c>
      <c r="F8" s="6">
        <v>148.21</v>
      </c>
    </row>
    <row r="9" spans="1:6" ht="13.95" customHeight="1" x14ac:dyDescent="0.3">
      <c r="A9" s="7" t="s">
        <v>44</v>
      </c>
      <c r="B9" s="8">
        <v>5706.52</v>
      </c>
      <c r="C9" s="8">
        <v>5631.68</v>
      </c>
      <c r="D9" s="8">
        <v>6605.75</v>
      </c>
      <c r="E9" s="8">
        <v>7663.53</v>
      </c>
      <c r="F9" s="8">
        <v>8381.2999999999993</v>
      </c>
    </row>
    <row r="10" spans="1:6" ht="13.95" customHeight="1" x14ac:dyDescent="0.3">
      <c r="A10" s="5" t="s">
        <v>27</v>
      </c>
      <c r="B10" s="6">
        <v>26.53</v>
      </c>
      <c r="C10" s="6">
        <v>31.38</v>
      </c>
      <c r="D10" s="6">
        <v>36.46</v>
      </c>
      <c r="E10" s="6">
        <v>36.69</v>
      </c>
      <c r="F10" s="6">
        <v>40.549999999999997</v>
      </c>
    </row>
    <row r="11" spans="1:6" ht="13.95" customHeight="1" x14ac:dyDescent="0.3">
      <c r="A11" s="1" t="s">
        <v>45</v>
      </c>
      <c r="B11" s="2"/>
      <c r="C11" s="2"/>
      <c r="D11" s="2"/>
      <c r="E11" s="2"/>
      <c r="F11" s="12"/>
    </row>
    <row r="12" spans="1:6" ht="13.95" customHeight="1" x14ac:dyDescent="0.3">
      <c r="A12" s="5" t="s">
        <v>46</v>
      </c>
      <c r="B12" s="6">
        <v>364.34</v>
      </c>
      <c r="C12" s="6">
        <v>26.05</v>
      </c>
      <c r="D12" s="6">
        <v>162.88999999999999</v>
      </c>
      <c r="E12" s="6">
        <v>134.13</v>
      </c>
      <c r="F12" s="6">
        <v>250.36</v>
      </c>
    </row>
    <row r="13" spans="1:6" ht="13.95" customHeight="1" x14ac:dyDescent="0.3">
      <c r="A13" s="5" t="s">
        <v>47</v>
      </c>
      <c r="B13" s="6">
        <v>109.05</v>
      </c>
      <c r="C13" s="6">
        <v>23.14</v>
      </c>
      <c r="D13" s="6">
        <v>17.43</v>
      </c>
      <c r="E13" s="6">
        <v>13.91</v>
      </c>
      <c r="F13" s="6">
        <v>82.27</v>
      </c>
    </row>
    <row r="14" spans="1:6" ht="13.95" customHeight="1" x14ac:dyDescent="0.3">
      <c r="A14" s="5" t="s">
        <v>48</v>
      </c>
      <c r="B14" s="6">
        <v>4.25</v>
      </c>
      <c r="C14" s="6">
        <v>4.5599999999999996</v>
      </c>
      <c r="D14" s="6">
        <v>4.66</v>
      </c>
      <c r="E14" s="6">
        <v>1.37</v>
      </c>
      <c r="F14" s="6">
        <v>143.83000000000001</v>
      </c>
    </row>
    <row r="15" spans="1:6" ht="13.95" customHeight="1" x14ac:dyDescent="0.3">
      <c r="A15" s="5" t="s">
        <v>49</v>
      </c>
      <c r="B15" s="6">
        <v>56.5</v>
      </c>
      <c r="C15" s="6">
        <v>59.52</v>
      </c>
      <c r="D15" s="6">
        <v>62.94</v>
      </c>
      <c r="E15" s="6">
        <v>63.31</v>
      </c>
      <c r="F15" s="6">
        <v>63.68</v>
      </c>
    </row>
    <row r="16" spans="1:6" ht="13.95" customHeight="1" x14ac:dyDescent="0.3">
      <c r="A16" s="7" t="s">
        <v>50</v>
      </c>
      <c r="B16" s="11">
        <v>534.14</v>
      </c>
      <c r="C16" s="11">
        <v>113.27</v>
      </c>
      <c r="D16" s="11">
        <v>247.92</v>
      </c>
      <c r="E16" s="11">
        <v>212.72</v>
      </c>
      <c r="F16" s="11">
        <v>540.14</v>
      </c>
    </row>
    <row r="17" spans="1:7" ht="13.95" customHeight="1" x14ac:dyDescent="0.3">
      <c r="A17" s="1" t="s">
        <v>51</v>
      </c>
      <c r="B17" s="2"/>
      <c r="C17" s="2"/>
      <c r="D17" s="2"/>
      <c r="E17" s="2"/>
      <c r="F17" s="12"/>
    </row>
    <row r="18" spans="1:7" ht="13.95" customHeight="1" x14ac:dyDescent="0.3">
      <c r="A18" s="5" t="s">
        <v>52</v>
      </c>
      <c r="B18" s="6">
        <v>464.49</v>
      </c>
      <c r="C18" s="6">
        <v>498.23</v>
      </c>
      <c r="D18" s="6">
        <v>304.24</v>
      </c>
      <c r="E18" s="6">
        <v>349.14</v>
      </c>
      <c r="F18" s="6">
        <v>617.29</v>
      </c>
    </row>
    <row r="19" spans="1:7" ht="13.95" customHeight="1" x14ac:dyDescent="0.3">
      <c r="A19" s="5" t="s">
        <v>53</v>
      </c>
      <c r="B19" s="9">
        <v>1410.32</v>
      </c>
      <c r="C19" s="9">
        <v>1455.43</v>
      </c>
      <c r="D19" s="9">
        <v>1482.15</v>
      </c>
      <c r="E19" s="9">
        <v>1915.26</v>
      </c>
      <c r="F19" s="9">
        <v>2017.95</v>
      </c>
    </row>
    <row r="20" spans="1:7" ht="13.95" customHeight="1" x14ac:dyDescent="0.3">
      <c r="A20" s="5" t="s">
        <v>54</v>
      </c>
      <c r="B20" s="6">
        <v>452.16</v>
      </c>
      <c r="C20" s="6">
        <v>576.41</v>
      </c>
      <c r="D20" s="6">
        <v>511.95</v>
      </c>
      <c r="E20" s="6">
        <v>481.95</v>
      </c>
      <c r="F20" s="6">
        <v>501.3</v>
      </c>
    </row>
    <row r="21" spans="1:7" ht="13.95" customHeight="1" x14ac:dyDescent="0.3">
      <c r="A21" s="5" t="s">
        <v>55</v>
      </c>
      <c r="B21" s="6">
        <v>107.47</v>
      </c>
      <c r="C21" s="6">
        <v>130.24</v>
      </c>
      <c r="D21" s="6">
        <v>165.54</v>
      </c>
      <c r="E21" s="6">
        <v>187.84</v>
      </c>
      <c r="F21" s="6">
        <v>186</v>
      </c>
    </row>
    <row r="22" spans="1:7" ht="13.95" customHeight="1" x14ac:dyDescent="0.3">
      <c r="A22" s="7" t="s">
        <v>56</v>
      </c>
      <c r="B22" s="8">
        <v>2434.44</v>
      </c>
      <c r="C22" s="8">
        <v>2660.31</v>
      </c>
      <c r="D22" s="8">
        <v>2463.88</v>
      </c>
      <c r="E22" s="8">
        <v>2934.19</v>
      </c>
      <c r="F22" s="8">
        <v>3322.54</v>
      </c>
    </row>
    <row r="23" spans="1:7" ht="13.95" customHeight="1" x14ac:dyDescent="0.3">
      <c r="A23" s="7" t="s">
        <v>57</v>
      </c>
      <c r="B23" s="8">
        <v>8701.6299999999992</v>
      </c>
      <c r="C23" s="8">
        <v>8436.64</v>
      </c>
      <c r="D23" s="8">
        <v>9354.01</v>
      </c>
      <c r="E23" s="8">
        <v>10847.13</v>
      </c>
      <c r="F23" s="8">
        <v>12284.53</v>
      </c>
    </row>
    <row r="24" spans="1:7" ht="13.95" customHeight="1" x14ac:dyDescent="0.3">
      <c r="A24" s="1" t="s">
        <v>58</v>
      </c>
      <c r="B24" s="2"/>
      <c r="C24" s="2"/>
      <c r="D24" s="2"/>
      <c r="E24" s="2"/>
      <c r="F24" s="12"/>
    </row>
    <row r="25" spans="1:7" ht="13.95" customHeight="1" x14ac:dyDescent="0.3">
      <c r="A25" s="1" t="s">
        <v>59</v>
      </c>
      <c r="B25" s="2"/>
      <c r="C25" s="2"/>
      <c r="D25" s="2"/>
      <c r="E25" s="2"/>
      <c r="F25" s="12"/>
    </row>
    <row r="26" spans="1:7" ht="13.95" customHeight="1" x14ac:dyDescent="0.3">
      <c r="A26" s="5" t="s">
        <v>60</v>
      </c>
      <c r="B26" s="9">
        <v>1606.26</v>
      </c>
      <c r="C26" s="9">
        <v>1600.07</v>
      </c>
      <c r="D26" s="9">
        <v>1872.53</v>
      </c>
      <c r="E26" s="9">
        <v>1862.2</v>
      </c>
      <c r="F26" s="9">
        <v>2017.02</v>
      </c>
    </row>
    <row r="27" spans="1:7" ht="13.95" customHeight="1" x14ac:dyDescent="0.3">
      <c r="A27" s="5" t="s">
        <v>61</v>
      </c>
      <c r="B27" s="6">
        <v>10.31</v>
      </c>
      <c r="C27" s="6">
        <v>32.92</v>
      </c>
      <c r="D27" s="6">
        <v>44.18</v>
      </c>
      <c r="E27" s="6">
        <v>44.71</v>
      </c>
      <c r="F27" s="6">
        <v>39.729999999999997</v>
      </c>
    </row>
    <row r="28" spans="1:7" ht="13.95" customHeight="1" x14ac:dyDescent="0.3">
      <c r="A28" s="5" t="s">
        <v>62</v>
      </c>
      <c r="B28" s="6">
        <v>41.51</v>
      </c>
      <c r="C28" s="6">
        <v>63.76</v>
      </c>
      <c r="D28" s="6">
        <v>146.57</v>
      </c>
      <c r="E28" s="6">
        <v>147.30000000000001</v>
      </c>
      <c r="F28" s="6">
        <v>167.5</v>
      </c>
    </row>
    <row r="29" spans="1:7" ht="13.95" customHeight="1" x14ac:dyDescent="0.3">
      <c r="A29" s="7" t="s">
        <v>63</v>
      </c>
      <c r="B29" s="8">
        <v>1658.08</v>
      </c>
      <c r="C29" s="8">
        <v>1696.75</v>
      </c>
      <c r="D29" s="8">
        <v>2063.2800000000002</v>
      </c>
      <c r="E29" s="8">
        <v>2054.21</v>
      </c>
      <c r="F29" s="8">
        <v>2224.25</v>
      </c>
      <c r="G29" s="100"/>
    </row>
    <row r="30" spans="1:7" ht="13.95" customHeight="1" x14ac:dyDescent="0.3">
      <c r="A30" s="5" t="s">
        <v>64</v>
      </c>
      <c r="B30" s="9">
        <v>3091.78</v>
      </c>
      <c r="C30" s="9">
        <v>2633.35</v>
      </c>
      <c r="D30" s="9">
        <v>1409.23</v>
      </c>
      <c r="E30" s="9">
        <v>3413.62</v>
      </c>
      <c r="F30" s="9">
        <v>5365.06</v>
      </c>
    </row>
    <row r="31" spans="1:7" ht="13.95" customHeight="1" x14ac:dyDescent="0.3">
      <c r="A31" s="5" t="s">
        <v>65</v>
      </c>
      <c r="B31" s="6">
        <v>0</v>
      </c>
      <c r="C31" s="6">
        <v>0</v>
      </c>
      <c r="D31" s="6">
        <v>22</v>
      </c>
      <c r="E31" s="6">
        <v>17.95</v>
      </c>
      <c r="F31" s="6">
        <v>0.67</v>
      </c>
    </row>
    <row r="32" spans="1:7" ht="13.95" customHeight="1" x14ac:dyDescent="0.3">
      <c r="A32" s="5" t="s">
        <v>66</v>
      </c>
      <c r="B32" s="6">
        <v>18.96</v>
      </c>
      <c r="C32" s="6">
        <v>17.559999999999999</v>
      </c>
      <c r="D32" s="6">
        <v>24.64</v>
      </c>
      <c r="E32" s="6">
        <v>22.48</v>
      </c>
      <c r="F32" s="6">
        <v>0</v>
      </c>
    </row>
    <row r="33" spans="1:6" ht="13.95" customHeight="1" x14ac:dyDescent="0.3">
      <c r="A33" s="5" t="s">
        <v>67</v>
      </c>
      <c r="B33" s="6">
        <v>81.52</v>
      </c>
      <c r="C33" s="6">
        <v>166.68</v>
      </c>
      <c r="D33" s="6">
        <v>618.63</v>
      </c>
      <c r="E33" s="6">
        <v>226.92</v>
      </c>
      <c r="F33" s="6">
        <v>126.56</v>
      </c>
    </row>
    <row r="34" spans="1:6" ht="13.95" customHeight="1" x14ac:dyDescent="0.3">
      <c r="A34" s="7" t="s">
        <v>68</v>
      </c>
      <c r="B34" s="8">
        <v>5261.88</v>
      </c>
      <c r="C34" s="8">
        <v>4850.41</v>
      </c>
      <c r="D34" s="8">
        <v>4473.75</v>
      </c>
      <c r="E34" s="8">
        <v>6071.19</v>
      </c>
      <c r="F34" s="8">
        <v>7967.69</v>
      </c>
    </row>
    <row r="35" spans="1:6" ht="13.95" customHeight="1" x14ac:dyDescent="0.3">
      <c r="A35" s="1" t="s">
        <v>69</v>
      </c>
      <c r="B35" s="2"/>
      <c r="C35" s="2"/>
      <c r="D35" s="2"/>
      <c r="E35" s="2"/>
      <c r="F35" s="12"/>
    </row>
    <row r="36" spans="1:6" ht="13.95" customHeight="1" x14ac:dyDescent="0.3">
      <c r="A36" s="5" t="s">
        <v>70</v>
      </c>
      <c r="B36" s="6">
        <v>713.39</v>
      </c>
      <c r="C36" s="6">
        <v>725.41</v>
      </c>
      <c r="D36" s="9">
        <v>1391.03</v>
      </c>
      <c r="E36" s="6">
        <v>746.01</v>
      </c>
      <c r="F36" s="6">
        <v>854.56</v>
      </c>
    </row>
    <row r="37" spans="1:6" ht="13.95" customHeight="1" x14ac:dyDescent="0.3">
      <c r="A37" s="5" t="s">
        <v>71</v>
      </c>
      <c r="B37" s="9">
        <v>1256.18</v>
      </c>
      <c r="C37" s="9">
        <v>1300.53</v>
      </c>
      <c r="D37" s="9">
        <v>1379.57</v>
      </c>
      <c r="E37" s="9">
        <v>1734.28</v>
      </c>
      <c r="F37" s="9">
        <v>1911.37</v>
      </c>
    </row>
    <row r="38" spans="1:6" ht="13.95" customHeight="1" x14ac:dyDescent="0.3">
      <c r="A38" s="5" t="s">
        <v>72</v>
      </c>
      <c r="B38" s="6">
        <v>706.08</v>
      </c>
      <c r="C38" s="6">
        <v>833.56</v>
      </c>
      <c r="D38" s="6">
        <v>813.89</v>
      </c>
      <c r="E38" s="6">
        <v>561.58000000000004</v>
      </c>
      <c r="F38" s="6">
        <v>646.15</v>
      </c>
    </row>
    <row r="39" spans="1:6" ht="13.95" customHeight="1" x14ac:dyDescent="0.3">
      <c r="A39" s="5" t="s">
        <v>73</v>
      </c>
      <c r="B39" s="6">
        <v>306.06</v>
      </c>
      <c r="C39" s="6">
        <v>328.16</v>
      </c>
      <c r="D39" s="6">
        <v>811.37</v>
      </c>
      <c r="E39" s="9">
        <v>1329.03</v>
      </c>
      <c r="F39" s="6">
        <v>570.14</v>
      </c>
    </row>
    <row r="40" spans="1:6" ht="13.95" customHeight="1" x14ac:dyDescent="0.3">
      <c r="A40" s="5" t="s">
        <v>74</v>
      </c>
      <c r="B40" s="6">
        <v>34.880000000000003</v>
      </c>
      <c r="C40" s="6">
        <v>11.04</v>
      </c>
      <c r="D40" s="6">
        <v>13.07</v>
      </c>
      <c r="E40" s="6">
        <v>14.46</v>
      </c>
      <c r="F40" s="6">
        <v>0</v>
      </c>
    </row>
    <row r="41" spans="1:6" ht="13.95" customHeight="1" x14ac:dyDescent="0.3">
      <c r="A41" s="5" t="s">
        <v>75</v>
      </c>
      <c r="B41" s="6">
        <v>423.16</v>
      </c>
      <c r="C41" s="6">
        <v>387.53</v>
      </c>
      <c r="D41" s="6">
        <v>471.33</v>
      </c>
      <c r="E41" s="6">
        <v>390.58</v>
      </c>
      <c r="F41" s="6">
        <v>334.62</v>
      </c>
    </row>
    <row r="42" spans="1:6" ht="13.95" customHeight="1" x14ac:dyDescent="0.3">
      <c r="A42" s="7" t="s">
        <v>76</v>
      </c>
      <c r="B42" s="8">
        <v>3439.75</v>
      </c>
      <c r="C42" s="8">
        <v>3586.23</v>
      </c>
      <c r="D42" s="8">
        <v>4880.26</v>
      </c>
      <c r="E42" s="8">
        <v>4775.9399999999996</v>
      </c>
      <c r="F42" s="8">
        <v>4316.84</v>
      </c>
    </row>
    <row r="43" spans="1:6" ht="13.95" customHeight="1" x14ac:dyDescent="0.3">
      <c r="A43" s="7" t="s">
        <v>77</v>
      </c>
      <c r="B43" s="8">
        <v>8701.6299999999992</v>
      </c>
      <c r="C43" s="8">
        <v>8436.64</v>
      </c>
      <c r="D43" s="8">
        <v>9354.01</v>
      </c>
      <c r="E43" s="8">
        <v>10847.13</v>
      </c>
      <c r="F43" s="8">
        <v>12284.53</v>
      </c>
    </row>
    <row r="44" spans="1:6" ht="13.95" customHeight="1" x14ac:dyDescent="0.3">
      <c r="A44" s="1" t="s">
        <v>30</v>
      </c>
      <c r="B44" s="2"/>
      <c r="C44" s="2"/>
      <c r="D44" s="2"/>
      <c r="E44" s="2"/>
      <c r="F44" s="12"/>
    </row>
    <row r="45" spans="1:6" ht="13.95" customHeight="1" x14ac:dyDescent="0.3">
      <c r="A45" s="1" t="s">
        <v>78</v>
      </c>
      <c r="B45" s="2"/>
      <c r="C45" s="2"/>
      <c r="D45" s="2"/>
      <c r="E45" s="2"/>
      <c r="F45" s="12"/>
    </row>
    <row r="46" spans="1:6" ht="13.95" customHeight="1" x14ac:dyDescent="0.3">
      <c r="A46" s="5" t="s">
        <v>79</v>
      </c>
      <c r="B46" s="6">
        <v>283.33999999999997</v>
      </c>
      <c r="C46" s="6">
        <v>343.88</v>
      </c>
      <c r="D46" s="6">
        <v>360.21</v>
      </c>
      <c r="E46" s="6">
        <v>347.77</v>
      </c>
      <c r="F46" s="6">
        <v>555.05999999999995</v>
      </c>
    </row>
    <row r="47" spans="1:6" ht="13.95" customHeight="1" x14ac:dyDescent="0.3">
      <c r="A47" s="1" t="s">
        <v>80</v>
      </c>
      <c r="B47" s="2"/>
      <c r="C47" s="2"/>
      <c r="D47" s="2"/>
      <c r="E47" s="2"/>
      <c r="F47" s="12"/>
    </row>
    <row r="48" spans="1:6" ht="13.95" customHeight="1" x14ac:dyDescent="0.3">
      <c r="A48" s="5" t="s">
        <v>81</v>
      </c>
      <c r="B48" s="6">
        <v>163.22999999999999</v>
      </c>
      <c r="C48" s="6">
        <v>163.22999999999999</v>
      </c>
      <c r="D48" s="6">
        <v>163.22999999999999</v>
      </c>
      <c r="E48" s="6">
        <v>163.22999999999999</v>
      </c>
      <c r="F48" s="6">
        <v>163.22999999999999</v>
      </c>
    </row>
    <row r="49" spans="1:6" ht="13.95" customHeight="1" x14ac:dyDescent="0.3">
      <c r="A49" s="1" t="s">
        <v>82</v>
      </c>
      <c r="B49" s="2"/>
      <c r="C49" s="2"/>
      <c r="D49" s="2"/>
      <c r="E49" s="2"/>
      <c r="F49" s="12"/>
    </row>
    <row r="50" spans="1:6" ht="13.95" customHeight="1" x14ac:dyDescent="0.3">
      <c r="A50" s="5" t="s">
        <v>83</v>
      </c>
      <c r="B50" s="9">
        <v>2595.9299999999998</v>
      </c>
      <c r="C50" s="9">
        <v>2138</v>
      </c>
      <c r="D50" s="6">
        <v>985.47</v>
      </c>
      <c r="E50" s="9">
        <v>3024.07</v>
      </c>
      <c r="F50" s="9">
        <v>4229.01</v>
      </c>
    </row>
    <row r="51" spans="1:6" ht="13.95" customHeight="1" x14ac:dyDescent="0.3">
      <c r="A51" s="5" t="s">
        <v>84</v>
      </c>
      <c r="B51" s="6">
        <v>484.52</v>
      </c>
      <c r="C51" s="6">
        <v>483.06</v>
      </c>
      <c r="D51" s="6">
        <v>409.29</v>
      </c>
      <c r="E51" s="6">
        <v>387.9</v>
      </c>
      <c r="F51" s="9">
        <v>1142.1600000000001</v>
      </c>
    </row>
    <row r="52" spans="1:6" ht="13.95" customHeight="1" x14ac:dyDescent="0.3">
      <c r="A52" s="1" t="s">
        <v>85</v>
      </c>
      <c r="B52" s="2"/>
      <c r="C52" s="2"/>
      <c r="D52" s="2"/>
      <c r="E52" s="2"/>
      <c r="F52" s="12"/>
    </row>
    <row r="53" spans="1:6" ht="13.95" customHeight="1" x14ac:dyDescent="0.3">
      <c r="A53" s="5" t="s">
        <v>86</v>
      </c>
      <c r="B53" s="6">
        <v>646.64</v>
      </c>
      <c r="C53" s="6">
        <v>700.41</v>
      </c>
      <c r="D53" s="9">
        <v>1382.67</v>
      </c>
      <c r="E53" s="6">
        <v>451.14</v>
      </c>
      <c r="F53" s="6">
        <v>678.49</v>
      </c>
    </row>
    <row r="54" spans="1:6" ht="13.95" customHeight="1" x14ac:dyDescent="0.3">
      <c r="A54" s="5" t="s">
        <v>87</v>
      </c>
      <c r="B54" s="6">
        <v>66.75</v>
      </c>
      <c r="C54" s="6">
        <v>25</v>
      </c>
      <c r="D54" s="6">
        <v>33.11</v>
      </c>
      <c r="E54" s="6">
        <v>320.19</v>
      </c>
      <c r="F54" s="6">
        <v>166.67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P&amp;L ASSUMPTION</vt:lpstr>
      <vt:lpstr>BS ASSUMPTION</vt:lpstr>
      <vt:lpstr>OUTPUT</vt:lpstr>
      <vt:lpstr>P&amp;L</vt:lpstr>
      <vt:lpstr>BS</vt:lpstr>
      <vt:lpstr>CASH FLOW</vt:lpstr>
      <vt:lpstr>DCF VALUATION</vt:lpstr>
      <vt:lpstr>WACC</vt:lpstr>
      <vt:lpstr>SOURCE</vt:lpstr>
      <vt:lpstr>P&amp;L SOURCE</vt:lpstr>
      <vt:lpstr>BS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juhi kumari</cp:lastModifiedBy>
  <cp:lastPrinted>2023-03-11T10:45:00Z</cp:lastPrinted>
  <dcterms:created xsi:type="dcterms:W3CDTF">2023-03-07T11:05:27Z</dcterms:created>
  <dcterms:modified xsi:type="dcterms:W3CDTF">2023-04-08T10:09:28Z</dcterms:modified>
</cp:coreProperties>
</file>