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PROYECTO OLCE\"/>
    </mc:Choice>
  </mc:AlternateContent>
  <xr:revisionPtr revIDLastSave="0" documentId="13_ncr:1_{BD1FB91D-2B1C-4867-A4C9-CDE090E7A161}" xr6:coauthVersionLast="47" xr6:coauthVersionMax="47" xr10:uidLastSave="{00000000-0000-0000-0000-000000000000}"/>
  <bookViews>
    <workbookView xWindow="-120" yWindow="-120" windowWidth="29040" windowHeight="15720" tabRatio="810" firstSheet="1" activeTab="1" xr2:uid="{00000000-000D-0000-FFFF-FFFF00000000}"/>
  </bookViews>
  <sheets>
    <sheet name="Control de incidencias" sheetId="107" state="hidden" r:id="rId1"/>
    <sheet name="Incidencias" sheetId="2" r:id="rId2"/>
    <sheet name="1" sheetId="242" r:id="rId3"/>
    <sheet name="2" sheetId="347" r:id="rId4"/>
    <sheet name="3" sheetId="349" r:id="rId5"/>
    <sheet name="Otros" sheetId="1" state="hidden" r:id="rId6"/>
  </sheets>
  <definedNames>
    <definedName name="_xlnm._FilterDatabase" localSheetId="1" hidden="1">Incidencias!$A$16:$P$17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55" roundtripDataChecksum="8vYX7zbvBXkYx21QEgocLwD3KriVlTxC3diX6XrWNz8="/>
    </ext>
  </extLst>
</workbook>
</file>

<file path=xl/calcChain.xml><?xml version="1.0" encoding="utf-8"?>
<calcChain xmlns="http://schemas.openxmlformats.org/spreadsheetml/2006/main">
  <c r="N16" i="107" l="1"/>
  <c r="N15" i="107"/>
  <c r="N14" i="107"/>
  <c r="N13" i="107"/>
  <c r="N12" i="107"/>
  <c r="N11" i="107"/>
  <c r="N10" i="107"/>
  <c r="N9" i="107"/>
  <c r="N8" i="107"/>
  <c r="N7" i="107"/>
  <c r="N6" i="107"/>
  <c r="N4" i="107"/>
  <c r="N5" i="107"/>
  <c r="N3" i="107"/>
  <c r="J3" i="107"/>
  <c r="O3" i="107"/>
  <c r="O4" i="107"/>
  <c r="O5" i="107"/>
  <c r="O6" i="107"/>
  <c r="O7" i="107"/>
  <c r="O8" i="107"/>
  <c r="O9" i="107"/>
  <c r="O10" i="107"/>
  <c r="O11" i="107"/>
  <c r="O12" i="107"/>
  <c r="O13" i="107"/>
  <c r="O14" i="107"/>
  <c r="O15" i="107"/>
  <c r="O16" i="107"/>
  <c r="M16" i="107"/>
  <c r="M15" i="107"/>
  <c r="M14" i="107"/>
  <c r="M13" i="107"/>
  <c r="M12" i="107"/>
  <c r="M11" i="107"/>
  <c r="M10" i="107"/>
  <c r="M9" i="107"/>
  <c r="M8" i="107"/>
  <c r="M7" i="107"/>
  <c r="M6" i="107"/>
  <c r="M5" i="107"/>
  <c r="M4" i="107"/>
  <c r="M3" i="107"/>
  <c r="L4" i="107"/>
  <c r="N17" i="107" l="1"/>
  <c r="O17" i="107"/>
  <c r="B10" i="107" s="1"/>
  <c r="M17" i="107"/>
  <c r="B9" i="107" s="1"/>
  <c r="P9" i="107" l="1"/>
  <c r="G16" i="107"/>
  <c r="G15" i="107"/>
  <c r="G14" i="107"/>
  <c r="G13" i="107"/>
  <c r="G12" i="107"/>
  <c r="G11" i="107"/>
  <c r="G10" i="107"/>
  <c r="G9" i="107"/>
  <c r="G8" i="107"/>
  <c r="G6" i="107"/>
  <c r="G5" i="107"/>
  <c r="G7" i="107"/>
  <c r="G4" i="107"/>
  <c r="G3" i="107"/>
  <c r="H3" i="107"/>
  <c r="P16" i="107"/>
  <c r="P15" i="107"/>
  <c r="P14" i="107"/>
  <c r="P13" i="107"/>
  <c r="P12" i="107"/>
  <c r="P11" i="107"/>
  <c r="P10" i="107"/>
  <c r="P8" i="107"/>
  <c r="P7" i="107"/>
  <c r="P6" i="107"/>
  <c r="P5" i="107"/>
  <c r="P4" i="107"/>
  <c r="P3" i="107"/>
  <c r="L16" i="107"/>
  <c r="L15" i="107"/>
  <c r="L14" i="107"/>
  <c r="L13" i="107"/>
  <c r="L12" i="107"/>
  <c r="L11" i="107"/>
  <c r="L10" i="107"/>
  <c r="L9" i="107"/>
  <c r="L8" i="107"/>
  <c r="L7" i="107"/>
  <c r="L6" i="107"/>
  <c r="L5" i="107"/>
  <c r="L3" i="107"/>
  <c r="K16" i="107"/>
  <c r="K15" i="107"/>
  <c r="K14" i="107"/>
  <c r="K13" i="107"/>
  <c r="K12" i="107"/>
  <c r="K11" i="107"/>
  <c r="K10" i="107"/>
  <c r="K9" i="107"/>
  <c r="K8" i="107"/>
  <c r="K7" i="107"/>
  <c r="K6" i="107"/>
  <c r="K5" i="107"/>
  <c r="K4" i="107"/>
  <c r="K3" i="107"/>
  <c r="J16" i="107"/>
  <c r="J15" i="107"/>
  <c r="J14" i="107"/>
  <c r="J13" i="107"/>
  <c r="J12" i="107"/>
  <c r="J11" i="107"/>
  <c r="J10" i="107"/>
  <c r="J9" i="107"/>
  <c r="J8" i="107"/>
  <c r="J7" i="107"/>
  <c r="J6" i="107"/>
  <c r="J5" i="107"/>
  <c r="J4" i="107"/>
  <c r="H15" i="107"/>
  <c r="H14" i="107"/>
  <c r="I16" i="107"/>
  <c r="I15" i="107"/>
  <c r="I14" i="107"/>
  <c r="I13" i="107"/>
  <c r="I12" i="107"/>
  <c r="I11" i="107"/>
  <c r="I10" i="107"/>
  <c r="I9" i="107"/>
  <c r="I8" i="107"/>
  <c r="I7" i="107"/>
  <c r="I6" i="107"/>
  <c r="I5" i="107"/>
  <c r="I4" i="107"/>
  <c r="I3" i="107"/>
  <c r="H16" i="107"/>
  <c r="H13" i="107"/>
  <c r="H12" i="107"/>
  <c r="H11" i="107"/>
  <c r="H10" i="107"/>
  <c r="H9" i="107"/>
  <c r="H8" i="107"/>
  <c r="H7" i="107"/>
  <c r="H6" i="107"/>
  <c r="H5" i="107"/>
  <c r="H4" i="107"/>
  <c r="M13" i="1"/>
  <c r="M12" i="1"/>
  <c r="M11" i="1"/>
  <c r="M10" i="1"/>
  <c r="M9" i="1"/>
  <c r="M8" i="1"/>
  <c r="M7" i="1"/>
  <c r="M6" i="1"/>
  <c r="M5" i="1"/>
  <c r="R3" i="107" l="1"/>
  <c r="R4" i="107"/>
  <c r="R7" i="107"/>
  <c r="R5" i="107"/>
  <c r="R6" i="107"/>
  <c r="R8" i="107"/>
  <c r="R9" i="107"/>
  <c r="R10" i="107"/>
  <c r="R11" i="107"/>
  <c r="R12" i="107"/>
  <c r="R13" i="107"/>
  <c r="R14" i="107"/>
  <c r="R15" i="107"/>
  <c r="R16" i="107"/>
  <c r="P17" i="107"/>
  <c r="B11" i="107" s="1"/>
  <c r="K17" i="107"/>
  <c r="B7" i="107" s="1"/>
  <c r="L17" i="107"/>
  <c r="B8" i="107" s="1"/>
  <c r="I17" i="107"/>
  <c r="B5" i="107" s="1"/>
  <c r="J17" i="107"/>
  <c r="B6" i="107" s="1"/>
  <c r="H17" i="107"/>
  <c r="B4" i="107" s="1"/>
  <c r="G17" i="107"/>
  <c r="B3" i="107" s="1"/>
  <c r="Q13" i="107"/>
  <c r="Q12" i="107"/>
  <c r="Q11" i="107"/>
  <c r="Q10" i="107"/>
  <c r="Q9" i="107"/>
  <c r="Q8" i="107"/>
  <c r="Q7" i="107"/>
  <c r="Q6" i="107"/>
  <c r="Q5" i="107"/>
  <c r="Q4" i="107"/>
  <c r="Q3" i="107"/>
  <c r="Q16" i="107"/>
  <c r="Q14" i="107"/>
  <c r="Q15" i="107"/>
  <c r="Q17" i="107" l="1"/>
  <c r="B12" i="10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C688B1B9-369E-4B6B-912E-6275F3DE1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Describe la cantidad de problemas registrados, discriminados por el estado de la Incidencia.</t>
        </r>
      </text>
    </comment>
    <comment ref="E2" authorId="0" shapeId="0" xr:uid="{5CCB73A8-C1A5-47C6-893F-C5E96A3FC95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Listar nombre de las personas que realizan la identificación y diligenciamiento del problema</t>
        </r>
      </text>
    </comment>
    <comment ref="F2" authorId="0" shapeId="0" xr:uid="{01D711E8-2722-4DB5-B627-DEE25EDBFDC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Listar nombre de los responsables asignados para atender el problema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Adaia</author>
  </authors>
  <commentList>
    <comment ref="F16" authorId="0" shapeId="0" xr:uid="{0AF4EEE6-BE52-4F8A-AC18-4F5F5C21FC79}">
      <text>
        <r>
          <rPr>
            <b/>
            <sz val="9"/>
            <color indexed="81"/>
            <rFont val="Tahoma"/>
            <family val="2"/>
          </rPr>
          <t>Adaia:</t>
        </r>
        <r>
          <rPr>
            <sz val="9"/>
            <color indexed="81"/>
            <rFont val="Tahoma"/>
            <family val="2"/>
          </rPr>
          <t xml:space="preserve">
Seleccionar de la lista desplegable</t>
        </r>
      </text>
    </comment>
    <comment ref="G16" authorId="0" shapeId="0" xr:uid="{2CEADC8F-54B5-46AE-A723-020F49BEE08C}">
      <text>
        <r>
          <rPr>
            <b/>
            <sz val="9"/>
            <color indexed="81"/>
            <rFont val="Tahoma"/>
            <family val="2"/>
          </rPr>
          <t>Adaia:</t>
        </r>
        <r>
          <rPr>
            <sz val="9"/>
            <color indexed="81"/>
            <rFont val="Tahoma"/>
            <family val="2"/>
          </rPr>
          <t xml:space="preserve">
Seleccionar de la lista desplegable
</t>
        </r>
      </text>
    </comment>
    <comment ref="H16" authorId="0" shapeId="0" xr:uid="{9623A7A5-0512-4675-A73B-6772EEE0DBD6}">
      <text>
        <r>
          <rPr>
            <b/>
            <sz val="9"/>
            <color indexed="81"/>
            <rFont val="Tahoma"/>
            <family val="2"/>
          </rPr>
          <t>Adaia:</t>
        </r>
        <r>
          <rPr>
            <sz val="9"/>
            <color indexed="81"/>
            <rFont val="Tahoma"/>
            <family val="2"/>
          </rPr>
          <t xml:space="preserve">
Seleccionar de la lista desplegable</t>
        </r>
      </text>
    </comment>
    <comment ref="K16" authorId="0" shapeId="0" xr:uid="{B18C7CCC-B34F-46B4-9627-1864DC4FB52E}">
      <text>
        <r>
          <rPr>
            <b/>
            <sz val="9"/>
            <color indexed="81"/>
            <rFont val="Tahoma"/>
            <family val="2"/>
          </rPr>
          <t>Adaia:</t>
        </r>
        <r>
          <rPr>
            <sz val="9"/>
            <color indexed="81"/>
            <rFont val="Tahoma"/>
            <family val="2"/>
          </rPr>
          <t xml:space="preserve">
Seleccionar de la lista desplegable</t>
        </r>
      </text>
    </comment>
    <comment ref="L16" authorId="0" shapeId="0" xr:uid="{4BA54E70-63A4-4459-A1BE-8FD70D4CEB4C}">
      <text>
        <r>
          <rPr>
            <b/>
            <sz val="9"/>
            <color indexed="81"/>
            <rFont val="Tahoma"/>
            <family val="2"/>
          </rPr>
          <t>Adaia:</t>
        </r>
        <r>
          <rPr>
            <sz val="9"/>
            <color indexed="81"/>
            <rFont val="Tahoma"/>
            <family val="2"/>
          </rPr>
          <t xml:space="preserve">
Seleccionar de la lista desplegable</t>
        </r>
      </text>
    </comment>
  </commentList>
</comments>
</file>

<file path=xl/sharedStrings.xml><?xml version="1.0" encoding="utf-8"?>
<sst xmlns="http://schemas.openxmlformats.org/spreadsheetml/2006/main" count="344" uniqueCount="122">
  <si>
    <t>Cantidad Total de Incidencias</t>
  </si>
  <si>
    <t>Registrado Por:</t>
  </si>
  <si>
    <t>Asignado:</t>
  </si>
  <si>
    <t>Pendiente</t>
  </si>
  <si>
    <t>Solucionado</t>
  </si>
  <si>
    <t>No aplica</t>
  </si>
  <si>
    <t>Devuelto</t>
  </si>
  <si>
    <t>Devuelto para VUCE</t>
  </si>
  <si>
    <t>Siguiente Version</t>
  </si>
  <si>
    <t>Validar con Eq.Técnico</t>
  </si>
  <si>
    <t>Desestimado</t>
  </si>
  <si>
    <t>Oportunidad de Mejora</t>
  </si>
  <si>
    <t>Cerrado</t>
  </si>
  <si>
    <t>Total</t>
  </si>
  <si>
    <t>Está Completado</t>
  </si>
  <si>
    <t>PENDIENTE</t>
  </si>
  <si>
    <t>Adaia Silvera</t>
  </si>
  <si>
    <t>SOLUCIONADO</t>
  </si>
  <si>
    <t>Celia Ramirez</t>
  </si>
  <si>
    <t>DEVUELTO</t>
  </si>
  <si>
    <t>Daniel Sanchez</t>
  </si>
  <si>
    <t>NO APLICA</t>
  </si>
  <si>
    <t>Gabriela Polanco</t>
  </si>
  <si>
    <t>DEVUELTO PARA VUCE</t>
  </si>
  <si>
    <t>Jorge Cisneros</t>
  </si>
  <si>
    <t xml:space="preserve">SIGUIENTE VERSION </t>
  </si>
  <si>
    <t>Gianella Arotuma</t>
  </si>
  <si>
    <t>VALIDAR CON EQ. TECNICO</t>
  </si>
  <si>
    <t xml:space="preserve">Max </t>
  </si>
  <si>
    <t>OPORTUNIDAD DE MEJORA</t>
  </si>
  <si>
    <t>Julio</t>
  </si>
  <si>
    <t>CERRADO</t>
  </si>
  <si>
    <t>Luis</t>
  </si>
  <si>
    <t>TOTAL DE INCIDENCIAS</t>
  </si>
  <si>
    <t>Maria Lourdes</t>
  </si>
  <si>
    <t>Maria Luisa</t>
  </si>
  <si>
    <t>Liz Ordoñez</t>
  </si>
  <si>
    <t>Giancarlo</t>
  </si>
  <si>
    <t>José Puntriano</t>
  </si>
  <si>
    <t>REPORTE DE INCIDENCIAS</t>
  </si>
  <si>
    <t>Entregable</t>
  </si>
  <si>
    <t>Fase 1</t>
  </si>
  <si>
    <t>Consorcio</t>
  </si>
  <si>
    <t>NA</t>
  </si>
  <si>
    <t>Analista de Calidad:</t>
  </si>
  <si>
    <t>Analista Desarrollador:</t>
  </si>
  <si>
    <t>Analista BD:</t>
  </si>
  <si>
    <t>Analista Operaciones:</t>
  </si>
  <si>
    <t>Analista Funcional:</t>
  </si>
  <si>
    <t>Seleccionar el ambiente de la lista desplegable</t>
  </si>
  <si>
    <t>Seleccionar el tipo de prueba de la lista desplegable</t>
  </si>
  <si>
    <t>Seleccionar el tipo de incidencia  de la lista desplegable</t>
  </si>
  <si>
    <t>Seleccionar la gravedad de la lista desplegable</t>
  </si>
  <si>
    <t>Seleccionar al responsable de la lista desplegable</t>
  </si>
  <si>
    <t>Seleccionar el estado de la lista desplegable</t>
  </si>
  <si>
    <t>NRO.</t>
  </si>
  <si>
    <t>EPICA</t>
  </si>
  <si>
    <t>HU/CP</t>
  </si>
  <si>
    <t>VERSIÓN DE HU</t>
  </si>
  <si>
    <t>MODULO</t>
  </si>
  <si>
    <t>Ambiente de prueba</t>
  </si>
  <si>
    <t>TIPO DE PRUEBA</t>
  </si>
  <si>
    <t>TIPO INCIDENCIA</t>
  </si>
  <si>
    <t>FECHA</t>
  </si>
  <si>
    <t>INCIDENTE</t>
  </si>
  <si>
    <t>GRAVEDAD</t>
  </si>
  <si>
    <t>REGISTRADOR</t>
  </si>
  <si>
    <t>RESPONSABLE</t>
  </si>
  <si>
    <t>ESTADO</t>
  </si>
  <si>
    <t>COMENTARIO RESPONSABLE</t>
  </si>
  <si>
    <t>COMENTARIO REGISTRADOR</t>
  </si>
  <si>
    <t>Certificación</t>
  </si>
  <si>
    <t>Software</t>
  </si>
  <si>
    <t xml:space="preserve">Funcional </t>
  </si>
  <si>
    <t>Mayor</t>
  </si>
  <si>
    <t>Menor</t>
  </si>
  <si>
    <t>FECHA:</t>
  </si>
  <si>
    <t>ANALISTA:</t>
  </si>
  <si>
    <t xml:space="preserve">   </t>
  </si>
  <si>
    <t>Tipo de prueba</t>
  </si>
  <si>
    <t>Gravedad</t>
  </si>
  <si>
    <t>Estado</t>
  </si>
  <si>
    <t>Tipo de incidencia</t>
  </si>
  <si>
    <t>Ambiente</t>
  </si>
  <si>
    <t>Analistas QA</t>
  </si>
  <si>
    <t>Documentación</t>
  </si>
  <si>
    <t>Bloqueante</t>
  </si>
  <si>
    <t>No Funcional</t>
  </si>
  <si>
    <t>Capacitación</t>
  </si>
  <si>
    <t>Descarga Masiva</t>
  </si>
  <si>
    <t>Producción</t>
  </si>
  <si>
    <t>USUARIO</t>
  </si>
  <si>
    <t>Mejora</t>
  </si>
  <si>
    <t>Intercambio Electrónico</t>
  </si>
  <si>
    <t>VISITAS</t>
  </si>
  <si>
    <t>Versionamiento</t>
  </si>
  <si>
    <t>CONTRATOS</t>
  </si>
  <si>
    <t>SIGUIENTE VERSION</t>
  </si>
  <si>
    <t>DRAFT</t>
  </si>
  <si>
    <t>AFORO</t>
  </si>
  <si>
    <t>DESESTIMADO</t>
  </si>
  <si>
    <t>Max</t>
  </si>
  <si>
    <t>PERFILES Y ROLES</t>
  </si>
  <si>
    <t>Julio Soria</t>
  </si>
  <si>
    <t>CONTROL INCIAL</t>
  </si>
  <si>
    <t>REGISTRO DE LLEGADA</t>
  </si>
  <si>
    <t>LOTES</t>
  </si>
  <si>
    <t>HU_028 “Calcular información de Indicador 3.13.4”</t>
  </si>
  <si>
    <t>INDICADORES</t>
  </si>
  <si>
    <t>19/06/2024</t>
  </si>
  <si>
    <t>CALCULO DE INDICADORES</t>
  </si>
  <si>
    <t>Cuando se borraron todos los datos en la colección que alimenta el indicador: Evolución de trámites de mercancías restringidas en VUCE</t>
  </si>
  <si>
    <t>El sistema muestra la ventana de cargando de forma constante, no se tiene mapeado (en HU/PPS/Adenda u otro documento) el comportamiento del sistema cuando no existen datos</t>
  </si>
  <si>
    <t>ANTES DEL BORRADO</t>
  </si>
  <si>
    <t>Se acuerdo a la renunión con el equipo OLCE, se observó que en la documentación no menciona la caracteristica del calculo si es de caracter incremental u otros</t>
  </si>
  <si>
    <t>No menciona que el indicador pasa por el flujo de carga incremental.</t>
  </si>
  <si>
    <t>Se acuerdo a la renunión con el equipo OLCE, se observó que en la documentación no menciona la caracteristica del calculo si es de caracter incremental u otros. No menciona que el indicador pasa por el flujo de carga incremental.</t>
  </si>
  <si>
    <t>DESPUES DEL BORRADO</t>
  </si>
  <si>
    <t>Cuando se borraron todos los datos en la colección que alimenta el indicador: Evolución de trámites de mercancías restringidas en VUCE. El sistema muestra la ventana de cargando de forma constante, no se tiene mapeado (en HU/PPS/Adenda u otro documento) el comportamiento del sistema cuando no existen datos</t>
  </si>
  <si>
    <t>Sugerencia de Calidad 1: Debería mostrarse los cuadrantes vacíos sin mostrar información. O ALGUN MENSAJE, que informe que no exista data</t>
  </si>
  <si>
    <t>Sugerencia de Calidad 2: Se tendrá que homologar la solución que se aplique para los demás indicadores debido que este comportamiento tiene caracter tranversal</t>
  </si>
  <si>
    <t>Se acuerdo a la renunión con el equipo OLCE, se observó que en el log del Kafka, debería tambien registrar el log del procesamiento de los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</si>
</sst>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0C0C0C"/>
      <name val="Calibri"/>
      <family val="2"/>
    </font>
    <font>
      <b/>
      <sz val="11"/>
      <color rgb="FF000000"/>
      <name val="Calibri"/>
      <family val="2"/>
    </font>
    <font>
      <b/>
      <sz val="11"/>
      <color rgb="FF0C0C0C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36"/>
      <color rgb="FFFFFFFF"/>
      <name val="Calibri"/>
      <family val="2"/>
    </font>
    <font>
      <sz val="11"/>
      <name val="Amasis MT Pro"/>
      <family val="1"/>
    </font>
    <font>
      <b/>
      <sz val="11"/>
      <color theme="0"/>
      <name val="Amasis MT Pro"/>
      <family val="1"/>
    </font>
    <font>
      <sz val="9"/>
      <color theme="1"/>
      <name val="Amasis MT Pro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masis MT Pro"/>
      <family val="1"/>
    </font>
    <font>
      <sz val="10"/>
      <color rgb="FF000000"/>
      <name val="Amasis MT Pro"/>
      <family val="1"/>
    </font>
    <font>
      <b/>
      <sz val="10"/>
      <color theme="1"/>
      <name val="Amasis MT Pro"/>
      <family val="1"/>
    </font>
    <font>
      <b/>
      <sz val="10"/>
      <color rgb="FF000000"/>
      <name val="Amasis MT Pro"/>
      <family val="1"/>
    </font>
    <font>
      <b/>
      <sz val="11"/>
      <color rgb="FF000000"/>
      <name val="Calibri"/>
      <family val="2"/>
      <scheme val="minor"/>
    </font>
    <font>
      <b/>
      <sz val="11"/>
      <color theme="1"/>
      <name val="Amasis MT Pro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424"/>
      <name val="Aptos Narrow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525252"/>
        <bgColor rgb="FF0000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6A6A6"/>
      </left>
      <right/>
      <top/>
      <bottom/>
      <diagonal/>
    </border>
    <border>
      <left style="thin">
        <color rgb="FFA6A6A6"/>
      </left>
      <right/>
      <top/>
      <bottom style="thin">
        <color rgb="FFA6A6A6"/>
      </bottom>
      <diagonal/>
    </border>
    <border>
      <left style="thin">
        <color rgb="FFA6A6A6"/>
      </left>
      <right/>
      <top/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4" fillId="0" borderId="2"/>
    <xf numFmtId="0" fontId="16" fillId="0" borderId="0" applyNumberFormat="0" applyFill="0" applyBorder="0" applyAlignment="0" applyProtection="0"/>
    <xf numFmtId="0" fontId="32" fillId="0" borderId="2"/>
    <xf numFmtId="0" fontId="34" fillId="0" borderId="2"/>
    <xf numFmtId="0" fontId="3" fillId="0" borderId="2"/>
    <xf numFmtId="0" fontId="2" fillId="0" borderId="2"/>
  </cellStyleXfs>
  <cellXfs count="86">
    <xf numFmtId="0" fontId="0" fillId="0" borderId="0" xfId="0"/>
    <xf numFmtId="0" fontId="4" fillId="0" borderId="0" xfId="0" applyFont="1"/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0" fontId="6" fillId="0" borderId="2" xfId="0" applyFont="1" applyBorder="1"/>
    <xf numFmtId="49" fontId="4" fillId="0" borderId="3" xfId="0" applyNumberFormat="1" applyFont="1" applyBorder="1" applyAlignment="1">
      <alignment vertical="center"/>
    </xf>
    <xf numFmtId="0" fontId="6" fillId="0" borderId="3" xfId="0" applyFont="1" applyBorder="1"/>
    <xf numFmtId="49" fontId="4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49" fontId="9" fillId="2" borderId="10" xfId="0" applyNumberFormat="1" applyFont="1" applyFill="1" applyBorder="1" applyAlignment="1">
      <alignment horizontal="left" vertical="center" wrapText="1"/>
    </xf>
    <xf numFmtId="0" fontId="25" fillId="0" borderId="15" xfId="0" applyFont="1" applyBorder="1"/>
    <xf numFmtId="0" fontId="25" fillId="0" borderId="13" xfId="0" applyFont="1" applyBorder="1"/>
    <xf numFmtId="0" fontId="25" fillId="0" borderId="14" xfId="0" applyFont="1" applyBorder="1"/>
    <xf numFmtId="0" fontId="25" fillId="5" borderId="10" xfId="0" applyFont="1" applyFill="1" applyBorder="1"/>
    <xf numFmtId="0" fontId="25" fillId="5" borderId="10" xfId="0" applyFont="1" applyFill="1" applyBorder="1" applyAlignment="1">
      <alignment horizontal="center" vertical="center"/>
    </xf>
    <xf numFmtId="0" fontId="25" fillId="0" borderId="10" xfId="0" applyFont="1" applyBorder="1"/>
    <xf numFmtId="0" fontId="26" fillId="0" borderId="10" xfId="0" applyFont="1" applyBorder="1" applyAlignment="1">
      <alignment horizontal="center" vertical="center"/>
    </xf>
    <xf numFmtId="0" fontId="0" fillId="0" borderId="10" xfId="0" applyBorder="1"/>
    <xf numFmtId="0" fontId="27" fillId="5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2" fillId="0" borderId="10" xfId="0" applyFont="1" applyBorder="1" applyAlignment="1">
      <alignment horizontal="left"/>
    </xf>
    <xf numFmtId="0" fontId="28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29" fillId="6" borderId="10" xfId="0" applyFont="1" applyFill="1" applyBorder="1" applyAlignment="1">
      <alignment horizontal="center"/>
    </xf>
    <xf numFmtId="0" fontId="22" fillId="0" borderId="16" xfId="0" applyFont="1" applyBorder="1"/>
    <xf numFmtId="0" fontId="30" fillId="0" borderId="10" xfId="0" applyFont="1" applyBorder="1" applyAlignment="1">
      <alignment horizontal="center" vertical="center"/>
    </xf>
    <xf numFmtId="0" fontId="9" fillId="0" borderId="0" xfId="0" applyFont="1"/>
    <xf numFmtId="0" fontId="17" fillId="7" borderId="1" xfId="0" applyFont="1" applyFill="1" applyBorder="1" applyAlignment="1">
      <alignment horizontal="center" vertical="center" wrapText="1"/>
    </xf>
    <xf numFmtId="0" fontId="31" fillId="0" borderId="3" xfId="0" applyFont="1" applyBorder="1"/>
    <xf numFmtId="0" fontId="9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2" fillId="0" borderId="2" xfId="6"/>
    <xf numFmtId="0" fontId="0" fillId="0" borderId="2" xfId="0" applyBorder="1"/>
    <xf numFmtId="0" fontId="15" fillId="0" borderId="1" xfId="0" applyFont="1" applyBorder="1" applyAlignment="1">
      <alignment horizontal="left" vertical="center" wrapText="1"/>
    </xf>
    <xf numFmtId="0" fontId="20" fillId="5" borderId="10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10" fillId="2" borderId="10" xfId="0" applyFont="1" applyFill="1" applyBorder="1" applyAlignment="1">
      <alignment horizontal="left" vertical="center"/>
    </xf>
    <xf numFmtId="0" fontId="6" fillId="0" borderId="10" xfId="0" applyFont="1" applyBorder="1" applyAlignment="1"/>
    <xf numFmtId="49" fontId="11" fillId="2" borderId="2" xfId="0" applyNumberFormat="1" applyFont="1" applyFill="1" applyBorder="1" applyAlignment="1">
      <alignment horizontal="left" vertical="center"/>
    </xf>
    <xf numFmtId="0" fontId="6" fillId="0" borderId="2" xfId="0" applyFont="1" applyBorder="1" applyAlignment="1"/>
    <xf numFmtId="49" fontId="12" fillId="2" borderId="11" xfId="0" applyNumberFormat="1" applyFont="1" applyFill="1" applyBorder="1" applyAlignment="1">
      <alignment horizontal="left" vertical="center"/>
    </xf>
    <xf numFmtId="49" fontId="12" fillId="2" borderId="21" xfId="0" applyNumberFormat="1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2" xfId="6" applyFont="1"/>
    <xf numFmtId="0" fontId="35" fillId="8" borderId="2" xfId="0" applyFont="1" applyFill="1" applyBorder="1"/>
    <xf numFmtId="0" fontId="36" fillId="0" borderId="2" xfId="0" applyFont="1" applyBorder="1"/>
  </cellXfs>
  <cellStyles count="7">
    <cellStyle name="Hyperlink" xfId="2" xr:uid="{00000000-000B-0000-0000-000008000000}"/>
    <cellStyle name="Normal" xfId="0" builtinId="0"/>
    <cellStyle name="Normal 2" xfId="1" xr:uid="{86FC48BC-48CA-40A4-B013-D987DE84237F}"/>
    <cellStyle name="Normal 3" xfId="3" xr:uid="{B82B5A24-F3F4-4681-AF8B-B0DD6271DF11}"/>
    <cellStyle name="Normal 4" xfId="4" xr:uid="{0FC6F9C0-2560-410A-B6F6-C616FD2818A2}"/>
    <cellStyle name="Normal 5" xfId="5" xr:uid="{CE2DC325-3CAC-4B3A-AC07-302CE24EE304}"/>
    <cellStyle name="Normal 6" xfId="6" xr:uid="{9A8C98F9-F2C5-4253-B529-1A3E403A472A}"/>
  </cellStyles>
  <dxfs count="51">
    <dxf>
      <font>
        <b/>
        <i val="0"/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/>
      </font>
      <fill>
        <patternFill>
          <bgColor rgb="FFFFFF00"/>
        </patternFill>
      </fill>
    </dxf>
    <dxf>
      <font>
        <color theme="3"/>
      </font>
      <fill>
        <patternFill>
          <bgColor rgb="FFFFFF00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C92"/>
      </font>
      <fill>
        <patternFill>
          <bgColor rgb="FF7DDD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/>
      </font>
      <fill>
        <patternFill>
          <bgColor rgb="FFFFFF00"/>
        </patternFill>
      </fill>
    </dxf>
    <dxf>
      <font>
        <color theme="3"/>
      </font>
      <fill>
        <patternFill>
          <bgColor rgb="FFFFFF00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C92"/>
      </font>
      <fill>
        <patternFill>
          <bgColor rgb="FF7DDD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/>
      </font>
      <fill>
        <patternFill>
          <bgColor rgb="FFFFFF00"/>
        </patternFill>
      </fill>
    </dxf>
    <dxf>
      <font>
        <color theme="3"/>
      </font>
      <fill>
        <patternFill>
          <bgColor rgb="FFFFFF00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C92"/>
      </font>
      <fill>
        <patternFill>
          <bgColor rgb="FF7DDD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C92"/>
      </font>
      <fill>
        <patternFill>
          <bgColor rgb="FF7DDDFF"/>
        </patternFill>
      </fill>
    </dxf>
    <dxf>
      <font>
        <b/>
        <i val="0"/>
        <color rgb="FFFFFFFF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masis MT Pro"/>
        <family val="1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masis MT Pro"/>
        <family val="1"/>
        <scheme val="none"/>
      </font>
      <fill>
        <patternFill patternType="none">
          <fgColor rgb="FF000000"/>
          <bgColor auto="1"/>
        </patternFill>
      </fill>
    </dxf>
    <dxf>
      <border outline="0"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masis MT Pro"/>
        <family val="1"/>
        <scheme val="none"/>
      </font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masis MT Pro"/>
        <family val="1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masis MT Pro"/>
        <family val="1"/>
        <scheme val="none"/>
      </font>
      <fill>
        <patternFill patternType="none">
          <fgColor rgb="FF000000"/>
          <bgColor auto="1"/>
        </patternFill>
      </fill>
    </dxf>
    <dxf>
      <border outline="0"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masis MT Pro"/>
        <family val="1"/>
        <scheme val="none"/>
      </font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7DDDFF"/>
      <color rgb="FF006C92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55" Type="http://customschemas.google.com/relationships/workbookmetadata" Target="metadata"/><Relationship Id="rId3" Type="http://schemas.openxmlformats.org/officeDocument/2006/relationships/worksheet" Target="worksheets/sheet3.xml"/><Relationship Id="rId159" Type="http://schemas.openxmlformats.org/officeDocument/2006/relationships/calcChain" Target="calcChain.xml"/><Relationship Id="rId158" Type="http://schemas.openxmlformats.org/officeDocument/2006/relationships/sharedStrings" Target="sharedStrings.xml"/><Relationship Id="rId16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7" Type="http://schemas.openxmlformats.org/officeDocument/2006/relationships/styles" Target="styles.xml"/><Relationship Id="rId5" Type="http://schemas.openxmlformats.org/officeDocument/2006/relationships/worksheet" Target="worksheets/sheet5.xml"/><Relationship Id="rId160" Type="http://schemas.openxmlformats.org/officeDocument/2006/relationships/customXml" Target="../customXml/item1.xml"/><Relationship Id="rId156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585106</xdr:colOff>
      <xdr:row>11</xdr:row>
      <xdr:rowOff>173691</xdr:rowOff>
    </xdr:from>
    <xdr:to>
      <xdr:col>20</xdr:col>
      <xdr:colOff>84451</xdr:colOff>
      <xdr:row>61</xdr:row>
      <xdr:rowOff>3547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69B593-EDEA-4F81-AE92-D7ED397C6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106" y="2269191"/>
          <a:ext cx="15011488" cy="93548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40821</xdr:rowOff>
    </xdr:from>
    <xdr:to>
      <xdr:col>22</xdr:col>
      <xdr:colOff>466044</xdr:colOff>
      <xdr:row>110</xdr:row>
      <xdr:rowOff>74904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78B987-5BC2-4920-8E9E-A3951715B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042321"/>
          <a:ext cx="17230044" cy="8987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52021</xdr:rowOff>
    </xdr:from>
    <xdr:to>
      <xdr:col>22</xdr:col>
      <xdr:colOff>428625</xdr:colOff>
      <xdr:row>160</xdr:row>
      <xdr:rowOff>80374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24977C4-CBBF-4213-8D3E-644970F85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959521"/>
          <a:ext cx="17192625" cy="86008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598714</xdr:colOff>
      <xdr:row>8</xdr:row>
      <xdr:rowOff>44024</xdr:rowOff>
    </xdr:from>
    <xdr:to>
      <xdr:col>23</xdr:col>
      <xdr:colOff>764513</xdr:colOff>
      <xdr:row>61</xdr:row>
      <xdr:rowOff>150223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36F553-BE35-4A37-88D0-D2174190B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14" y="1568024"/>
          <a:ext cx="17949534" cy="10202699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448236</xdr:colOff>
      <xdr:row>65</xdr:row>
      <xdr:rowOff>89647</xdr:rowOff>
    </xdr:from>
    <xdr:to>
      <xdr:col>13</xdr:col>
      <xdr:colOff>132469</xdr:colOff>
      <xdr:row>115</xdr:row>
      <xdr:rowOff>176713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33FFD6-C604-42EE-9AEF-583386646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236" y="12472147"/>
          <a:ext cx="9735909" cy="96120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392206</xdr:colOff>
      <xdr:row>65</xdr:row>
      <xdr:rowOff>78441</xdr:rowOff>
    </xdr:from>
    <xdr:to>
      <xdr:col>26</xdr:col>
      <xdr:colOff>543228</xdr:colOff>
      <xdr:row>115</xdr:row>
      <xdr:rowOff>136928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E0D0821-5239-45EC-B93C-4B6740796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43882" y="12460941"/>
          <a:ext cx="10202699" cy="95834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56</xdr:row>
      <xdr:rowOff>78441</xdr:rowOff>
    </xdr:from>
    <xdr:to>
      <xdr:col>23</xdr:col>
      <xdr:colOff>544896</xdr:colOff>
      <xdr:row>104</xdr:row>
      <xdr:rowOff>184507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F08AA1-23D9-4A7D-A52E-6643905E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0746441"/>
          <a:ext cx="18138131" cy="9250066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6</xdr:row>
      <xdr:rowOff>179295</xdr:rowOff>
    </xdr:from>
    <xdr:to>
      <xdr:col>23</xdr:col>
      <xdr:colOff>519677</xdr:colOff>
      <xdr:row>54</xdr:row>
      <xdr:rowOff>171045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0F9249-958A-48F7-A867-820BBEFCA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912" y="1322295"/>
          <a:ext cx="18090500" cy="9135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728662</xdr:colOff>
      <xdr:row>1</xdr:row>
      <xdr:rowOff>47625</xdr:rowOff>
    </xdr:from>
    <xdr:ext cx="4972050" cy="1914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43837" y="228600"/>
          <a:ext cx="4972050" cy="19145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4130E-CE16-47EA-A08C-E53F441FF04D}" name="Tabla269" displayName="Tabla269" ref="F2:F16" totalsRowShown="0" headerRowDxfId="50" dataDxfId="48" headerRowBorderDxfId="49" tableBorderDxfId="47">
  <tableColumns count="1">
    <tableColumn id="1" xr3:uid="{FB9B18D1-2BB7-4173-A857-A6232D552F3F}" name="Asignado: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B33BCE-FA01-4147-8B44-7A626040A705}" name="Tabla2694" displayName="Tabla2694" ref="E2:E16" totalsRowShown="0" headerRowDxfId="45" dataDxfId="43" headerRowBorderDxfId="44" tableBorderDxfId="42">
  <tableColumns count="1">
    <tableColumn id="1" xr3:uid="{98833E6F-B891-4A50-B686-CCEED892C98C}" name="Registrado Por:" dataDxfId="4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FE53-F89B-4220-94C4-3C5B5E53DCA4}">
  <dimension ref="B2:R31"/>
  <sheetViews>
    <sheetView topLeftCell="H1" workbookViewId="0">
      <selection activeCell="J22" sqref="J22"/>
    </sheetView>
  </sheetViews>
  <sheetFormatPr baseColWidth="10" defaultColWidth="11.42578125" defaultRowHeight="15"/>
  <cols>
    <col min="2" max="2" width="21" customWidth="1"/>
    <col min="3" max="3" width="24" customWidth="1"/>
    <col min="5" max="6" width="14.140625" bestFit="1" customWidth="1"/>
    <col min="7" max="10" width="15.140625" style="29" customWidth="1"/>
    <col min="11" max="11" width="16.85546875" style="29" bestFit="1" customWidth="1"/>
    <col min="12" max="12" width="15.140625" style="29" customWidth="1"/>
    <col min="13" max="13" width="18.85546875" style="29" customWidth="1"/>
    <col min="14" max="14" width="18.85546875" style="62" customWidth="1"/>
    <col min="15" max="15" width="18.85546875" style="29" customWidth="1"/>
    <col min="16" max="16" width="14.5703125" style="29" customWidth="1"/>
    <col min="17" max="17" width="10.7109375" style="53"/>
    <col min="18" max="18" width="14.42578125" customWidth="1"/>
  </cols>
  <sheetData>
    <row r="2" spans="2:18">
      <c r="B2" s="71" t="s">
        <v>0</v>
      </c>
      <c r="C2" s="71"/>
      <c r="E2" s="44" t="s">
        <v>1</v>
      </c>
      <c r="F2" s="44" t="s">
        <v>2</v>
      </c>
      <c r="G2" s="45" t="s">
        <v>3</v>
      </c>
      <c r="H2" s="45" t="s">
        <v>4</v>
      </c>
      <c r="I2" s="45" t="s">
        <v>5</v>
      </c>
      <c r="J2" s="45" t="s">
        <v>6</v>
      </c>
      <c r="K2" s="45" t="s">
        <v>7</v>
      </c>
      <c r="L2" s="45" t="s">
        <v>8</v>
      </c>
      <c r="M2" s="45" t="s">
        <v>9</v>
      </c>
      <c r="N2" s="45" t="s">
        <v>10</v>
      </c>
      <c r="O2" s="45" t="s">
        <v>11</v>
      </c>
      <c r="P2" s="45" t="s">
        <v>12</v>
      </c>
      <c r="Q2" s="49" t="s">
        <v>13</v>
      </c>
      <c r="R2" s="45" t="s">
        <v>14</v>
      </c>
    </row>
    <row r="3" spans="2:18">
      <c r="B3" s="50" t="e">
        <f>G17</f>
        <v>#REF!</v>
      </c>
      <c r="C3" s="56" t="s">
        <v>15</v>
      </c>
      <c r="E3" s="46" t="s">
        <v>16</v>
      </c>
      <c r="F3" s="46" t="s">
        <v>16</v>
      </c>
      <c r="G3" s="47" t="e">
        <f>COUNTIFS(Incidencias!#REF!,"Adaia Silvera",Incidencias!$N:$N,"PENDIENTE")</f>
        <v>#REF!</v>
      </c>
      <c r="H3" s="47" t="e">
        <f>COUNTIFS(Incidencias!#REF!,"Adaia Silvera",Incidencias!$N:$N,"SOLUCIONADO")</f>
        <v>#REF!</v>
      </c>
      <c r="I3" s="47" t="e">
        <f>COUNTIFS(Incidencias!#REF!,"Adaia Silvera",Incidencias!$N:$N,"NO APLICA")</f>
        <v>#REF!</v>
      </c>
      <c r="J3" s="47" t="e">
        <f>COUNTIFS(Incidencias!#REF!,"Adaia Silvera",Incidencias!$N:$N,"DEVUELTO")</f>
        <v>#REF!</v>
      </c>
      <c r="K3" s="47" t="e">
        <f>COUNTIFS(Incidencias!#REF!,"Adaia Silvera",Incidencias!$N:$N,"DEVUELTO PARA VUCE")</f>
        <v>#REF!</v>
      </c>
      <c r="L3" s="47" t="e">
        <f>COUNTIFS(Incidencias!#REF!,"Adaia Silvera",Incidencias!$N:$N,"SIGUIENTE VERSION")</f>
        <v>#REF!</v>
      </c>
      <c r="M3" s="47" t="e">
        <f>COUNTIFS(Incidencias!#REF!,"Adaia Silvera",Incidencias!$N:$N,"VALIDAR CON EQ. TECNICO")</f>
        <v>#REF!</v>
      </c>
      <c r="N3" s="47" t="e">
        <f>COUNTIFS(Incidencias!#REF!,"Adaia Silvera",Incidencias!$N:$N,"DESESTIMADO")</f>
        <v>#REF!</v>
      </c>
      <c r="O3" s="47" t="e">
        <f>COUNTIFS(Incidencias!#REF!,"Adaia Silvera",Incidencias!$N:$N,"OPORTUNIDAD DE MEJORA")</f>
        <v>#REF!</v>
      </c>
      <c r="P3" s="47" t="e">
        <f>COUNTIFS(Incidencias!#REF!,"Adaia Silvera",Incidencias!$N:$N,"CERRADO")</f>
        <v>#REF!</v>
      </c>
      <c r="Q3" s="52" t="e">
        <f t="shared" ref="Q3:Q16" si="0">SUM(G3:P3)</f>
        <v>#REF!</v>
      </c>
      <c r="R3" s="48" t="e">
        <f>IF(AND(G3=0,H3=0,I3=0,J3=0,K3=0,L3=0,M3=0,N3=0,O3=0), IF(P3&lt;&gt;0, "COMPLETADO"," "), " ")</f>
        <v>#REF!</v>
      </c>
    </row>
    <row r="4" spans="2:18">
      <c r="B4" s="50" t="e">
        <f>H17</f>
        <v>#REF!</v>
      </c>
      <c r="C4" s="56" t="s">
        <v>17</v>
      </c>
      <c r="E4" s="46" t="s">
        <v>18</v>
      </c>
      <c r="F4" s="46" t="s">
        <v>18</v>
      </c>
      <c r="G4" s="47" t="e">
        <f>COUNTIFS(Incidencias!#REF!,"Celia Ramirez",Incidencias!$N:$N,"PENDIENTE")</f>
        <v>#REF!</v>
      </c>
      <c r="H4" s="47" t="e">
        <f>COUNTIFS(Incidencias!#REF!,"Celia Ramirez",Incidencias!$N:$N,"SOLUCIONADO")</f>
        <v>#REF!</v>
      </c>
      <c r="I4" s="47" t="e">
        <f>COUNTIFS(Incidencias!#REF!,"Celia Ramirez",Incidencias!$N:$N,"NO APLICA")</f>
        <v>#REF!</v>
      </c>
      <c r="J4" s="47" t="e">
        <f>COUNTIFS(Incidencias!#REF!,"Celia Ramirez",Incidencias!$N:$N,"DEVUELTO")</f>
        <v>#REF!</v>
      </c>
      <c r="K4" s="47" t="e">
        <f>COUNTIFS(Incidencias!#REF!,"Celia Ramirez",Incidencias!$N:$N,"DEVUELTO PARA VUCE")</f>
        <v>#REF!</v>
      </c>
      <c r="L4" s="47" t="e">
        <f>COUNTIFS(Incidencias!#REF!,"Celia Ramirez",Incidencias!$N:$N,"SIGUIENTE VERSION")</f>
        <v>#REF!</v>
      </c>
      <c r="M4" s="47" t="e">
        <f>COUNTIFS(Incidencias!#REF!,"Celia Ramirez",Incidencias!$N:$N,"VALIDAR CON EQ. TECNICO")</f>
        <v>#REF!</v>
      </c>
      <c r="N4" s="47" t="e">
        <f>COUNTIFS(Incidencias!#REF!,"Celia Ramirez",Incidencias!$N:$N,"DESESTIMADO")</f>
        <v>#REF!</v>
      </c>
      <c r="O4" s="47" t="e">
        <f>COUNTIFS(Incidencias!#REF!,"Celia Ramirez",Incidencias!$N:$N,"OPORTUNIDAD DE MEJORA")</f>
        <v>#REF!</v>
      </c>
      <c r="P4" s="47" t="e">
        <f>COUNTIFS(Incidencias!#REF!,"Celia Ramirez",Incidencias!$N:$N,"CERRADO")</f>
        <v>#REF!</v>
      </c>
      <c r="Q4" s="52" t="e">
        <f t="shared" si="0"/>
        <v>#REF!</v>
      </c>
      <c r="R4" s="48" t="e">
        <f t="shared" ref="R4:R16" si="1">IF(AND(G4=0,H4=0,I4=0,J4=0,K4=0,L4=0,M4=0,N4=0,O4=0), IF(P4&lt;&gt;0, "COMPLETADO"," "), " ")</f>
        <v>#REF!</v>
      </c>
    </row>
    <row r="5" spans="2:18">
      <c r="B5" s="50" t="e">
        <f>I17</f>
        <v>#REF!</v>
      </c>
      <c r="C5" s="56" t="s">
        <v>19</v>
      </c>
      <c r="E5" s="46" t="s">
        <v>20</v>
      </c>
      <c r="F5" s="46" t="s">
        <v>20</v>
      </c>
      <c r="G5" s="47" t="e">
        <f>COUNTIFS(Incidencias!#REF!,"Daniel Sanchez",Incidencias!$N:$N,"PENDIENTE")</f>
        <v>#REF!</v>
      </c>
      <c r="H5" s="47" t="e">
        <f>COUNTIFS(Incidencias!#REF!,"Daniel Sanchez",Incidencias!$N:$N,"SOLUCIONADO")</f>
        <v>#REF!</v>
      </c>
      <c r="I5" s="47" t="e">
        <f>COUNTIFS(Incidencias!#REF!,"Daniel Sanchez",Incidencias!$N:$N,"NO APLICA")</f>
        <v>#REF!</v>
      </c>
      <c r="J5" s="47" t="e">
        <f>COUNTIFS(Incidencias!#REF!,"Daniel Sanchez",Incidencias!$N:$N,"DEVUELTO")</f>
        <v>#REF!</v>
      </c>
      <c r="K5" s="47" t="e">
        <f>COUNTIFS(Incidencias!#REF!,"Daniel Sanchez",Incidencias!$N:$N,"DEVUELTO PARA VUCE")</f>
        <v>#REF!</v>
      </c>
      <c r="L5" s="47" t="e">
        <f>COUNTIFS(Incidencias!#REF!,"Daniel Sanchez",Incidencias!$N:$N,"SIGUIENTE VERSION")</f>
        <v>#REF!</v>
      </c>
      <c r="M5" s="47" t="e">
        <f>COUNTIFS(Incidencias!#REF!,"Daniel Sanchez",Incidencias!$N:$N,"VALIDAR CON EQ. TECNICO")</f>
        <v>#REF!</v>
      </c>
      <c r="N5" s="47" t="e">
        <f>COUNTIFS(Incidencias!#REF!,"Daniel Sanchez",Incidencias!$N:$N,"DESESTIMADO")</f>
        <v>#REF!</v>
      </c>
      <c r="O5" s="47" t="e">
        <f>COUNTIFS(Incidencias!#REF!,"Daniel Sanchez",Incidencias!$N:$N,"OPORTUNIDAD DE MEJORA")</f>
        <v>#REF!</v>
      </c>
      <c r="P5" s="47" t="e">
        <f>COUNTIFS(Incidencias!#REF!,"Daniel Sanchez",Incidencias!$N:$N,"CERRADO")</f>
        <v>#REF!</v>
      </c>
      <c r="Q5" s="52" t="e">
        <f t="shared" si="0"/>
        <v>#REF!</v>
      </c>
      <c r="R5" s="48" t="e">
        <f t="shared" si="1"/>
        <v>#REF!</v>
      </c>
    </row>
    <row r="6" spans="2:18">
      <c r="B6" s="50" t="e">
        <f>J17</f>
        <v>#REF!</v>
      </c>
      <c r="C6" s="56" t="s">
        <v>21</v>
      </c>
      <c r="E6" s="46" t="s">
        <v>22</v>
      </c>
      <c r="F6" s="46" t="s">
        <v>22</v>
      </c>
      <c r="G6" s="47" t="e">
        <f>COUNTIFS(Incidencias!#REF!,"Gabriela Polanco",Incidencias!$N:$N,"PENDIENTE")</f>
        <v>#REF!</v>
      </c>
      <c r="H6" s="47" t="e">
        <f>COUNTIFS(Incidencias!#REF!,"Gabriela Polanco",Incidencias!$N:$N,"SOLUCIONADO")</f>
        <v>#REF!</v>
      </c>
      <c r="I6" s="47" t="e">
        <f>COUNTIFS(Incidencias!#REF!,"Gabriela Polanco",Incidencias!$N:$N,"NO APLICA")</f>
        <v>#REF!</v>
      </c>
      <c r="J6" s="47" t="e">
        <f>COUNTIFS(Incidencias!#REF!,"Gabriela Polanco",Incidencias!$N:$N,"DEVUELTO")</f>
        <v>#REF!</v>
      </c>
      <c r="K6" s="47" t="e">
        <f>COUNTIFS(Incidencias!#REF!,"Gabriela Polanco",Incidencias!$N:$N,"DEVUELTO PARA VUCE")</f>
        <v>#REF!</v>
      </c>
      <c r="L6" s="47" t="e">
        <f>COUNTIFS(Incidencias!#REF!,"Gabriela Polanco",Incidencias!$N:$N,"SIGUIENTE VERSION")</f>
        <v>#REF!</v>
      </c>
      <c r="M6" s="47" t="e">
        <f>COUNTIFS(Incidencias!#REF!,"Gabriela Polanco",Incidencias!$N:$N,"VALIDAR CON EQ. TECNICO")</f>
        <v>#REF!</v>
      </c>
      <c r="N6" s="47" t="e">
        <f>COUNTIFS(Incidencias!#REF!,"Gabriela Polanco",Incidencias!$N:$N,"DESESTIMADO")</f>
        <v>#REF!</v>
      </c>
      <c r="O6" s="47" t="e">
        <f>COUNTIFS(Incidencias!#REF!,"Gabriela Polanco",Incidencias!$N:$N,"OPORTUNIDAD DE MEJORA")</f>
        <v>#REF!</v>
      </c>
      <c r="P6" s="47" t="e">
        <f>COUNTIFS(Incidencias!#REF!,"Gabriela Polanco",Incidencias!$N:$N,"CERRADO")</f>
        <v>#REF!</v>
      </c>
      <c r="Q6" s="52" t="e">
        <f t="shared" si="0"/>
        <v>#REF!</v>
      </c>
      <c r="R6" s="48" t="e">
        <f t="shared" si="1"/>
        <v>#REF!</v>
      </c>
    </row>
    <row r="7" spans="2:18">
      <c r="B7" s="50" t="e">
        <f>K17</f>
        <v>#REF!</v>
      </c>
      <c r="C7" s="56" t="s">
        <v>23</v>
      </c>
      <c r="E7" s="46" t="s">
        <v>24</v>
      </c>
      <c r="F7" s="46" t="s">
        <v>24</v>
      </c>
      <c r="G7" s="47" t="e">
        <f>COUNTIFS(Incidencias!#REF!,"Jorge Cisneros",Incidencias!$N:$N,"PENDIENTE")</f>
        <v>#REF!</v>
      </c>
      <c r="H7" s="47" t="e">
        <f>COUNTIFS(Incidencias!#REF!,"Jorge Cisneros",Incidencias!$N:$N,"SOLUCIONADO")</f>
        <v>#REF!</v>
      </c>
      <c r="I7" s="47" t="e">
        <f>COUNTIFS(Incidencias!#REF!,"Jorge Cisneros",Incidencias!$N:$N,"NO APLICA")</f>
        <v>#REF!</v>
      </c>
      <c r="J7" s="47" t="e">
        <f>COUNTIFS(Incidencias!#REF!,"Jorge Cisneros",Incidencias!$N:$N,"DEVUELTO")</f>
        <v>#REF!</v>
      </c>
      <c r="K7" s="47" t="e">
        <f>COUNTIFS(Incidencias!#REF!,"Jorge Cisneros",Incidencias!$N:$N,"DEVUELTO PARA VUCE")</f>
        <v>#REF!</v>
      </c>
      <c r="L7" s="47" t="e">
        <f>COUNTIFS(Incidencias!#REF!,"Jorge Cisneros",Incidencias!$N:$N,"SIGUIENTE VERSION")</f>
        <v>#REF!</v>
      </c>
      <c r="M7" s="47" t="e">
        <f>COUNTIFS(Incidencias!#REF!,"Jorge Cisneros",Incidencias!$N:$N,"VALIDAR CON EQ. TECNICO")</f>
        <v>#REF!</v>
      </c>
      <c r="N7" s="47" t="e">
        <f>COUNTIFS(Incidencias!#REF!,"Jorge Cisneros",Incidencias!$N:$N,"DESESTIMADO")</f>
        <v>#REF!</v>
      </c>
      <c r="O7" s="47" t="e">
        <f>COUNTIFS(Incidencias!#REF!,"Jorge Cisneros",Incidencias!$N:$N,"OPORTUNIDAD DE MEJORA")</f>
        <v>#REF!</v>
      </c>
      <c r="P7" s="47" t="e">
        <f>COUNTIFS(Incidencias!#REF!,"Jorge Cisneros",Incidencias!$N:$N,"CERRADO")</f>
        <v>#REF!</v>
      </c>
      <c r="Q7" s="52" t="e">
        <f t="shared" si="0"/>
        <v>#REF!</v>
      </c>
      <c r="R7" s="48" t="e">
        <f t="shared" si="1"/>
        <v>#REF!</v>
      </c>
    </row>
    <row r="8" spans="2:18">
      <c r="B8" s="50" t="e">
        <f>L17</f>
        <v>#REF!</v>
      </c>
      <c r="C8" s="56" t="s">
        <v>25</v>
      </c>
      <c r="E8" s="46" t="s">
        <v>26</v>
      </c>
      <c r="F8" s="46" t="s">
        <v>26</v>
      </c>
      <c r="G8" s="47" t="e">
        <f>COUNTIFS(Incidencias!#REF!,"Gianella Arotuma",Incidencias!$N:$N,"PENDIENTE")</f>
        <v>#REF!</v>
      </c>
      <c r="H8" s="47" t="e">
        <f>COUNTIFS(Incidencias!#REF!,"Gianella Arotuma",Incidencias!$N:$N,"SOLUCIONADO")</f>
        <v>#REF!</v>
      </c>
      <c r="I8" s="47" t="e">
        <f>COUNTIFS(Incidencias!#REF!,"Gianella Arotuma",Incidencias!$N:$N,"NO APLICA")</f>
        <v>#REF!</v>
      </c>
      <c r="J8" s="47" t="e">
        <f>COUNTIFS(Incidencias!#REF!,"Gianella Arotuma",Incidencias!$N:$N,"DEVUELTO")</f>
        <v>#REF!</v>
      </c>
      <c r="K8" s="47" t="e">
        <f>COUNTIFS(Incidencias!#REF!,"Gianella Arotuma",Incidencias!$N:$N,"DEVUELTO PARA VUCE")</f>
        <v>#REF!</v>
      </c>
      <c r="L8" s="47" t="e">
        <f>COUNTIFS(Incidencias!#REF!,"Gianella Arotuma",Incidencias!$N:$N,"SIGUIENTE VERSION")</f>
        <v>#REF!</v>
      </c>
      <c r="M8" s="47" t="e">
        <f>COUNTIFS(Incidencias!#REF!,"Gianella Arotuma",Incidencias!$N:$N,"VALIDAR CON EQ. TECNICO")</f>
        <v>#REF!</v>
      </c>
      <c r="N8" s="47" t="e">
        <f>COUNTIFS(Incidencias!#REF!,"Gianella Arotuma",Incidencias!$N:$N,"DESESTIMADO")</f>
        <v>#REF!</v>
      </c>
      <c r="O8" s="47" t="e">
        <f>COUNTIFS(Incidencias!#REF!,"Gianella Arotuma",Incidencias!$N:$N,"OPORTUNIDAD DE MEJORA")</f>
        <v>#REF!</v>
      </c>
      <c r="P8" s="47" t="e">
        <f>COUNTIFS(Incidencias!#REF!,"Gianella Arotuma",Incidencias!$N:$N,"CERRADO")</f>
        <v>#REF!</v>
      </c>
      <c r="Q8" s="52" t="e">
        <f t="shared" si="0"/>
        <v>#REF!</v>
      </c>
      <c r="R8" s="48" t="e">
        <f t="shared" si="1"/>
        <v>#REF!</v>
      </c>
    </row>
    <row r="9" spans="2:18">
      <c r="B9" s="50" t="e">
        <f>M17</f>
        <v>#REF!</v>
      </c>
      <c r="C9" s="56" t="s">
        <v>27</v>
      </c>
      <c r="E9" s="46" t="s">
        <v>28</v>
      </c>
      <c r="F9" s="46" t="s">
        <v>28</v>
      </c>
      <c r="G9" s="47" t="e">
        <f>COUNTIFS(Incidencias!#REF!,"Max",Incidencias!$N:$N,"PENDIENTE")</f>
        <v>#REF!</v>
      </c>
      <c r="H9" s="47" t="e">
        <f>COUNTIFS(Incidencias!#REF!,"Max",Incidencias!$N:$N,"SOLUCIONADO")</f>
        <v>#REF!</v>
      </c>
      <c r="I9" s="47" t="e">
        <f>COUNTIFS(Incidencias!#REF!,"Max",Incidencias!$N:$N,"NO APLICA")</f>
        <v>#REF!</v>
      </c>
      <c r="J9" s="47" t="e">
        <f>COUNTIFS(Incidencias!#REF!,"Max",Incidencias!$N:$N,"DEVUELTO")</f>
        <v>#REF!</v>
      </c>
      <c r="K9" s="47" t="e">
        <f>COUNTIFS(Incidencias!#REF!,"Max",Incidencias!$N:$N,"DEVUELTO PARA VUCE")</f>
        <v>#REF!</v>
      </c>
      <c r="L9" s="47" t="e">
        <f>COUNTIFS(Incidencias!#REF!,"Max",Incidencias!$N:$N,"SIGUIENTE VERSION")</f>
        <v>#REF!</v>
      </c>
      <c r="M9" s="47" t="e">
        <f>COUNTIFS(Incidencias!#REF!,"Max",Incidencias!$N:$N,"VALIDAR CON EQ. TECNICO")</f>
        <v>#REF!</v>
      </c>
      <c r="N9" s="47" t="e">
        <f>COUNTIFS(Incidencias!#REF!,"Max",Incidencias!$N:$N,"DESESTIMADO")</f>
        <v>#REF!</v>
      </c>
      <c r="O9" s="47" t="e">
        <f>COUNTIFS(Incidencias!#REF!,"Max",Incidencias!$N:$N,"OPORTUNIDAD DE MEJORA")</f>
        <v>#REF!</v>
      </c>
      <c r="P9" s="47" t="e">
        <f>COUNTIFS(Incidencias!#REF!,"Max",Incidencias!$N:$N,"CERRADO")</f>
        <v>#REF!</v>
      </c>
      <c r="Q9" s="52" t="e">
        <f t="shared" si="0"/>
        <v>#REF!</v>
      </c>
      <c r="R9" s="48" t="e">
        <f t="shared" si="1"/>
        <v>#REF!</v>
      </c>
    </row>
    <row r="10" spans="2:18">
      <c r="B10" s="50" t="e">
        <f>O17</f>
        <v>#REF!</v>
      </c>
      <c r="C10" s="56" t="s">
        <v>29</v>
      </c>
      <c r="E10" s="46" t="s">
        <v>30</v>
      </c>
      <c r="F10" s="46" t="s">
        <v>30</v>
      </c>
      <c r="G10" s="47" t="e">
        <f>COUNTIFS(Incidencias!#REF!,"Julio",Incidencias!$N:$N,"PENDIENTE")</f>
        <v>#REF!</v>
      </c>
      <c r="H10" s="47" t="e">
        <f>COUNTIFS(Incidencias!#REF!,"Julio",Incidencias!$N:$N,"SOLUCIONADO")</f>
        <v>#REF!</v>
      </c>
      <c r="I10" s="47" t="e">
        <f>COUNTIFS(Incidencias!#REF!,"Julio",Incidencias!$N:$N,"NO APLICA")</f>
        <v>#REF!</v>
      </c>
      <c r="J10" s="47" t="e">
        <f>COUNTIFS(Incidencias!#REF!,"Julio",Incidencias!$N:$N,"DEVUELTO")</f>
        <v>#REF!</v>
      </c>
      <c r="K10" s="47" t="e">
        <f>COUNTIFS(Incidencias!#REF!,"Julio",Incidencias!$N:$N,"DEVUELTO PARA VUCE")</f>
        <v>#REF!</v>
      </c>
      <c r="L10" s="47" t="e">
        <f>COUNTIFS(Incidencias!#REF!,"Julio",Incidencias!$N:$N,"SIGUIENTE VERSION")</f>
        <v>#REF!</v>
      </c>
      <c r="M10" s="47" t="e">
        <f>COUNTIFS(Incidencias!#REF!,"Julio",Incidencias!$N:$N,"VALIDAR CON EQ. TECNICO")</f>
        <v>#REF!</v>
      </c>
      <c r="N10" s="47" t="e">
        <f>COUNTIFS(Incidencias!#REF!,"Julio",Incidencias!$N:$N,"DESESTIMADO")</f>
        <v>#REF!</v>
      </c>
      <c r="O10" s="47" t="e">
        <f>COUNTIFS(Incidencias!#REF!,"Julio",Incidencias!$N:$N,"OPORTUNIDAD DE MEJORA")</f>
        <v>#REF!</v>
      </c>
      <c r="P10" s="47" t="e">
        <f>COUNTIFS(Incidencias!#REF!,"Julio",Incidencias!$N:$N,"CERRADO")</f>
        <v>#REF!</v>
      </c>
      <c r="Q10" s="52" t="e">
        <f t="shared" si="0"/>
        <v>#REF!</v>
      </c>
      <c r="R10" s="48" t="e">
        <f t="shared" si="1"/>
        <v>#REF!</v>
      </c>
    </row>
    <row r="11" spans="2:18">
      <c r="B11" s="50" t="e">
        <f>P17</f>
        <v>#REF!</v>
      </c>
      <c r="C11" s="56" t="s">
        <v>31</v>
      </c>
      <c r="E11" s="46" t="s">
        <v>32</v>
      </c>
      <c r="F11" s="46" t="s">
        <v>32</v>
      </c>
      <c r="G11" s="47" t="e">
        <f>COUNTIFS(Incidencias!#REF!,"Luis",Incidencias!$N:$N,"PENDIENTE")</f>
        <v>#REF!</v>
      </c>
      <c r="H11" s="47" t="e">
        <f>COUNTIFS(Incidencias!#REF!,"Luis",Incidencias!$N:$N,"SOLUCIONADO")</f>
        <v>#REF!</v>
      </c>
      <c r="I11" s="47" t="e">
        <f>COUNTIFS(Incidencias!#REF!,"Luis",Incidencias!$N:$N,"NO APLICA")</f>
        <v>#REF!</v>
      </c>
      <c r="J11" s="47" t="e">
        <f>COUNTIFS(Incidencias!#REF!,"Luis",Incidencias!$N:$N,"DEVUELTO")</f>
        <v>#REF!</v>
      </c>
      <c r="K11" s="47" t="e">
        <f>COUNTIFS(Incidencias!#REF!,"Luis",Incidencias!$N:$N,"DEVUELTO PARA VUCE")</f>
        <v>#REF!</v>
      </c>
      <c r="L11" s="47" t="e">
        <f>COUNTIFS(Incidencias!#REF!,"Luis",Incidencias!$N:$N,"SIGUIENTE VERSION")</f>
        <v>#REF!</v>
      </c>
      <c r="M11" s="47" t="e">
        <f>COUNTIFS(Incidencias!#REF!,"Luis",Incidencias!$N:$N,"VALIDAR CON EQ. TECNICO")</f>
        <v>#REF!</v>
      </c>
      <c r="N11" s="47" t="e">
        <f>COUNTIFS(Incidencias!#REF!,"Luis",Incidencias!$N:$N,"DESESTIMADO")</f>
        <v>#REF!</v>
      </c>
      <c r="O11" s="47" t="e">
        <f>COUNTIFS(Incidencias!#REF!,"Luis",Incidencias!$N:$N,"OPORTUNIDAD DE MEJORA")</f>
        <v>#REF!</v>
      </c>
      <c r="P11" s="47" t="e">
        <f>COUNTIFS(Incidencias!#REF!,"Luis",Incidencias!$N:$N,"CERRADO")</f>
        <v>#REF!</v>
      </c>
      <c r="Q11" s="52" t="e">
        <f t="shared" si="0"/>
        <v>#REF!</v>
      </c>
      <c r="R11" s="48" t="e">
        <f t="shared" si="1"/>
        <v>#REF!</v>
      </c>
    </row>
    <row r="12" spans="2:18">
      <c r="B12" s="57" t="e">
        <f>SUM(B3:B11)</f>
        <v>#REF!</v>
      </c>
      <c r="C12" s="51" t="s">
        <v>33</v>
      </c>
      <c r="E12" s="46" t="s">
        <v>34</v>
      </c>
      <c r="F12" s="46" t="s">
        <v>34</v>
      </c>
      <c r="G12" s="47" t="e">
        <f>COUNTIFS(Incidencias!#REF!,"Maria Lourdes",Incidencias!$N:$N,"PENDIENTE")</f>
        <v>#REF!</v>
      </c>
      <c r="H12" s="47" t="e">
        <f>COUNTIFS(Incidencias!#REF!,"Maria Lourdes",Incidencias!$N:$N,"SOLUCIONADO")</f>
        <v>#REF!</v>
      </c>
      <c r="I12" s="47" t="e">
        <f>COUNTIFS(Incidencias!#REF!,"Maria Lourdes",Incidencias!$N:$N,"NO APLICA")</f>
        <v>#REF!</v>
      </c>
      <c r="J12" s="47" t="e">
        <f>COUNTIFS(Incidencias!#REF!,"Maria Lourdes",Incidencias!$N:$N,"DEVUELTO")</f>
        <v>#REF!</v>
      </c>
      <c r="K12" s="47" t="e">
        <f>COUNTIFS(Incidencias!#REF!,"Maria Lourdes",Incidencias!$N:$N,"DEVUELTO PARA VUCE")</f>
        <v>#REF!</v>
      </c>
      <c r="L12" s="47" t="e">
        <f>COUNTIFS(Incidencias!#REF!,"Maria Lourdes",Incidencias!$N:$N,"SIGUIENTE VERSION")</f>
        <v>#REF!</v>
      </c>
      <c r="M12" s="47" t="e">
        <f>COUNTIFS(Incidencias!#REF!,"Maria Lourdes",Incidencias!$N:$N,"VALIDAR CON EQ. TECNICO")</f>
        <v>#REF!</v>
      </c>
      <c r="N12" s="47" t="e">
        <f>COUNTIFS(Incidencias!#REF!,"Maria Lourdes",Incidencias!$N:$N,"DESESTIMADO")</f>
        <v>#REF!</v>
      </c>
      <c r="O12" s="47" t="e">
        <f>COUNTIFS(Incidencias!#REF!,"Maria Lourdes",Incidencias!$N:$N,"OPORTUNIDAD DE MEJORA")</f>
        <v>#REF!</v>
      </c>
      <c r="P12" s="47" t="e">
        <f>COUNTIFS(Incidencias!#REF!,"Maria Lourdes",Incidencias!$N:$N,"CERRADO")</f>
        <v>#REF!</v>
      </c>
      <c r="Q12" s="52" t="e">
        <f t="shared" si="0"/>
        <v>#REF!</v>
      </c>
      <c r="R12" s="48" t="e">
        <f t="shared" si="1"/>
        <v>#REF!</v>
      </c>
    </row>
    <row r="13" spans="2:18">
      <c r="E13" s="46" t="s">
        <v>35</v>
      </c>
      <c r="F13" s="46" t="s">
        <v>35</v>
      </c>
      <c r="G13" s="47" t="e">
        <f>COUNTIFS(Incidencias!#REF!,"Maria Luisa",Incidencias!$N:$N,"PENDIENTE")</f>
        <v>#REF!</v>
      </c>
      <c r="H13" s="47" t="e">
        <f>COUNTIFS(Incidencias!#REF!,"Maria Luisa",Incidencias!$N:$N,"SOLUCIONADO")</f>
        <v>#REF!</v>
      </c>
      <c r="I13" s="47" t="e">
        <f>COUNTIFS(Incidencias!#REF!,"Maria Luisa",Incidencias!$N:$N,"NO APLICA")</f>
        <v>#REF!</v>
      </c>
      <c r="J13" s="47" t="e">
        <f>COUNTIFS(Incidencias!#REF!,"Maria Luisa",Incidencias!$N:$N,"DEVUELTO")</f>
        <v>#REF!</v>
      </c>
      <c r="K13" s="47" t="e">
        <f>COUNTIFS(Incidencias!#REF!,"Maria Luisa",Incidencias!$N:$N,"DEVUELTO PARA VUCE")</f>
        <v>#REF!</v>
      </c>
      <c r="L13" s="47" t="e">
        <f>COUNTIFS(Incidencias!#REF!,"Maria Luisa",Incidencias!$N:$N,"SIGUIENTE VERSION")</f>
        <v>#REF!</v>
      </c>
      <c r="M13" s="47" t="e">
        <f>COUNTIFS(Incidencias!#REF!,"Maria Luisa",Incidencias!$N:$N,"VALIDAR CON EQ. TECNICO")</f>
        <v>#REF!</v>
      </c>
      <c r="N13" s="47" t="e">
        <f>COUNTIFS(Incidencias!#REF!,"Maria Luisa",Incidencias!$N:$N,"DESESTIMADO")</f>
        <v>#REF!</v>
      </c>
      <c r="O13" s="47" t="e">
        <f>COUNTIFS(Incidencias!#REF!,"Maria Luisa",Incidencias!$N:$N,"OPORTUNIDAD DE MEJORA")</f>
        <v>#REF!</v>
      </c>
      <c r="P13" s="47" t="e">
        <f>COUNTIFS(Incidencias!#REF!,"Maria Luisa",Incidencias!$N:$N,"CERRADO")</f>
        <v>#REF!</v>
      </c>
      <c r="Q13" s="52" t="e">
        <f t="shared" si="0"/>
        <v>#REF!</v>
      </c>
      <c r="R13" s="48" t="e">
        <f t="shared" si="1"/>
        <v>#REF!</v>
      </c>
    </row>
    <row r="14" spans="2:18">
      <c r="E14" s="46" t="s">
        <v>36</v>
      </c>
      <c r="F14" s="46" t="s">
        <v>36</v>
      </c>
      <c r="G14" s="47" t="e">
        <f>COUNTIFS(Incidencias!#REF!,"Liz Ordoñez",Incidencias!$N:$N,"PENDIENTE")</f>
        <v>#REF!</v>
      </c>
      <c r="H14" s="47" t="e">
        <f>COUNTIFS(Incidencias!#REF!,"Liz Ordoñez",Incidencias!$N:$N,"SOLUCIONADO")</f>
        <v>#REF!</v>
      </c>
      <c r="I14" s="47" t="e">
        <f>COUNTIFS(Incidencias!#REF!,"Liz Ordoñez",Incidencias!$N:$N,"NO APLICA")</f>
        <v>#REF!</v>
      </c>
      <c r="J14" s="47" t="e">
        <f>COUNTIFS(Incidencias!#REF!,"Liz Ordoñez",Incidencias!$N:$N,"DEVUELTO")</f>
        <v>#REF!</v>
      </c>
      <c r="K14" s="47" t="e">
        <f>COUNTIFS(Incidencias!#REF!,"Liz Ordoñez",Incidencias!$N:$N,"DEVUELTO PARA VUCE")</f>
        <v>#REF!</v>
      </c>
      <c r="L14" s="47" t="e">
        <f>COUNTIFS(Incidencias!#REF!,"Liz Ordoñez",Incidencias!$N:$N,"SIGUIENTE VERSION")</f>
        <v>#REF!</v>
      </c>
      <c r="M14" s="47" t="e">
        <f>COUNTIFS(Incidencias!#REF!,"Liz Ordoñez",Incidencias!$N:$N,"VALIDAR CON EQ. TECNICO")</f>
        <v>#REF!</v>
      </c>
      <c r="N14" s="47" t="e">
        <f>COUNTIFS(Incidencias!#REF!,"Liz Ordoñez",Incidencias!$N:$N,"DESESTIMADO")</f>
        <v>#REF!</v>
      </c>
      <c r="O14" s="47" t="e">
        <f>COUNTIFS(Incidencias!#REF!,"Liz Ordoñez",Incidencias!$N:$N,"OPORTUNIDAD DE MEJORA")</f>
        <v>#REF!</v>
      </c>
      <c r="P14" s="47" t="e">
        <f>COUNTIFS(Incidencias!#REF!,"Liz Ordoñez",Incidencias!$N:$N,"CERRADO")</f>
        <v>#REF!</v>
      </c>
      <c r="Q14" s="52" t="e">
        <f t="shared" si="0"/>
        <v>#REF!</v>
      </c>
      <c r="R14" s="48" t="e">
        <f t="shared" si="1"/>
        <v>#REF!</v>
      </c>
    </row>
    <row r="15" spans="2:18">
      <c r="E15" s="46" t="s">
        <v>37</v>
      </c>
      <c r="F15" s="46" t="s">
        <v>37</v>
      </c>
      <c r="G15" s="47" t="e">
        <f>COUNTIFS(Incidencias!#REF!,"Giancarlo",Incidencias!$N:$N,"PENDIENTE")</f>
        <v>#REF!</v>
      </c>
      <c r="H15" s="47" t="e">
        <f>COUNTIFS(Incidencias!#REF!,"Giancarlo",Incidencias!$N:$N,"SOLUCIONADO")</f>
        <v>#REF!</v>
      </c>
      <c r="I15" s="47" t="e">
        <f>COUNTIFS(Incidencias!#REF!,"Giancarlo",Incidencias!$N:$N,"NO APLICA")</f>
        <v>#REF!</v>
      </c>
      <c r="J15" s="47" t="e">
        <f>COUNTIFS(Incidencias!#REF!,"Giancarlo",Incidencias!$N:$N,"DEVUELTO")</f>
        <v>#REF!</v>
      </c>
      <c r="K15" s="47" t="e">
        <f>COUNTIFS(Incidencias!#REF!,"Giancarlo",Incidencias!$N:$N,"DEVUELTO PARA VUCE")</f>
        <v>#REF!</v>
      </c>
      <c r="L15" s="47" t="e">
        <f>COUNTIFS(Incidencias!#REF!,"Giancarlo",Incidencias!$N:$N,"SIGUIENTE VERSION")</f>
        <v>#REF!</v>
      </c>
      <c r="M15" s="47" t="e">
        <f>COUNTIFS(Incidencias!#REF!,"Giancarlo",Incidencias!$N:$N,"VALIDAR CON EQ. TECNICO")</f>
        <v>#REF!</v>
      </c>
      <c r="N15" s="47" t="e">
        <f>COUNTIFS(Incidencias!#REF!,"Giancarlo",Incidencias!$N:$N,"DESESTIMADO")</f>
        <v>#REF!</v>
      </c>
      <c r="O15" s="47" t="e">
        <f>COUNTIFS(Incidencias!#REF!,"Giancarlo",Incidencias!$N:$N,"OPORTUNIDAD DE MEJORA")</f>
        <v>#REF!</v>
      </c>
      <c r="P15" s="47" t="e">
        <f>COUNTIFS(Incidencias!#REF!,"Giancarlo",Incidencias!$N:$N,"CERRADO")</f>
        <v>#REF!</v>
      </c>
      <c r="Q15" s="52" t="e">
        <f t="shared" si="0"/>
        <v>#REF!</v>
      </c>
      <c r="R15" s="48" t="e">
        <f t="shared" si="1"/>
        <v>#REF!</v>
      </c>
    </row>
    <row r="16" spans="2:18">
      <c r="E16" s="46" t="s">
        <v>38</v>
      </c>
      <c r="F16" s="46" t="s">
        <v>38</v>
      </c>
      <c r="G16" s="47" t="e">
        <f>COUNTIFS(Incidencias!#REF!,"José Puntriano",Incidencias!$N:$N,"PENDIENTE")</f>
        <v>#REF!</v>
      </c>
      <c r="H16" s="47" t="e">
        <f>COUNTIFS(Incidencias!#REF!,"José Puntriano",Incidencias!$N:$N,"SOLUCIONADO")</f>
        <v>#REF!</v>
      </c>
      <c r="I16" s="47" t="e">
        <f>COUNTIFS(Incidencias!#REF!,"José Puntriano",Incidencias!$N:$N,"NO APLICA")</f>
        <v>#REF!</v>
      </c>
      <c r="J16" s="47" t="e">
        <f>COUNTIFS(Incidencias!#REF!,"José Puntriano",Incidencias!$N:$N,"DEVUELTO")</f>
        <v>#REF!</v>
      </c>
      <c r="K16" s="47" t="e">
        <f>COUNTIFS(Incidencias!#REF!,"José Puntriano",Incidencias!$N:$N,"DEVUELTO PARA VUCE")</f>
        <v>#REF!</v>
      </c>
      <c r="L16" s="47" t="e">
        <f>COUNTIFS(Incidencias!#REF!,"José Puntriano",Incidencias!$N:$N,"SIGUIENTE VERSION")</f>
        <v>#REF!</v>
      </c>
      <c r="M16" s="47" t="e">
        <f>COUNTIFS(Incidencias!#REF!,"José Puntriano",Incidencias!$N:$N,"VALIDAR CON EQ. TECNICO")</f>
        <v>#REF!</v>
      </c>
      <c r="N16" s="47" t="e">
        <f>COUNTIFS(Incidencias!#REF!,"José Puntriano",Incidencias!$N:$N,"DESESTIMADO")</f>
        <v>#REF!</v>
      </c>
      <c r="O16" s="47" t="e">
        <f>COUNTIFS(Incidencias!#REF!,"José Puntriano",Incidencias!$N:$N,"OPORTUNIDAD DE MEJORA")</f>
        <v>#REF!</v>
      </c>
      <c r="P16" s="47" t="e">
        <f>COUNTIFS(Incidencias!#REF!,"José Puntriano",Incidencias!$N:$N,"CERRADO")</f>
        <v>#REF!</v>
      </c>
      <c r="Q16" s="52" t="e">
        <f t="shared" si="0"/>
        <v>#REF!</v>
      </c>
      <c r="R16" s="48" t="e">
        <f t="shared" si="1"/>
        <v>#REF!</v>
      </c>
    </row>
    <row r="17" spans="5:17">
      <c r="E17" s="72"/>
      <c r="F17" s="73"/>
      <c r="G17" s="54" t="e">
        <f t="shared" ref="G17:Q17" si="2">SUM(G3:G16)</f>
        <v>#REF!</v>
      </c>
      <c r="H17" s="54" t="e">
        <f t="shared" si="2"/>
        <v>#REF!</v>
      </c>
      <c r="I17" s="54" t="e">
        <f t="shared" si="2"/>
        <v>#REF!</v>
      </c>
      <c r="J17" s="54" t="e">
        <f t="shared" si="2"/>
        <v>#REF!</v>
      </c>
      <c r="K17" s="54" t="e">
        <f t="shared" si="2"/>
        <v>#REF!</v>
      </c>
      <c r="L17" s="54" t="e">
        <f t="shared" si="2"/>
        <v>#REF!</v>
      </c>
      <c r="M17" s="54" t="e">
        <f t="shared" si="2"/>
        <v>#REF!</v>
      </c>
      <c r="N17" s="61" t="e">
        <f>SUM(N3:N16)</f>
        <v>#REF!</v>
      </c>
      <c r="O17" s="54" t="e">
        <f t="shared" ref="O17" si="3">SUM(O3:O16)</f>
        <v>#REF!</v>
      </c>
      <c r="P17" s="54" t="e">
        <f t="shared" si="2"/>
        <v>#REF!</v>
      </c>
      <c r="Q17" s="55" t="e">
        <f t="shared" si="2"/>
        <v>#REF!</v>
      </c>
    </row>
    <row r="19" spans="5:17">
      <c r="G19"/>
    </row>
    <row r="20" spans="5:17">
      <c r="G20"/>
    </row>
    <row r="21" spans="5:17">
      <c r="G21"/>
    </row>
    <row r="22" spans="5:17">
      <c r="G22"/>
    </row>
    <row r="23" spans="5:17">
      <c r="G23"/>
    </row>
    <row r="24" spans="5:17">
      <c r="G24"/>
    </row>
    <row r="25" spans="5:17">
      <c r="G25"/>
    </row>
    <row r="26" spans="5:17">
      <c r="G26"/>
    </row>
    <row r="27" spans="5:17">
      <c r="G27"/>
    </row>
    <row r="28" spans="5:17">
      <c r="G28"/>
    </row>
    <row r="29" spans="5:17">
      <c r="G29"/>
    </row>
    <row r="30" spans="5:17">
      <c r="G30"/>
    </row>
    <row r="31" spans="5:17">
      <c r="G31"/>
    </row>
  </sheetData>
  <mergeCells count="2">
    <mergeCell ref="B2:C2"/>
    <mergeCell ref="E17:F17"/>
  </mergeCells>
  <conditionalFormatting sqref="B3:B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{F885307C-C0EA-4898-A760-C32BABD928B8}</x14:id>
        </ext>
      </extLst>
    </cfRule>
  </conditionalFormatting>
  <conditionalFormatting sqref="G1 G3:G18 G32:G1048576">
    <cfRule type="cellIs" dxfId="40" priority="15" operator="greaterThan">
      <formula>0</formula>
    </cfRule>
  </conditionalFormatting>
  <conditionalFormatting sqref="H1 H3:H1048576">
    <cfRule type="cellIs" dxfId="39" priority="8" operator="greaterThan">
      <formula>0</formula>
    </cfRule>
  </conditionalFormatting>
  <conditionalFormatting sqref="I1 I3:I1048576">
    <cfRule type="cellIs" dxfId="38" priority="14" operator="greaterThan">
      <formula>0</formula>
    </cfRule>
  </conditionalFormatting>
  <conditionalFormatting sqref="J1 J3:J1048576">
    <cfRule type="cellIs" dxfId="37" priority="12" operator="greaterThan">
      <formula>0</formula>
    </cfRule>
  </conditionalFormatting>
  <conditionalFormatting sqref="K1 K3:K1048576">
    <cfRule type="cellIs" dxfId="36" priority="11" operator="greaterThan">
      <formula>0</formula>
    </cfRule>
  </conditionalFormatting>
  <conditionalFormatting sqref="L1 L3:L1048576">
    <cfRule type="cellIs" dxfId="35" priority="10" operator="greaterThan">
      <formula>0</formula>
    </cfRule>
  </conditionalFormatting>
  <conditionalFormatting sqref="M1 M3:M1048576">
    <cfRule type="cellIs" dxfId="34" priority="5" operator="greaterThan">
      <formula>0</formula>
    </cfRule>
  </conditionalFormatting>
  <conditionalFormatting sqref="N1 N3:N1048576">
    <cfRule type="cellIs" dxfId="33" priority="1" operator="greaterThan">
      <formula>0</formula>
    </cfRule>
  </conditionalFormatting>
  <conditionalFormatting sqref="O1 O3:O1048576">
    <cfRule type="cellIs" dxfId="32" priority="3" operator="greaterThan">
      <formula>0</formula>
    </cfRule>
  </conditionalFormatting>
  <conditionalFormatting sqref="P1 P3:P1048576">
    <cfRule type="cellIs" dxfId="31" priority="9" operator="greaterThan">
      <formula>0</formula>
    </cfRule>
  </conditionalFormatting>
  <conditionalFormatting sqref="R1:R1048576">
    <cfRule type="cellIs" dxfId="30" priority="16" operator="equal">
      <formula>"COMPLETADO"</formula>
    </cfRule>
    <cfRule type="iconSet" priority="17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85307C-C0EA-4898-A760-C32BABD92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tabSelected="1" topLeftCell="A9" zoomScale="85" zoomScaleNormal="85" workbookViewId="0">
      <selection activeCell="D21" sqref="D21"/>
    </sheetView>
  </sheetViews>
  <sheetFormatPr baseColWidth="10" defaultColWidth="9.140625" defaultRowHeight="24.75" customHeight="1"/>
  <cols>
    <col min="1" max="1" width="7.42578125" customWidth="1"/>
    <col min="2" max="2" width="39.85546875" customWidth="1"/>
    <col min="3" max="3" width="44.7109375" customWidth="1"/>
    <col min="4" max="4" width="14.7109375" customWidth="1"/>
    <col min="5" max="6" width="22.7109375" customWidth="1"/>
    <col min="7" max="9" width="17.7109375" customWidth="1"/>
    <col min="10" max="10" width="61.5703125" customWidth="1"/>
    <col min="11" max="11" width="14.85546875" customWidth="1"/>
    <col min="12" max="12" width="19.7109375" customWidth="1"/>
    <col min="13" max="13" width="21.5703125" customWidth="1"/>
    <col min="14" max="14" width="33.140625" customWidth="1"/>
    <col min="15" max="15" width="27.5703125" customWidth="1"/>
    <col min="16" max="16" width="35" customWidth="1"/>
  </cols>
  <sheetData>
    <row r="1" spans="1:16" ht="24.75" customHeight="1">
      <c r="A1" s="33"/>
      <c r="B1" s="38"/>
      <c r="C1" s="81" t="s">
        <v>39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"/>
      <c r="P1" s="10"/>
    </row>
    <row r="2" spans="1:16" ht="24.75" customHeight="1">
      <c r="A2" s="33"/>
      <c r="B2" s="38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"/>
      <c r="P2" s="10"/>
    </row>
    <row r="3" spans="1:16" ht="24.75" customHeight="1">
      <c r="A3" s="33"/>
      <c r="B3" s="39" t="s">
        <v>40</v>
      </c>
      <c r="C3" s="74" t="s">
        <v>41</v>
      </c>
      <c r="D3" s="74"/>
      <c r="E3" s="75"/>
      <c r="F3" s="34"/>
      <c r="G3" s="11"/>
      <c r="H3" s="6"/>
      <c r="I3" s="7"/>
      <c r="J3" s="7"/>
      <c r="K3" s="6"/>
      <c r="L3" s="10"/>
      <c r="M3" s="8"/>
      <c r="N3" s="9"/>
      <c r="O3" s="8"/>
      <c r="P3" s="10"/>
    </row>
    <row r="4" spans="1:16" ht="24.75" customHeight="1">
      <c r="A4" s="33"/>
      <c r="B4" s="40" t="s">
        <v>42</v>
      </c>
      <c r="C4" s="78" t="s">
        <v>43</v>
      </c>
      <c r="D4" s="79"/>
      <c r="E4" s="80"/>
      <c r="F4" s="18"/>
      <c r="G4" s="11"/>
      <c r="H4" s="6"/>
      <c r="I4" s="7"/>
      <c r="J4" s="7"/>
      <c r="K4" s="6"/>
      <c r="L4" s="10"/>
      <c r="M4" s="8"/>
      <c r="N4" s="9"/>
      <c r="O4" s="8"/>
      <c r="P4" s="10"/>
    </row>
    <row r="5" spans="1:16" ht="24.75" customHeight="1">
      <c r="A5" s="12"/>
      <c r="B5" s="13"/>
      <c r="C5" s="15"/>
      <c r="D5" s="15"/>
      <c r="E5" s="12"/>
      <c r="F5" s="12"/>
      <c r="G5" s="12"/>
      <c r="H5" s="12"/>
      <c r="I5" s="12"/>
      <c r="J5" s="12"/>
      <c r="K5" s="13"/>
      <c r="L5" s="16"/>
      <c r="M5" s="13"/>
      <c r="N5" s="12"/>
      <c r="O5" s="12"/>
    </row>
    <row r="6" spans="1:16" ht="24.75" customHeight="1">
      <c r="A6" s="12"/>
      <c r="B6" s="13"/>
      <c r="C6" s="15"/>
      <c r="D6" s="15"/>
      <c r="E6" s="12"/>
      <c r="F6" s="12"/>
      <c r="G6" s="12"/>
      <c r="H6" s="12"/>
      <c r="I6" s="12"/>
      <c r="J6" s="12"/>
      <c r="K6" s="13"/>
      <c r="L6" s="16"/>
      <c r="M6" s="13"/>
      <c r="N6" s="12"/>
      <c r="O6" s="12"/>
    </row>
    <row r="7" spans="1:16" ht="24.75" customHeight="1">
      <c r="A7" s="12"/>
      <c r="B7" s="37"/>
      <c r="C7" s="12"/>
      <c r="D7" s="12"/>
      <c r="E7" s="14"/>
      <c r="F7" s="14"/>
      <c r="G7" s="13"/>
      <c r="H7" s="15"/>
      <c r="I7" s="12"/>
      <c r="J7" s="12"/>
      <c r="K7" s="12"/>
      <c r="L7" s="12"/>
      <c r="M7" s="12"/>
      <c r="N7" s="13"/>
      <c r="O7" s="16"/>
      <c r="P7" s="13"/>
    </row>
    <row r="8" spans="1:16" ht="24.75" customHeight="1">
      <c r="A8" s="76" t="s">
        <v>44</v>
      </c>
      <c r="B8" s="77"/>
      <c r="C8" s="12"/>
      <c r="D8" s="12"/>
      <c r="E8" s="18"/>
      <c r="F8" s="18"/>
      <c r="G8" s="5"/>
      <c r="H8" s="15"/>
      <c r="I8" s="12"/>
      <c r="J8" s="12"/>
      <c r="K8" s="12"/>
      <c r="L8" s="12"/>
      <c r="M8" s="12"/>
      <c r="N8" s="13"/>
      <c r="O8" s="16"/>
      <c r="P8" s="13"/>
    </row>
    <row r="9" spans="1:16" ht="24.75" customHeight="1">
      <c r="A9" s="76" t="s">
        <v>45</v>
      </c>
      <c r="B9" s="77"/>
      <c r="C9" s="12"/>
      <c r="D9" s="12"/>
      <c r="E9" s="18"/>
      <c r="F9" s="18"/>
      <c r="G9" s="19"/>
      <c r="H9" s="15"/>
      <c r="I9" s="12"/>
      <c r="J9" s="12"/>
      <c r="K9" s="12"/>
      <c r="L9" s="12"/>
      <c r="M9" s="12"/>
      <c r="N9" s="13"/>
      <c r="O9" s="16"/>
      <c r="P9" s="13"/>
    </row>
    <row r="10" spans="1:16" ht="24.75" customHeight="1">
      <c r="A10" s="17" t="s">
        <v>46</v>
      </c>
      <c r="B10" s="8"/>
      <c r="C10" s="6"/>
      <c r="D10" s="6"/>
      <c r="E10" s="18"/>
      <c r="F10" s="18"/>
      <c r="G10" s="13"/>
      <c r="H10" s="15"/>
      <c r="I10" s="12"/>
      <c r="J10" s="12"/>
      <c r="K10" s="12"/>
      <c r="L10" s="12"/>
      <c r="M10" s="12"/>
      <c r="N10" s="13"/>
      <c r="O10" s="16"/>
      <c r="P10" s="13"/>
    </row>
    <row r="11" spans="1:16" ht="24.75" customHeight="1">
      <c r="A11" s="17" t="s">
        <v>47</v>
      </c>
      <c r="B11" s="8"/>
      <c r="C11" s="6"/>
      <c r="D11" s="6"/>
      <c r="E11" s="18"/>
      <c r="F11" s="18"/>
      <c r="G11" s="13"/>
      <c r="H11" s="15"/>
      <c r="I11" s="12"/>
      <c r="J11" s="12"/>
      <c r="K11" s="12"/>
      <c r="L11" s="12"/>
      <c r="M11" s="12"/>
      <c r="N11" s="13"/>
      <c r="O11" s="16"/>
      <c r="P11" s="13"/>
    </row>
    <row r="12" spans="1:16" ht="24.75" customHeight="1">
      <c r="A12" s="17" t="s">
        <v>48</v>
      </c>
      <c r="B12" s="8"/>
      <c r="C12" s="6"/>
      <c r="D12" s="6"/>
      <c r="E12" s="18"/>
      <c r="F12" s="18"/>
      <c r="G12" s="19"/>
      <c r="H12" s="15"/>
      <c r="I12" s="12"/>
      <c r="J12" s="12"/>
      <c r="K12" s="12"/>
      <c r="L12" s="12"/>
      <c r="M12" s="12"/>
      <c r="N12" s="13"/>
      <c r="O12" s="16"/>
      <c r="P12" s="13"/>
    </row>
    <row r="13" spans="1:16" ht="24.75" customHeight="1">
      <c r="A13" s="12"/>
      <c r="B13" s="13"/>
      <c r="C13" s="12"/>
      <c r="D13" s="12"/>
      <c r="E13" s="12"/>
      <c r="F13" s="12"/>
      <c r="G13" s="13"/>
      <c r="H13" s="12"/>
      <c r="I13" s="12"/>
      <c r="J13" s="12"/>
      <c r="K13" s="12"/>
      <c r="L13" s="12"/>
      <c r="M13" s="12"/>
      <c r="N13" s="13"/>
      <c r="O13" s="16"/>
      <c r="P13" s="13"/>
    </row>
    <row r="14" spans="1:16" ht="24.75" customHeight="1">
      <c r="A14" s="12"/>
      <c r="B14" s="13"/>
      <c r="C14" s="12"/>
      <c r="D14" s="12"/>
      <c r="E14" s="12"/>
      <c r="F14" s="12"/>
      <c r="G14" s="13"/>
      <c r="H14" s="12"/>
      <c r="I14" s="12"/>
      <c r="J14" s="12"/>
      <c r="K14" s="12"/>
      <c r="L14" s="12"/>
      <c r="M14" s="12"/>
      <c r="N14" s="13"/>
      <c r="O14" s="16"/>
      <c r="P14" s="13"/>
    </row>
    <row r="15" spans="1:16" ht="93" customHeight="1">
      <c r="A15" s="35"/>
      <c r="B15" s="36"/>
      <c r="C15" s="36"/>
      <c r="D15" s="36"/>
      <c r="E15" s="36"/>
      <c r="F15" s="59" t="s">
        <v>49</v>
      </c>
      <c r="G15" s="59" t="s">
        <v>50</v>
      </c>
      <c r="H15" s="59" t="s">
        <v>51</v>
      </c>
      <c r="I15" s="60"/>
      <c r="J15" s="60"/>
      <c r="K15" s="59" t="s">
        <v>52</v>
      </c>
      <c r="L15" s="59" t="s">
        <v>53</v>
      </c>
      <c r="M15" s="60"/>
      <c r="N15" s="59" t="s">
        <v>54</v>
      </c>
      <c r="O15" s="60"/>
      <c r="P15" s="60"/>
    </row>
    <row r="16" spans="1:16" ht="39.75" customHeight="1">
      <c r="A16" s="20" t="s">
        <v>55</v>
      </c>
      <c r="B16" s="21" t="s">
        <v>56</v>
      </c>
      <c r="C16" s="22" t="s">
        <v>57</v>
      </c>
      <c r="D16" s="22" t="s">
        <v>58</v>
      </c>
      <c r="E16" s="21" t="s">
        <v>59</v>
      </c>
      <c r="F16" s="21" t="s">
        <v>60</v>
      </c>
      <c r="G16" s="22" t="s">
        <v>61</v>
      </c>
      <c r="H16" s="22" t="s">
        <v>62</v>
      </c>
      <c r="I16" s="22" t="s">
        <v>63</v>
      </c>
      <c r="J16" s="63" t="s">
        <v>64</v>
      </c>
      <c r="K16" s="22" t="s">
        <v>65</v>
      </c>
      <c r="L16" s="23" t="s">
        <v>66</v>
      </c>
      <c r="M16" s="24" t="s">
        <v>67</v>
      </c>
      <c r="N16" s="25" t="s">
        <v>68</v>
      </c>
      <c r="O16" s="26" t="s">
        <v>69</v>
      </c>
      <c r="P16" s="26" t="s">
        <v>70</v>
      </c>
    </row>
    <row r="17" spans="1:17" ht="75.599999999999994" customHeight="1">
      <c r="A17" s="32">
        <v>1</v>
      </c>
      <c r="B17" s="27" t="s">
        <v>110</v>
      </c>
      <c r="C17" s="65" t="s">
        <v>107</v>
      </c>
      <c r="D17" s="65">
        <v>1</v>
      </c>
      <c r="E17" s="64" t="s">
        <v>108</v>
      </c>
      <c r="F17" s="27" t="s">
        <v>71</v>
      </c>
      <c r="G17" s="66" t="s">
        <v>72</v>
      </c>
      <c r="H17" s="27" t="s">
        <v>73</v>
      </c>
      <c r="I17" s="30" t="s">
        <v>109</v>
      </c>
      <c r="J17" s="67" t="s">
        <v>118</v>
      </c>
      <c r="K17" s="31" t="s">
        <v>74</v>
      </c>
      <c r="L17" s="28" t="s">
        <v>24</v>
      </c>
      <c r="M17" s="27"/>
      <c r="N17" s="65" t="s">
        <v>15</v>
      </c>
      <c r="O17" s="27"/>
      <c r="P17" s="70"/>
      <c r="Q17" s="69"/>
    </row>
    <row r="18" spans="1:17" ht="75.599999999999994" customHeight="1">
      <c r="A18" s="32">
        <v>2</v>
      </c>
      <c r="B18" s="27" t="s">
        <v>110</v>
      </c>
      <c r="C18" s="65" t="s">
        <v>107</v>
      </c>
      <c r="D18" s="65">
        <v>1</v>
      </c>
      <c r="E18" s="64" t="s">
        <v>108</v>
      </c>
      <c r="F18" s="27" t="s">
        <v>71</v>
      </c>
      <c r="G18" s="66" t="s">
        <v>72</v>
      </c>
      <c r="H18" s="27" t="s">
        <v>73</v>
      </c>
      <c r="I18" s="30" t="s">
        <v>109</v>
      </c>
      <c r="J18" s="67" t="s">
        <v>116</v>
      </c>
      <c r="K18" s="31" t="s">
        <v>74</v>
      </c>
      <c r="L18" s="28" t="s">
        <v>24</v>
      </c>
      <c r="M18" s="27"/>
      <c r="N18" s="65" t="s">
        <v>15</v>
      </c>
      <c r="O18" s="27"/>
      <c r="P18" s="70"/>
      <c r="Q18" s="69"/>
    </row>
    <row r="19" spans="1:17" ht="75.599999999999994" customHeight="1">
      <c r="A19" s="32">
        <v>3</v>
      </c>
      <c r="B19" s="27" t="s">
        <v>110</v>
      </c>
      <c r="C19" s="65" t="s">
        <v>107</v>
      </c>
      <c r="D19" s="65">
        <v>1</v>
      </c>
      <c r="E19" s="64" t="s">
        <v>108</v>
      </c>
      <c r="F19" s="27" t="s">
        <v>71</v>
      </c>
      <c r="G19" s="66" t="s">
        <v>72</v>
      </c>
      <c r="H19" s="27" t="s">
        <v>73</v>
      </c>
      <c r="I19" s="30" t="s">
        <v>109</v>
      </c>
      <c r="J19" s="67" t="s">
        <v>116</v>
      </c>
      <c r="K19" s="31" t="s">
        <v>74</v>
      </c>
      <c r="L19" s="28" t="s">
        <v>24</v>
      </c>
      <c r="M19" s="27"/>
      <c r="N19" s="65" t="s">
        <v>15</v>
      </c>
      <c r="O19" s="27"/>
      <c r="P19" s="70"/>
      <c r="Q19" s="69"/>
    </row>
  </sheetData>
  <autoFilter ref="A16:P17" xr:uid="{00000000-0001-0000-0100-000000000000}"/>
  <mergeCells count="5">
    <mergeCell ref="C3:E3"/>
    <mergeCell ref="A8:B8"/>
    <mergeCell ref="A9:B9"/>
    <mergeCell ref="C4:E4"/>
    <mergeCell ref="C1:N2"/>
  </mergeCells>
  <conditionalFormatting sqref="N1:N14 N16:N17 N20:N1048576">
    <cfRule type="cellIs" dxfId="29" priority="142" operator="equal">
      <formula>"OPORTUNIDAD DE MEJORA"</formula>
    </cfRule>
    <cfRule type="cellIs" dxfId="28" priority="143" operator="equal">
      <formula>"VALIDAR CON EQ. TECNICO"</formula>
    </cfRule>
    <cfRule type="cellIs" dxfId="27" priority="144" operator="equal">
      <formula>"DEVUELTO PARA VUCE"</formula>
    </cfRule>
    <cfRule type="cellIs" dxfId="26" priority="145" operator="equal">
      <formula>"NO APLICA"</formula>
    </cfRule>
    <cfRule type="cellIs" dxfId="25" priority="146" operator="equal">
      <formula>"SOLUCIONADO"</formula>
    </cfRule>
    <cfRule type="cellIs" dxfId="24" priority="147" operator="equal">
      <formula>"PENDIENTE"</formula>
    </cfRule>
    <cfRule type="cellIs" dxfId="23" priority="148" operator="equal">
      <formula>"SIGUIENTE VERSION"</formula>
    </cfRule>
    <cfRule type="cellIs" dxfId="22" priority="150" operator="equal">
      <formula>"DEVUELTO"</formula>
    </cfRule>
    <cfRule type="cellIs" dxfId="21" priority="151" operator="equal">
      <formula>"CERRADO"</formula>
    </cfRule>
  </conditionalFormatting>
  <conditionalFormatting sqref="N1:N17 N20:N1048576">
    <cfRule type="cellIs" dxfId="20" priority="31" operator="equal">
      <formula>"DESESTIMADO"</formula>
    </cfRule>
  </conditionalFormatting>
  <conditionalFormatting sqref="N18">
    <cfRule type="cellIs" dxfId="19" priority="12" operator="equal">
      <formula>"OPORTUNIDAD DE MEJORA"</formula>
    </cfRule>
    <cfRule type="cellIs" dxfId="18" priority="13" operator="equal">
      <formula>"VALIDAR CON EQ. TECNICO"</formula>
    </cfRule>
    <cfRule type="cellIs" dxfId="17" priority="14" operator="equal">
      <formula>"DEVUELTO PARA VUCE"</formula>
    </cfRule>
    <cfRule type="cellIs" dxfId="16" priority="15" operator="equal">
      <formula>"NO APLICA"</formula>
    </cfRule>
    <cfRule type="cellIs" dxfId="15" priority="16" operator="equal">
      <formula>"SOLUCIONADO"</formula>
    </cfRule>
    <cfRule type="cellIs" dxfId="14" priority="17" operator="equal">
      <formula>"PENDIENTE"</formula>
    </cfRule>
    <cfRule type="cellIs" dxfId="13" priority="18" operator="equal">
      <formula>"SIGUIENTE VERSION"</formula>
    </cfRule>
    <cfRule type="cellIs" dxfId="12" priority="19" operator="equal">
      <formula>"DEVUELTO"</formula>
    </cfRule>
    <cfRule type="cellIs" dxfId="11" priority="20" operator="equal">
      <formula>"CERRADO"</formula>
    </cfRule>
  </conditionalFormatting>
  <conditionalFormatting sqref="N18">
    <cfRule type="cellIs" dxfId="10" priority="11" operator="equal">
      <formula>"DESESTIMADO"</formula>
    </cfRule>
  </conditionalFormatting>
  <conditionalFormatting sqref="N19">
    <cfRule type="cellIs" dxfId="9" priority="2" operator="equal">
      <formula>"OPORTUNIDAD DE MEJORA"</formula>
    </cfRule>
    <cfRule type="cellIs" dxfId="8" priority="3" operator="equal">
      <formula>"VALIDAR CON EQ. TECNICO"</formula>
    </cfRule>
    <cfRule type="cellIs" dxfId="7" priority="4" operator="equal">
      <formula>"DEVUELTO PARA VUCE"</formula>
    </cfRule>
    <cfRule type="cellIs" dxfId="6" priority="5" operator="equal">
      <formula>"NO APLICA"</formula>
    </cfRule>
    <cfRule type="cellIs" dxfId="5" priority="6" operator="equal">
      <formula>"SOLUCIONADO"</formula>
    </cfRule>
    <cfRule type="cellIs" dxfId="4" priority="7" operator="equal">
      <formula>"PENDIENTE"</formula>
    </cfRule>
    <cfRule type="cellIs" dxfId="3" priority="8" operator="equal">
      <formula>"SIGUIENTE VERSION"</formula>
    </cfRule>
    <cfRule type="cellIs" dxfId="2" priority="9" operator="equal">
      <formula>"DEVUELTO"</formula>
    </cfRule>
    <cfRule type="cellIs" dxfId="1" priority="10" operator="equal">
      <formula>"CERRADO"</formula>
    </cfRule>
  </conditionalFormatting>
  <conditionalFormatting sqref="N19">
    <cfRule type="cellIs" dxfId="0" priority="1" operator="equal">
      <formula>"DESESTIMADO"</formula>
    </cfRule>
  </conditionalFormatting>
  <pageMargins left="0.7" right="0.7" top="0.75" bottom="0.75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7313DC0-BC76-4E20-AFEC-A1E59E49582C}">
          <x14:formula1>
            <xm:f>Otros!$F$4:$F$17</xm:f>
          </x14:formula1>
          <xm:sqref>L17:L19</xm:sqref>
        </x14:dataValidation>
        <x14:dataValidation type="list" allowBlank="1" showInputMessage="1" showErrorMessage="1" xr:uid="{9FF0A95B-D781-4F75-9322-D6A53D459678}">
          <x14:formula1>
            <xm:f>Otros!$D$3:$D$7</xm:f>
          </x14:formula1>
          <xm:sqref>H17:H19</xm:sqref>
        </x14:dataValidation>
        <x14:dataValidation type="list" allowBlank="1" showInputMessage="1" showErrorMessage="1" xr:uid="{8167524A-A7E6-4783-BA4C-8B2448EC24A7}">
          <x14:formula1>
            <xm:f>Otros!$A$3:$A$4</xm:f>
          </x14:formula1>
          <xm:sqref>G17:G19</xm:sqref>
        </x14:dataValidation>
        <x14:dataValidation type="list" allowBlank="1" showInputMessage="1" showErrorMessage="1" xr:uid="{A000869A-70CC-4D6B-AFD1-5D1974D5D384}">
          <x14:formula1>
            <xm:f>Otros!$B$3:$B$6</xm:f>
          </x14:formula1>
          <xm:sqref>K17:K19</xm:sqref>
        </x14:dataValidation>
        <x14:dataValidation type="list" allowBlank="1" showInputMessage="1" showErrorMessage="1" xr:uid="{41AB11CF-A19B-4600-8662-25E1B3339536}">
          <x14:formula1>
            <xm:f>Otros!$E$3:$E$5</xm:f>
          </x14:formula1>
          <xm:sqref>F17:F19</xm:sqref>
        </x14:dataValidation>
        <x14:dataValidation type="list" allowBlank="1" showInputMessage="1" showErrorMessage="1" xr:uid="{9E376DDC-4C68-4DAC-B85B-70203533DCD8}">
          <x14:formula1>
            <xm:f>Otros!$C$3:$C$12</xm:f>
          </x14:formula1>
          <xm:sqref>N17:N19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BC3A-FB96-43DA-AFA9-925645C7D823}">
  <dimension ref="A1:W10"/>
  <sheetViews>
    <sheetView zoomScaleNormal="100" workbookViewId="0">
      <selection activeCell="B9" sqref="B9"/>
    </sheetView>
  </sheetViews>
  <sheetFormatPr baseColWidth="10" defaultColWidth="11.5703125" defaultRowHeight="15"/>
  <cols>
    <col min="1" max="16384" width="11.5703125" style="68"/>
  </cols>
  <sheetData>
    <row r="1" spans="1:23">
      <c r="A1" s="84" t="s">
        <v>76</v>
      </c>
      <c r="B1" s="69" t="s">
        <v>109</v>
      </c>
    </row>
    <row r="2" spans="1:23">
      <c r="A2" s="84" t="s">
        <v>77</v>
      </c>
      <c r="B2" s="69" t="s">
        <v>24</v>
      </c>
    </row>
    <row r="3" spans="1:23">
      <c r="A3" s="84" t="s">
        <v>68</v>
      </c>
      <c r="B3" s="69" t="s">
        <v>3</v>
      </c>
    </row>
    <row r="4" spans="1:23">
      <c r="A4" s="69"/>
      <c r="B4" s="69"/>
    </row>
    <row r="5" spans="1:23">
      <c r="A5" s="69"/>
      <c r="B5" s="85" t="s">
        <v>111</v>
      </c>
    </row>
    <row r="6" spans="1:23">
      <c r="B6" s="83" t="s">
        <v>112</v>
      </c>
    </row>
    <row r="7" spans="1:23">
      <c r="B7" s="83" t="s">
        <v>119</v>
      </c>
    </row>
    <row r="8" spans="1:23">
      <c r="B8" s="83" t="s">
        <v>120</v>
      </c>
    </row>
    <row r="10" spans="1:23">
      <c r="B10" s="83" t="s">
        <v>113</v>
      </c>
      <c r="W10" s="83" t="s">
        <v>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70EE-054F-4876-B098-9AF3DEC0DEAD}">
  <dimension ref="A1:B10"/>
  <sheetViews>
    <sheetView zoomScale="85" zoomScaleNormal="85" workbookViewId="0">
      <selection activeCell="I7" sqref="I7"/>
    </sheetView>
  </sheetViews>
  <sheetFormatPr baseColWidth="10" defaultColWidth="11.5703125" defaultRowHeight="15"/>
  <cols>
    <col min="1" max="16384" width="11.5703125" style="68"/>
  </cols>
  <sheetData>
    <row r="1" spans="1:2">
      <c r="A1" s="84" t="s">
        <v>76</v>
      </c>
      <c r="B1" s="69" t="s">
        <v>109</v>
      </c>
    </row>
    <row r="2" spans="1:2">
      <c r="A2" s="84" t="s">
        <v>77</v>
      </c>
      <c r="B2" s="69" t="s">
        <v>24</v>
      </c>
    </row>
    <row r="3" spans="1:2">
      <c r="A3" s="84" t="s">
        <v>68</v>
      </c>
      <c r="B3" s="69" t="s">
        <v>3</v>
      </c>
    </row>
    <row r="4" spans="1:2">
      <c r="A4" s="69"/>
      <c r="B4" s="69"/>
    </row>
    <row r="5" spans="1:2">
      <c r="A5" s="69"/>
      <c r="B5" s="85" t="s">
        <v>114</v>
      </c>
    </row>
    <row r="6" spans="1:2">
      <c r="B6" s="83" t="s">
        <v>115</v>
      </c>
    </row>
    <row r="7" spans="1:2">
      <c r="B7" s="83"/>
    </row>
    <row r="10" spans="1:2">
      <c r="B10" s="8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CC5B-C6AC-4707-8961-96A00A427933}">
  <dimension ref="A1:B10"/>
  <sheetViews>
    <sheetView zoomScale="40" zoomScaleNormal="40" workbookViewId="0">
      <selection activeCell="AH78" sqref="AH78"/>
    </sheetView>
  </sheetViews>
  <sheetFormatPr baseColWidth="10" defaultColWidth="11.5703125" defaultRowHeight="15"/>
  <cols>
    <col min="1" max="16384" width="11.5703125" style="68"/>
  </cols>
  <sheetData>
    <row r="1" spans="1:2">
      <c r="A1" s="84" t="s">
        <v>76</v>
      </c>
      <c r="B1" s="69" t="s">
        <v>109</v>
      </c>
    </row>
    <row r="2" spans="1:2">
      <c r="A2" s="84" t="s">
        <v>77</v>
      </c>
      <c r="B2" s="69" t="s">
        <v>24</v>
      </c>
    </row>
    <row r="3" spans="1:2">
      <c r="A3" s="84" t="s">
        <v>68</v>
      </c>
      <c r="B3" s="69" t="s">
        <v>3</v>
      </c>
    </row>
    <row r="4" spans="1:2">
      <c r="A4" s="69"/>
      <c r="B4" s="69"/>
    </row>
    <row r="5" spans="1:2">
      <c r="A5" s="69"/>
      <c r="B5" s="85" t="s">
        <v>121</v>
      </c>
    </row>
    <row r="6" spans="1:2">
      <c r="B6" s="83"/>
    </row>
    <row r="7" spans="1:2">
      <c r="B7" s="83"/>
    </row>
    <row r="10" spans="1:2">
      <c r="B10" s="8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N24" sqref="N24"/>
    </sheetView>
  </sheetViews>
  <sheetFormatPr baseColWidth="10" defaultColWidth="14.42578125" defaultRowHeight="15" customHeight="1"/>
  <cols>
    <col min="1" max="1" width="19" customWidth="1"/>
    <col min="2" max="2" width="10.7109375" customWidth="1"/>
    <col min="3" max="3" width="24" customWidth="1"/>
    <col min="4" max="4" width="21" customWidth="1"/>
    <col min="5" max="5" width="12.5703125" customWidth="1"/>
    <col min="6" max="6" width="18.140625" customWidth="1"/>
    <col min="7" max="9" width="10.7109375" customWidth="1"/>
    <col min="10" max="10" width="10.7109375" hidden="1" customWidth="1"/>
    <col min="11" max="11" width="10.7109375" customWidth="1"/>
    <col min="12" max="13" width="10.7109375" hidden="1" customWidth="1"/>
  </cols>
  <sheetData>
    <row r="1" spans="1:26" ht="14.25" customHeight="1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58" t="s">
        <v>79</v>
      </c>
      <c r="B2" s="58" t="s">
        <v>80</v>
      </c>
      <c r="C2" s="58" t="s">
        <v>81</v>
      </c>
      <c r="D2" s="58" t="s">
        <v>82</v>
      </c>
      <c r="E2" s="58" t="s">
        <v>83</v>
      </c>
      <c r="F2" s="82" t="s">
        <v>84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 t="s">
        <v>85</v>
      </c>
      <c r="B3" s="1" t="s">
        <v>86</v>
      </c>
      <c r="C3" s="1" t="s">
        <v>15</v>
      </c>
      <c r="D3" s="1" t="s">
        <v>73</v>
      </c>
      <c r="E3" s="1" t="s">
        <v>71</v>
      </c>
      <c r="F3" s="8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 t="s">
        <v>72</v>
      </c>
      <c r="B4" s="1" t="s">
        <v>74</v>
      </c>
      <c r="C4" s="1" t="s">
        <v>17</v>
      </c>
      <c r="D4" s="1" t="s">
        <v>87</v>
      </c>
      <c r="E4" s="1" t="s">
        <v>88</v>
      </c>
      <c r="F4" s="41" t="s">
        <v>16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 t="s">
        <v>75</v>
      </c>
      <c r="C5" s="1" t="s">
        <v>21</v>
      </c>
      <c r="D5" s="1" t="s">
        <v>89</v>
      </c>
      <c r="E5" s="1" t="s">
        <v>90</v>
      </c>
      <c r="F5" s="41" t="s">
        <v>18</v>
      </c>
      <c r="G5" s="1"/>
      <c r="H5" s="1"/>
      <c r="I5" s="1"/>
      <c r="J5" s="2" t="s">
        <v>91</v>
      </c>
      <c r="K5" s="1"/>
      <c r="L5" s="2" t="s">
        <v>91</v>
      </c>
      <c r="M5" s="3">
        <f>COUNTIF(J5:J149,L5)</f>
        <v>15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" t="s">
        <v>92</v>
      </c>
      <c r="C6" s="1" t="s">
        <v>19</v>
      </c>
      <c r="D6" s="1" t="s">
        <v>93</v>
      </c>
      <c r="E6" s="1"/>
      <c r="F6" s="42" t="s">
        <v>20</v>
      </c>
      <c r="G6" s="1"/>
      <c r="H6" s="1"/>
      <c r="I6" s="1"/>
      <c r="J6" s="2" t="s">
        <v>94</v>
      </c>
      <c r="K6" s="1"/>
      <c r="L6" s="2" t="s">
        <v>94</v>
      </c>
      <c r="M6" s="3">
        <f t="shared" ref="M6:M13" si="0">COUNTIF($J$5:$J$150,L6)</f>
        <v>32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 t="s">
        <v>23</v>
      </c>
      <c r="D7" s="1" t="s">
        <v>95</v>
      </c>
      <c r="E7" s="1"/>
      <c r="F7" s="42" t="s">
        <v>22</v>
      </c>
      <c r="G7" s="1"/>
      <c r="H7" s="1"/>
      <c r="I7" s="1"/>
      <c r="J7" s="2" t="s">
        <v>94</v>
      </c>
      <c r="K7" s="1"/>
      <c r="L7" s="2" t="s">
        <v>96</v>
      </c>
      <c r="M7" s="3">
        <f t="shared" si="0"/>
        <v>22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"/>
      <c r="C8" s="1" t="s">
        <v>97</v>
      </c>
      <c r="D8" s="1"/>
      <c r="E8" s="1"/>
      <c r="F8" s="42" t="s">
        <v>24</v>
      </c>
      <c r="G8" s="1"/>
      <c r="H8" s="1"/>
      <c r="I8" s="1"/>
      <c r="J8" s="2" t="s">
        <v>91</v>
      </c>
      <c r="K8" s="1"/>
      <c r="L8" s="2" t="s">
        <v>98</v>
      </c>
      <c r="M8" s="3">
        <f t="shared" si="0"/>
        <v>29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"/>
      <c r="C9" s="1" t="s">
        <v>27</v>
      </c>
      <c r="D9" s="1"/>
      <c r="E9" s="1"/>
      <c r="F9" s="42" t="s">
        <v>26</v>
      </c>
      <c r="G9" s="1"/>
      <c r="H9" s="1"/>
      <c r="I9" s="1"/>
      <c r="J9" s="2" t="s">
        <v>96</v>
      </c>
      <c r="K9" s="1"/>
      <c r="L9" s="3" t="s">
        <v>99</v>
      </c>
      <c r="M9" s="3">
        <f t="shared" si="0"/>
        <v>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"/>
      <c r="C10" s="1" t="s">
        <v>100</v>
      </c>
      <c r="D10" s="1"/>
      <c r="E10" s="1"/>
      <c r="F10" s="42" t="s">
        <v>101</v>
      </c>
      <c r="G10" s="1"/>
      <c r="H10" s="1"/>
      <c r="I10" s="1"/>
      <c r="J10" s="2" t="s">
        <v>96</v>
      </c>
      <c r="K10" s="1"/>
      <c r="L10" s="4" t="s">
        <v>102</v>
      </c>
      <c r="M10" s="3">
        <f t="shared" si="0"/>
        <v>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"/>
      <c r="C11" s="1" t="s">
        <v>29</v>
      </c>
      <c r="D11" s="1"/>
      <c r="E11" s="1"/>
      <c r="F11" s="42" t="s">
        <v>103</v>
      </c>
      <c r="G11" s="1"/>
      <c r="H11" s="1"/>
      <c r="I11" s="1"/>
      <c r="J11" s="2" t="s">
        <v>96</v>
      </c>
      <c r="K11" s="1"/>
      <c r="L11" s="4" t="s">
        <v>104</v>
      </c>
      <c r="M11" s="3">
        <f t="shared" si="0"/>
        <v>18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"/>
      <c r="C12" s="1" t="s">
        <v>31</v>
      </c>
      <c r="D12" s="1"/>
      <c r="E12" s="1"/>
      <c r="F12" s="42" t="s">
        <v>32</v>
      </c>
      <c r="G12" s="1"/>
      <c r="H12" s="1"/>
      <c r="I12" s="1"/>
      <c r="J12" s="2" t="s">
        <v>98</v>
      </c>
      <c r="K12" s="1"/>
      <c r="L12" s="4" t="s">
        <v>105</v>
      </c>
      <c r="M12" s="3">
        <f t="shared" si="0"/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"/>
      <c r="C13" s="1"/>
      <c r="D13" s="1"/>
      <c r="E13" s="1"/>
      <c r="F13" s="42" t="s">
        <v>34</v>
      </c>
      <c r="G13" s="1"/>
      <c r="H13" s="1"/>
      <c r="I13" s="1"/>
      <c r="J13" s="2" t="s">
        <v>91</v>
      </c>
      <c r="K13" s="1"/>
      <c r="L13" s="4" t="s">
        <v>106</v>
      </c>
      <c r="M13" s="3">
        <f t="shared" si="0"/>
        <v>11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1"/>
      <c r="D14" s="1"/>
      <c r="E14" s="1"/>
      <c r="F14" s="42" t="s">
        <v>35</v>
      </c>
      <c r="G14" s="1"/>
      <c r="H14" s="1"/>
      <c r="I14" s="1"/>
      <c r="J14" s="2" t="s">
        <v>91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"/>
      <c r="C15" s="1"/>
      <c r="D15" s="1"/>
      <c r="E15" s="1"/>
      <c r="F15" s="42" t="s">
        <v>36</v>
      </c>
      <c r="G15" s="1"/>
      <c r="H15" s="1"/>
      <c r="I15" s="1"/>
      <c r="J15" s="2" t="s">
        <v>98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"/>
      <c r="C16" s="1"/>
      <c r="D16" s="1"/>
      <c r="E16" s="1"/>
      <c r="F16" s="42" t="s">
        <v>37</v>
      </c>
      <c r="G16" s="1"/>
      <c r="H16" s="1"/>
      <c r="I16" s="1"/>
      <c r="J16" s="2" t="s">
        <v>98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"/>
      <c r="C17" s="1"/>
      <c r="D17" s="1"/>
      <c r="E17" s="1"/>
      <c r="F17" s="43" t="s">
        <v>38</v>
      </c>
      <c r="G17" s="1"/>
      <c r="H17" s="1"/>
      <c r="I17" s="1"/>
      <c r="J17" s="2" t="s">
        <v>98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"/>
      <c r="C18" s="1"/>
      <c r="D18" s="1"/>
      <c r="E18" s="1"/>
      <c r="F18" s="1"/>
      <c r="G18" s="1"/>
      <c r="H18" s="1"/>
      <c r="I18" s="1"/>
      <c r="J18" s="2" t="s">
        <v>94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"/>
      <c r="C19" s="1"/>
      <c r="D19" s="1"/>
      <c r="E19" s="1"/>
      <c r="F19" s="1"/>
      <c r="G19" s="1"/>
      <c r="H19" s="1"/>
      <c r="I19" s="1"/>
      <c r="J19" s="2" t="s">
        <v>98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"/>
      <c r="C20" s="1"/>
      <c r="D20" s="1"/>
      <c r="E20" s="1"/>
      <c r="F20" s="1"/>
      <c r="G20" s="1"/>
      <c r="H20" s="1"/>
      <c r="I20" s="1"/>
      <c r="J20" s="2" t="s">
        <v>98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2" t="s">
        <v>96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2" t="s">
        <v>96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2" t="s">
        <v>96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2" t="s">
        <v>96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2" t="s">
        <v>96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2" t="s">
        <v>96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2" t="s">
        <v>91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2" t="s">
        <v>91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2" t="s">
        <v>91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2" t="s">
        <v>98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2" t="s">
        <v>98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3" t="s">
        <v>99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2" t="s">
        <v>96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2" t="s">
        <v>96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2" t="s">
        <v>96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3" t="s">
        <v>99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3" t="s">
        <v>99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3" t="s">
        <v>99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2" t="s">
        <v>96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2" t="s">
        <v>96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2" t="s">
        <v>96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3" t="s">
        <v>99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3" t="s">
        <v>99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2" t="s">
        <v>98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2" t="s">
        <v>96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2" t="s">
        <v>96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4" t="s">
        <v>102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4" t="s">
        <v>102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2" t="s">
        <v>98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2" t="s">
        <v>98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2" t="s">
        <v>98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4" t="s">
        <v>102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4" t="s">
        <v>104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4" t="s">
        <v>104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4" t="s">
        <v>104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4" t="s">
        <v>104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2" t="s">
        <v>94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2" t="s">
        <v>94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2" t="s">
        <v>94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2" t="s">
        <v>94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2" t="s">
        <v>94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2" t="s">
        <v>94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2" t="s">
        <v>94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2" t="s">
        <v>94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2" t="s">
        <v>94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2" t="s">
        <v>94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4" t="s">
        <v>102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4" t="s">
        <v>105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4" t="s">
        <v>102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2" t="s">
        <v>94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2" t="s">
        <v>94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2" t="s">
        <v>94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2" t="s">
        <v>94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4" t="s">
        <v>102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2" t="s">
        <v>96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4" t="s">
        <v>105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4" t="s">
        <v>105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2" t="s">
        <v>94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2" t="s">
        <v>94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2" t="s">
        <v>94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4" t="s">
        <v>105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4" t="s">
        <v>105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4" t="s">
        <v>104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4" t="s">
        <v>104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4" t="s">
        <v>104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4" t="s">
        <v>104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4" t="s">
        <v>104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4" t="s">
        <v>104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4" t="s">
        <v>104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4" t="s">
        <v>104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4" t="s">
        <v>104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4" t="s">
        <v>104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4" t="s">
        <v>104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4" t="s">
        <v>104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4" t="s">
        <v>104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4" t="s">
        <v>104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4" t="s">
        <v>102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4" t="s">
        <v>106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4" t="s">
        <v>106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4" t="s">
        <v>106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4" t="s">
        <v>106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4" t="s">
        <v>106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4" t="s">
        <v>106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4" t="s">
        <v>106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4" t="s">
        <v>106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 t="s">
        <v>98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3" t="s">
        <v>91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 t="s">
        <v>98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 t="s">
        <v>98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 t="s">
        <v>98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 t="s">
        <v>94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 t="s">
        <v>94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 t="s">
        <v>94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 t="s">
        <v>94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3" t="s">
        <v>91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 t="s">
        <v>98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 t="s">
        <v>98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 t="s">
        <v>98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 t="s">
        <v>106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 t="s">
        <v>106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 t="s">
        <v>106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 t="s">
        <v>96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 t="s">
        <v>96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 t="s">
        <v>96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3" t="s">
        <v>91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 t="s">
        <v>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 t="s">
        <v>98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 t="s">
        <v>98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 t="s">
        <v>98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 t="s">
        <v>98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 t="s">
        <v>98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 t="s">
        <v>91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 t="s">
        <v>91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 t="s">
        <v>94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 t="s">
        <v>94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 t="s">
        <v>94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 t="s">
        <v>94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 t="s">
        <v>94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 t="s">
        <v>94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 t="s">
        <v>94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 t="s">
        <v>94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3" t="s">
        <v>91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 t="s">
        <v>96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 t="s">
        <v>98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 t="s">
        <v>98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3" t="s">
        <v>91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 t="s">
        <v>98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 t="s">
        <v>98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3" t="s">
        <v>91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C350" s="1"/>
    </row>
    <row r="351" spans="1:26" ht="14.25" customHeight="1">
      <c r="C351" s="1"/>
    </row>
    <row r="352" spans="1:26" ht="14.25" customHeight="1">
      <c r="C352" s="1"/>
    </row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F2:F3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18" ma:contentTypeDescription="Create a new document." ma:contentTypeScope="" ma:versionID="b7522711d5ccb5f18acd4b1accb8ad3d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ff791535c28e4d58edbfde2b679c9ba4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FC4E18-2FDD-402D-BFE0-6C3D989753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4BDF38-503F-4D0B-A1AF-DF8AB1E292A3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5003F47C-7E25-4230-8871-5D9DF79FB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Control de incidencias</vt:lpstr>
      <vt:lpstr>Incidencias</vt:lpstr>
      <vt:lpstr>1</vt:lpstr>
      <vt:lpstr>2</vt:lpstr>
      <vt:lpstr>3</vt:lpstr>
      <vt:lpstr>Otros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ROSCIO SAENZ SANCHEZ</dc:creator>
  <cp:keywords/>
  <dc:description/>
  <cp:lastModifiedBy>Jorge Cisneros</cp:lastModifiedBy>
  <cp:revision/>
  <dcterms:created xsi:type="dcterms:W3CDTF">2023-01-19T13:24:25Z</dcterms:created>
  <dcterms:modified xsi:type="dcterms:W3CDTF">2024-06-19T21:34:17Z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SIP_Label_6c04a875-6eb2-484b-a14b-e2519851b720_ActionId">
    <vt:lpwstr>dc0f2cd6-0cac-4f32-abaf-2a992f593751</vt:lpwstr>
  </property>
  <property fmtid="{D5CDD505-2E9C-101B-9397-08002B2CF9AE}" pid="4" name="MSIP_Label_6c04a875-6eb2-484b-a14b-e2519851b720_ContentBits">
    <vt:lpwstr>0</vt:lpwstr>
  </property>
  <property fmtid="{D5CDD505-2E9C-101B-9397-08002B2CF9AE}" pid="5" name="MSIP_Label_6c04a875-6eb2-484b-a14b-e2519851b720_Enabled">
    <vt:lpwstr>true</vt:lpwstr>
  </property>
  <property fmtid="{D5CDD505-2E9C-101B-9397-08002B2CF9AE}" pid="6" name="MSIP_Label_6c04a875-6eb2-484b-a14b-e2519851b720_Method">
    <vt:lpwstr>Standard</vt:lpwstr>
  </property>
  <property fmtid="{D5CDD505-2E9C-101B-9397-08002B2CF9AE}" pid="7" name="MSIP_Label_6c04a875-6eb2-484b-a14b-e2519851b720_Name">
    <vt:lpwstr>External</vt:lpwstr>
  </property>
  <property fmtid="{D5CDD505-2E9C-101B-9397-08002B2CF9AE}" pid="8" name="MSIP_Label_6c04a875-6eb2-484b-a14b-e2519851b720_SetDate">
    <vt:lpwstr>2023-01-19T13:24:26Z</vt:lpwstr>
  </property>
  <property fmtid="{D5CDD505-2E9C-101B-9397-08002B2CF9AE}" pid="9" name="MSIP_Label_6c04a875-6eb2-484b-a14b-e2519851b720_SiteId">
    <vt:lpwstr>14cb4ab4-62b8-45a2-a944-e225383ee1f9</vt:lpwstr>
  </property>
  <property fmtid="{D5CDD505-2E9C-101B-9397-08002B2CF9AE}" pid="10" name="MediaServiceImageTags">
    <vt:lpwstr/>
  </property>
</Properties>
</file>