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MSoEE\Foundations of Entrepreneurship\Spring 2021\"/>
    </mc:Choice>
  </mc:AlternateContent>
  <bookViews>
    <workbookView xWindow="0" yWindow="0" windowWidth="14028" windowHeight="6096" activeTab="6"/>
  </bookViews>
  <sheets>
    <sheet name="NPTEL" sheetId="5" r:id="rId1"/>
    <sheet name="Sheet1" sheetId="6" r:id="rId2"/>
    <sheet name="Sheet2" sheetId="7" r:id="rId3"/>
    <sheet name="Sheet3" sheetId="8" r:id="rId4"/>
    <sheet name="Sheet4" sheetId="9" r:id="rId5"/>
    <sheet name="Sheet5" sheetId="10" r:id="rId6"/>
    <sheet name="Sheet6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1" l="1"/>
  <c r="H38" i="11"/>
  <c r="P36" i="11"/>
  <c r="O34" i="11"/>
  <c r="Q31" i="11"/>
  <c r="Q27" i="11"/>
  <c r="R27" i="11"/>
  <c r="P27" i="11"/>
  <c r="P26" i="11"/>
  <c r="P25" i="11"/>
  <c r="P24" i="11"/>
  <c r="O27" i="11"/>
  <c r="L31" i="11"/>
  <c r="L21" i="11"/>
  <c r="L20" i="11"/>
  <c r="L19" i="11"/>
  <c r="H34" i="11"/>
  <c r="H33" i="11"/>
  <c r="H30" i="11"/>
  <c r="H25" i="11"/>
  <c r="H19" i="11"/>
  <c r="H18" i="11"/>
  <c r="H9" i="11"/>
  <c r="L32" i="11"/>
  <c r="L29" i="11"/>
  <c r="L28" i="11"/>
  <c r="L27" i="11"/>
  <c r="L26" i="11"/>
  <c r="L25" i="11"/>
  <c r="L18" i="11"/>
  <c r="L17" i="11"/>
  <c r="L16" i="11"/>
  <c r="L15" i="11"/>
  <c r="L12" i="11"/>
  <c r="J28" i="11"/>
  <c r="L8" i="11"/>
  <c r="L7" i="11"/>
  <c r="L6" i="11"/>
  <c r="I29" i="11"/>
  <c r="I30" i="11" s="1"/>
  <c r="I33" i="11" s="1"/>
  <c r="I34" i="11" s="1"/>
  <c r="I25" i="11"/>
  <c r="I24" i="11"/>
  <c r="I18" i="11"/>
  <c r="E47" i="11"/>
  <c r="E45" i="11"/>
  <c r="E43" i="11"/>
  <c r="E41" i="11"/>
  <c r="E40" i="11"/>
  <c r="E39" i="11"/>
  <c r="E38" i="11"/>
  <c r="E36" i="11"/>
  <c r="B54" i="11"/>
  <c r="B52" i="11"/>
  <c r="I17" i="11"/>
  <c r="I16" i="11"/>
  <c r="I15" i="11"/>
  <c r="I23" i="11"/>
  <c r="I28" i="11"/>
  <c r="I32" i="11"/>
  <c r="I8" i="11"/>
  <c r="E34" i="11"/>
  <c r="I7" i="11"/>
  <c r="I14" i="11"/>
  <c r="E32" i="11"/>
  <c r="I13" i="11"/>
  <c r="E22" i="11"/>
  <c r="E28" i="11"/>
  <c r="E27" i="11"/>
  <c r="E29" i="11" s="1"/>
  <c r="E30" i="11" s="1"/>
  <c r="E26" i="11"/>
  <c r="E25" i="11"/>
  <c r="E20" i="11"/>
  <c r="E18" i="11"/>
  <c r="E17" i="11"/>
  <c r="I12" i="11"/>
  <c r="E13" i="11"/>
  <c r="E5" i="11"/>
  <c r="E11" i="11"/>
  <c r="E10" i="11"/>
  <c r="E9" i="11"/>
  <c r="E8" i="11"/>
  <c r="E7" i="11"/>
  <c r="O35" i="11" l="1"/>
  <c r="O33" i="11"/>
  <c r="L33" i="11"/>
  <c r="I6" i="11" s="1"/>
  <c r="I9" i="11" s="1"/>
  <c r="I19" i="11" s="1"/>
  <c r="D41" i="5"/>
  <c r="M27" i="5"/>
  <c r="M24" i="5"/>
  <c r="M23" i="5"/>
  <c r="M22" i="5"/>
  <c r="M21" i="5"/>
  <c r="M20" i="5"/>
  <c r="M19" i="5"/>
  <c r="M16" i="5"/>
  <c r="M15" i="5"/>
  <c r="M13" i="5"/>
  <c r="M12" i="5"/>
  <c r="M8" i="5"/>
  <c r="M7" i="5"/>
  <c r="M6" i="5"/>
  <c r="M5" i="5"/>
  <c r="H30" i="5"/>
  <c r="H27" i="5"/>
  <c r="H26" i="5"/>
  <c r="H24" i="5"/>
  <c r="H23" i="5"/>
  <c r="H22" i="5"/>
  <c r="H17" i="5"/>
  <c r="H16" i="5"/>
  <c r="H7" i="5"/>
  <c r="H6" i="5"/>
  <c r="D42" i="5"/>
  <c r="D44" i="5" s="1"/>
  <c r="D16" i="5"/>
  <c r="D13" i="5"/>
  <c r="D12" i="5"/>
  <c r="D11" i="5"/>
  <c r="D10" i="5"/>
  <c r="D9" i="5"/>
  <c r="D43" i="5"/>
  <c r="D39" i="5"/>
  <c r="H15" i="5"/>
  <c r="D37" i="5"/>
  <c r="D36" i="5"/>
  <c r="D35" i="5"/>
  <c r="D34" i="5"/>
  <c r="D33" i="5"/>
  <c r="D32" i="5"/>
  <c r="D31" i="5"/>
  <c r="D30" i="5"/>
  <c r="D29" i="5"/>
  <c r="D28" i="5"/>
  <c r="H13" i="5"/>
  <c r="D25" i="5"/>
  <c r="D24" i="5"/>
  <c r="D23" i="5"/>
  <c r="D21" i="5"/>
  <c r="D20" i="5"/>
  <c r="D19" i="5"/>
  <c r="D6" i="5"/>
  <c r="D5" i="5"/>
  <c r="D4" i="5"/>
  <c r="D45" i="5" l="1"/>
  <c r="D46" i="5" s="1"/>
  <c r="V4" i="5" l="1"/>
  <c r="D48" i="5"/>
  <c r="H31" i="5" s="1"/>
  <c r="H32" i="5" s="1"/>
  <c r="H33" i="5" s="1"/>
  <c r="M4" i="5"/>
  <c r="M9" i="5" s="1"/>
  <c r="M26" i="5" s="1"/>
  <c r="M28" i="5" s="1"/>
  <c r="H5" i="5" s="1"/>
  <c r="H9" i="5" s="1"/>
  <c r="H18" i="5" s="1"/>
  <c r="L20" i="10"/>
  <c r="L19" i="10"/>
  <c r="L18" i="10"/>
  <c r="L31" i="10"/>
  <c r="M26" i="10" s="1"/>
  <c r="N26" i="10" s="1"/>
  <c r="L29" i="10"/>
  <c r="M29" i="10" s="1"/>
  <c r="N29" i="10" s="1"/>
  <c r="L28" i="10"/>
  <c r="M28" i="10" s="1"/>
  <c r="N28" i="10" s="1"/>
  <c r="L27" i="10"/>
  <c r="L26" i="10"/>
  <c r="M27" i="10" s="1"/>
  <c r="N27" i="10" s="1"/>
  <c r="G77" i="10"/>
  <c r="E77" i="10"/>
  <c r="E76" i="10"/>
  <c r="F78" i="10" s="1"/>
  <c r="F79" i="10" s="1"/>
  <c r="L15" i="10"/>
  <c r="M10" i="10" s="1"/>
  <c r="N10" i="10" s="1"/>
  <c r="L13" i="10"/>
  <c r="M13" i="10" s="1"/>
  <c r="N13" i="10" s="1"/>
  <c r="L12" i="10"/>
  <c r="M12" i="10" s="1"/>
  <c r="N12" i="10" s="1"/>
  <c r="L11" i="10"/>
  <c r="L10" i="10"/>
  <c r="M11" i="10" s="1"/>
  <c r="N11" i="10" s="1"/>
  <c r="K45" i="10"/>
  <c r="H42" i="10"/>
  <c r="H41" i="10"/>
  <c r="H40" i="10"/>
  <c r="H39" i="10"/>
  <c r="G41" i="10"/>
  <c r="G40" i="10"/>
  <c r="G39" i="10"/>
  <c r="F39" i="10"/>
  <c r="F41" i="10"/>
  <c r="F40" i="10"/>
  <c r="E35" i="10"/>
  <c r="E34" i="10"/>
  <c r="E33" i="10"/>
  <c r="E22" i="10"/>
  <c r="E21" i="10"/>
  <c r="E20" i="10"/>
  <c r="F15" i="10"/>
  <c r="G10" i="10" s="1"/>
  <c r="H10" i="10" s="1"/>
  <c r="F13" i="10"/>
  <c r="G13" i="10" s="1"/>
  <c r="H13" i="10" s="1"/>
  <c r="F12" i="10"/>
  <c r="G12" i="10" s="1"/>
  <c r="H12" i="10" s="1"/>
  <c r="F11" i="10"/>
  <c r="F10" i="10"/>
  <c r="G11" i="10" s="1"/>
  <c r="H11" i="10" s="1"/>
  <c r="E78" i="10" l="1"/>
  <c r="E79" i="10" s="1"/>
  <c r="H43" i="10"/>
  <c r="F43" i="10"/>
  <c r="G43" i="10"/>
  <c r="J24" i="6"/>
  <c r="D20" i="6"/>
  <c r="D19" i="6"/>
  <c r="D18" i="6"/>
  <c r="D17" i="6"/>
  <c r="D16" i="6"/>
  <c r="D15" i="6"/>
  <c r="D14" i="6"/>
  <c r="D13" i="6"/>
  <c r="J28" i="6"/>
  <c r="J10" i="6"/>
  <c r="G22" i="6"/>
  <c r="G21" i="6"/>
  <c r="J16" i="6"/>
  <c r="G20" i="6"/>
  <c r="G19" i="6"/>
  <c r="G18" i="6"/>
  <c r="G17" i="6"/>
  <c r="G16" i="6"/>
  <c r="G15" i="6"/>
  <c r="G14" i="6"/>
  <c r="J15" i="6"/>
  <c r="G11" i="6"/>
  <c r="G10" i="6"/>
  <c r="G9" i="6"/>
  <c r="G8" i="6"/>
  <c r="J14" i="6"/>
  <c r="G7" i="6"/>
  <c r="J9" i="6"/>
  <c r="E11" i="6"/>
  <c r="D11" i="6"/>
  <c r="D4" i="6"/>
  <c r="D10" i="6"/>
  <c r="D9" i="6"/>
  <c r="D8" i="6"/>
  <c r="D7" i="6"/>
  <c r="D6" i="6"/>
  <c r="N26" i="6" l="1"/>
  <c r="N25" i="6"/>
  <c r="N17" i="6" l="1"/>
  <c r="N28" i="6"/>
  <c r="N24" i="6"/>
  <c r="N21" i="6"/>
  <c r="N20" i="6"/>
  <c r="N19" i="6"/>
  <c r="N18" i="6"/>
  <c r="N22" i="6" s="1"/>
  <c r="N16" i="6"/>
  <c r="N15" i="6"/>
  <c r="N8" i="6"/>
  <c r="N27" i="6"/>
  <c r="K28" i="6"/>
  <c r="N11" i="6" s="1"/>
  <c r="I33" i="6"/>
  <c r="I34" i="6" s="1"/>
  <c r="I30" i="6"/>
  <c r="I25" i="6"/>
  <c r="K10" i="6"/>
  <c r="N10" i="6" s="1"/>
  <c r="K9" i="6"/>
  <c r="N9" i="6" s="1"/>
  <c r="K14" i="6" l="1"/>
  <c r="N29" i="6"/>
  <c r="N7" i="6" l="1"/>
  <c r="V24" i="5"/>
  <c r="V13" i="5"/>
  <c r="V16" i="5" s="1"/>
  <c r="Q23" i="5"/>
  <c r="Q21" i="5"/>
  <c r="Q20" i="5"/>
  <c r="Q22" i="5" s="1"/>
  <c r="Q24" i="5" s="1"/>
  <c r="Q11" i="5"/>
  <c r="Q10" i="5"/>
  <c r="Q12" i="5" s="1"/>
  <c r="Q15" i="5" s="1"/>
  <c r="V20" i="5"/>
  <c r="V18" i="5"/>
  <c r="E14" i="6" l="1"/>
  <c r="Q17" i="5"/>
  <c r="Q16" i="5"/>
  <c r="Q25" i="5"/>
  <c r="Q26" i="5" s="1"/>
  <c r="S20" i="5" l="1"/>
  <c r="S18" i="5"/>
  <c r="S13" i="5"/>
  <c r="S15" i="5" s="1"/>
  <c r="S12" i="5"/>
  <c r="E18" i="6" l="1"/>
  <c r="N6" i="6"/>
  <c r="N12" i="6" s="1"/>
  <c r="N31" i="6" s="1"/>
  <c r="N32" i="6" s="1"/>
  <c r="J8" i="6" s="1"/>
  <c r="K35" i="6" s="1"/>
  <c r="V7" i="5"/>
  <c r="S7" i="5"/>
  <c r="E21" i="5" l="1"/>
  <c r="S8" i="5"/>
  <c r="S6" i="5"/>
  <c r="V19" i="5"/>
  <c r="V21" i="5" s="1"/>
  <c r="S19" i="5"/>
  <c r="S21" i="5" s="1"/>
  <c r="G9" i="5"/>
  <c r="O103" i="5"/>
  <c r="O98" i="5"/>
  <c r="G32" i="5"/>
  <c r="G24" i="5"/>
  <c r="G27" i="5" s="1"/>
  <c r="G17" i="5"/>
  <c r="V6" i="5" l="1"/>
  <c r="V8" i="5"/>
  <c r="G18" i="5"/>
  <c r="G33" i="5"/>
  <c r="G146" i="5"/>
  <c r="G142" i="5"/>
  <c r="G141" i="5"/>
  <c r="G137" i="5"/>
  <c r="G133" i="5"/>
  <c r="G132" i="5"/>
  <c r="G131" i="5"/>
  <c r="G129" i="5"/>
  <c r="G122" i="5"/>
  <c r="G120" i="5"/>
  <c r="G119" i="5"/>
  <c r="G118" i="5"/>
  <c r="G117" i="5"/>
  <c r="G115" i="5"/>
  <c r="G110" i="5"/>
  <c r="G109" i="5"/>
  <c r="G108" i="5"/>
  <c r="I102" i="5"/>
  <c r="I101" i="5"/>
  <c r="I100" i="5"/>
  <c r="I99" i="5"/>
  <c r="I90" i="5"/>
  <c r="I89" i="5"/>
  <c r="I88" i="5"/>
  <c r="I86" i="5"/>
  <c r="G134" i="5" l="1"/>
  <c r="G135" i="5" s="1"/>
  <c r="G138" i="5" s="1"/>
  <c r="G111" i="5"/>
  <c r="G112" i="5" s="1"/>
  <c r="G121" i="5"/>
  <c r="G123" i="5" s="1"/>
  <c r="G124" i="5" s="1"/>
  <c r="G125" i="5" s="1"/>
  <c r="I97" i="5" s="1"/>
  <c r="V5" i="5" l="1"/>
  <c r="S5" i="5"/>
  <c r="G127" i="5"/>
  <c r="G140" i="5" s="1"/>
  <c r="G143" i="5" s="1"/>
  <c r="G113" i="5"/>
  <c r="I96" i="5" s="1"/>
  <c r="I103" i="5" s="1"/>
  <c r="G144" i="5" l="1"/>
  <c r="G145" i="5" s="1"/>
  <c r="G147" i="5" s="1"/>
  <c r="I87" i="5" s="1"/>
  <c r="I91" i="5" s="1"/>
  <c r="V9" i="5" l="1"/>
  <c r="V23" i="5" s="1"/>
  <c r="V25" i="5" s="1"/>
  <c r="S4" i="5"/>
  <c r="S9" i="5" s="1"/>
  <c r="S23" i="5" s="1"/>
  <c r="S24" i="5" s="1"/>
</calcChain>
</file>

<file path=xl/sharedStrings.xml><?xml version="1.0" encoding="utf-8"?>
<sst xmlns="http://schemas.openxmlformats.org/spreadsheetml/2006/main" count="846" uniqueCount="353">
  <si>
    <t>Payment of rent</t>
  </si>
  <si>
    <t>Advertisement expense</t>
  </si>
  <si>
    <t>Purchase of equipment</t>
  </si>
  <si>
    <t>Salary</t>
  </si>
  <si>
    <t>Closing stock</t>
  </si>
  <si>
    <t>Transportation expense</t>
  </si>
  <si>
    <t xml:space="preserve">Maintenance </t>
  </si>
  <si>
    <t>Legal expense</t>
  </si>
  <si>
    <t>Purchase of goods</t>
  </si>
  <si>
    <t>Repayment of bank loan</t>
  </si>
  <si>
    <t>Trade Receivables</t>
  </si>
  <si>
    <t>Telephone bill payment</t>
  </si>
  <si>
    <t>Electricity bill payment</t>
  </si>
  <si>
    <t>Interest on bank loan</t>
  </si>
  <si>
    <t>Sale of goods</t>
  </si>
  <si>
    <t xml:space="preserve">Closing cash in hand &amp; bank </t>
  </si>
  <si>
    <t xml:space="preserve">Insurance </t>
  </si>
  <si>
    <t>Audit fees</t>
  </si>
  <si>
    <t>Fresh long term loan raised</t>
  </si>
  <si>
    <t>Trade Payables</t>
  </si>
  <si>
    <t>Traveling expenses</t>
  </si>
  <si>
    <t>Stationeries</t>
  </si>
  <si>
    <t>Outstanding in short term loan</t>
  </si>
  <si>
    <t>Equity and Liabilities</t>
  </si>
  <si>
    <t>Fully paid up equity share capital</t>
  </si>
  <si>
    <t>Reserves and Surplus</t>
  </si>
  <si>
    <t>Long term loan</t>
  </si>
  <si>
    <t>Short term loan from bank</t>
  </si>
  <si>
    <t>Trade Payables/ Sundry Creditors</t>
  </si>
  <si>
    <t>Assets</t>
  </si>
  <si>
    <t>Land</t>
  </si>
  <si>
    <t>Building</t>
  </si>
  <si>
    <t>Plant &amp; Machinery</t>
  </si>
  <si>
    <t>Current Assets</t>
  </si>
  <si>
    <t>Inventory of goods</t>
  </si>
  <si>
    <t>Trade Receivables/Sundry Debtors</t>
  </si>
  <si>
    <t>Cash in hand and Bank</t>
  </si>
  <si>
    <t>Total Assets</t>
  </si>
  <si>
    <t>CoG sold</t>
  </si>
  <si>
    <t>Sales</t>
  </si>
  <si>
    <t>Interest</t>
  </si>
  <si>
    <t>Profit before tax</t>
  </si>
  <si>
    <t>Dividend</t>
  </si>
  <si>
    <t>Retained profit</t>
  </si>
  <si>
    <t>Total Equity &amp; Liabilities</t>
  </si>
  <si>
    <t>Non-current assets/ Fixed assets</t>
  </si>
  <si>
    <t>Construction of factory shed</t>
  </si>
  <si>
    <t>Purchase of truck</t>
  </si>
  <si>
    <t>Preliminary &amp; Preoperative exp. To the extent not amortized</t>
  </si>
  <si>
    <t xml:space="preserve">Amortization of Prelem. &amp; preop. </t>
  </si>
  <si>
    <t>Purchase of telephone</t>
  </si>
  <si>
    <t>Estimation of depreciation</t>
  </si>
  <si>
    <t>Land: land is never depreciated</t>
  </si>
  <si>
    <t>As per last account: (from last year balance sheet)</t>
  </si>
  <si>
    <t>Addition during the year</t>
  </si>
  <si>
    <t>B12</t>
  </si>
  <si>
    <t>B11</t>
  </si>
  <si>
    <t>Addition during the year (this is added)</t>
  </si>
  <si>
    <t>Sold during the year (this is subtracted)</t>
  </si>
  <si>
    <t>Total depreciable value of building</t>
  </si>
  <si>
    <t>E25+E26-E27</t>
  </si>
  <si>
    <t>Depreciation on building @ 5%</t>
  </si>
  <si>
    <t>Plant and Machinery</t>
  </si>
  <si>
    <t>As per last account (available in B/S)</t>
  </si>
  <si>
    <t>This is book value as per last year account or as on 31.03.2017</t>
  </si>
  <si>
    <t>Balance sheet as on 31.03.2017</t>
  </si>
  <si>
    <t>Operational data for the year 2017-18 and some balance sheet data as on 31.3.2018</t>
  </si>
  <si>
    <t xml:space="preserve">Purchase of equipment </t>
  </si>
  <si>
    <t>B4</t>
  </si>
  <si>
    <t>B13</t>
  </si>
  <si>
    <t>Sub total</t>
  </si>
  <si>
    <t>B18</t>
  </si>
  <si>
    <t>Less: Sold old machine</t>
  </si>
  <si>
    <t>Total depreciable value of P &amp; M/C</t>
  </si>
  <si>
    <t>Depreciation @ 10%</t>
  </si>
  <si>
    <t>Net value of building</t>
  </si>
  <si>
    <t>Total building value minus depreciation for the year. This value is shown in next year balance sheet and is the book value as on 31.03.2018</t>
  </si>
  <si>
    <t>Total asset minus depreciation for the year. This value is shown in next year balance sheet as the book value of Plant &amp; Equipment as on 31.03.2018</t>
  </si>
  <si>
    <t>Total depreciation (depreciation on building + depreciation on Plant &amp; Equipment)</t>
  </si>
  <si>
    <t>E29+E41</t>
  </si>
  <si>
    <t>Opening stock</t>
  </si>
  <si>
    <t>Minus: Closing stock</t>
  </si>
  <si>
    <t>Plus: Purchase of goods</t>
  </si>
  <si>
    <t>Cost of goods sold</t>
  </si>
  <si>
    <t>E48+E49-E50</t>
  </si>
  <si>
    <t>GROSS PROFIT</t>
  </si>
  <si>
    <t>E46-E51</t>
  </si>
  <si>
    <t>EBITDA (Profit/Earning Before Interest, Tax, Depreciation &amp; Amortization)</t>
  </si>
  <si>
    <t>Sum of all items in red color. They are all revenue expense</t>
  </si>
  <si>
    <t xml:space="preserve">EBITDA </t>
  </si>
  <si>
    <t>Operating profit = EBITDA - Depreciation</t>
  </si>
  <si>
    <t>Operating profit</t>
  </si>
  <si>
    <t>E55-E44</t>
  </si>
  <si>
    <t>Amortization</t>
  </si>
  <si>
    <t>B14</t>
  </si>
  <si>
    <t>Profit Before Tax = (Operating profit - interest - amortization)</t>
  </si>
  <si>
    <t>Income tax @ 30%</t>
  </si>
  <si>
    <t>E60-E61</t>
  </si>
  <si>
    <t>Company pays dividend during the year</t>
  </si>
  <si>
    <t>This should be added to previous Reserves &amp; Surplus to get new Reserves &amp; Surplus figure.</t>
  </si>
  <si>
    <t>Net value of Plant &amp; Machinery</t>
  </si>
  <si>
    <r>
      <t xml:space="preserve">Estimate the expenses </t>
    </r>
    <r>
      <rPr>
        <b/>
        <sz val="12"/>
        <color rgb="FFC00000"/>
        <rFont val="Arial"/>
        <family val="2"/>
      </rPr>
      <t>excluding</t>
    </r>
    <r>
      <rPr>
        <sz val="12"/>
        <color theme="1"/>
        <rFont val="Arial"/>
        <family val="2"/>
      </rPr>
      <t xml:space="preserve"> interest, depreciation and tax</t>
    </r>
  </si>
  <si>
    <t>This is under building and has since been considered above and must not be considered again.</t>
  </si>
  <si>
    <t>Net Profit or Profit After Tax (PAT)</t>
  </si>
  <si>
    <t>Telephone</t>
  </si>
  <si>
    <t>Gross profit</t>
  </si>
  <si>
    <t>Purchase</t>
  </si>
  <si>
    <t>Operating expenses</t>
  </si>
  <si>
    <t xml:space="preserve">Interest </t>
  </si>
  <si>
    <t>Net profit</t>
  </si>
  <si>
    <t>Depreciation</t>
  </si>
  <si>
    <t>Machinery</t>
  </si>
  <si>
    <t>Truck hiring charge received</t>
  </si>
  <si>
    <t>Founders contribute to new equity capital</t>
  </si>
  <si>
    <t>Other income from operation</t>
  </si>
  <si>
    <t>Opurchase of goods during the year</t>
  </si>
  <si>
    <t>Goods available to sell</t>
  </si>
  <si>
    <t>Less closing stock of goods</t>
  </si>
  <si>
    <t>Total income or Total sales</t>
  </si>
  <si>
    <t>Total assets</t>
  </si>
  <si>
    <t>Total current assets</t>
  </si>
  <si>
    <t>Total non-current assets</t>
  </si>
  <si>
    <t>Owners' Equity</t>
  </si>
  <si>
    <t>Short term liabilities</t>
  </si>
  <si>
    <t>Long term liabilities</t>
  </si>
  <si>
    <t>Total of Owners' Equity</t>
  </si>
  <si>
    <t xml:space="preserve">Total Equity &amp; liabilities </t>
  </si>
  <si>
    <t>Sub total of  liabilities</t>
  </si>
  <si>
    <t>Balance Sheet as on 31.03.2017</t>
  </si>
  <si>
    <t>Prepaid expenses</t>
  </si>
  <si>
    <t xml:space="preserve">Land </t>
  </si>
  <si>
    <t>No depreciation</t>
  </si>
  <si>
    <t>Depreciation @ 5%</t>
  </si>
  <si>
    <t>Depreciation @10%</t>
  </si>
  <si>
    <t>Value as per last balance sheet</t>
  </si>
  <si>
    <t>Purchase during the year</t>
  </si>
  <si>
    <t>Subtotal</t>
  </si>
  <si>
    <t>Sold during the year</t>
  </si>
  <si>
    <t>Total</t>
  </si>
  <si>
    <t>Net value of machinery</t>
  </si>
  <si>
    <t xml:space="preserve">Gross Profit </t>
  </si>
  <si>
    <t xml:space="preserve">Sales </t>
  </si>
  <si>
    <t>Truck hiring</t>
  </si>
  <si>
    <t>Total income</t>
  </si>
  <si>
    <r>
      <t xml:space="preserve">Sale of old machine (book value: </t>
    </r>
    <r>
      <rPr>
        <b/>
        <sz val="12"/>
        <color theme="9"/>
        <rFont val="Arial"/>
        <family val="2"/>
      </rPr>
      <t>2400)</t>
    </r>
    <r>
      <rPr>
        <sz val="12"/>
        <color theme="9"/>
        <rFont val="Arial"/>
        <family val="2"/>
      </rPr>
      <t xml:space="preserve"> </t>
    </r>
  </si>
  <si>
    <t>Total depreciation</t>
  </si>
  <si>
    <t>31.03.2018</t>
  </si>
  <si>
    <t>Closing value of building Net value of building</t>
  </si>
  <si>
    <t>Reserves and Surplus/Retained earnmings</t>
  </si>
  <si>
    <t>Cash Flow Statement</t>
  </si>
  <si>
    <t>Increase in inventory</t>
  </si>
  <si>
    <t>Increase in receivable</t>
  </si>
  <si>
    <t>increase in payable</t>
  </si>
  <si>
    <t>From investment activities</t>
  </si>
  <si>
    <t>increase in FA</t>
  </si>
  <si>
    <t>Sell of equipmnt</t>
  </si>
  <si>
    <t>Financing activites</t>
  </si>
  <si>
    <t>Fresh long-term loan</t>
  </si>
  <si>
    <t>Sub Total</t>
  </si>
  <si>
    <t xml:space="preserve">Total with previous years </t>
  </si>
  <si>
    <t>Fresh equity</t>
  </si>
  <si>
    <t>Depreciation &amp; amortization</t>
  </si>
  <si>
    <t>Increase in short-term loan</t>
  </si>
  <si>
    <t>Repayment of Long-term bank loan</t>
  </si>
  <si>
    <t>Company pays income tax @ 30%</t>
  </si>
  <si>
    <t>Net Profit</t>
  </si>
  <si>
    <t>Cash flow from operating activities</t>
  </si>
  <si>
    <t>Cash flow from Investment activities</t>
  </si>
  <si>
    <t>Cash flow from financing activities</t>
  </si>
  <si>
    <t>Depreciation &amp; Amortization</t>
  </si>
  <si>
    <t>Increase in inventroy</t>
  </si>
  <si>
    <t>Increase in payable</t>
  </si>
  <si>
    <t>Term loan</t>
  </si>
  <si>
    <t>Short term loan</t>
  </si>
  <si>
    <t>Equity</t>
  </si>
  <si>
    <t>Machinery bought</t>
  </si>
  <si>
    <t>Machinery sold</t>
  </si>
  <si>
    <t>Add previous years cash balance</t>
  </si>
  <si>
    <t>Net cash</t>
  </si>
  <si>
    <t xml:space="preserve">Cash flow statement is critical to understand liquidity of the company. Poor liquidity is fatal. Planning for new investment round is related to cash flow. </t>
  </si>
  <si>
    <t>Change</t>
  </si>
  <si>
    <t>Net value of machinery/ Book value</t>
  </si>
  <si>
    <t>From operating activities</t>
  </si>
  <si>
    <t>Change in inventory/ stock</t>
  </si>
  <si>
    <t>Change in accounts receivable</t>
  </si>
  <si>
    <t>Change in account payable</t>
  </si>
  <si>
    <t xml:space="preserve">Sub total </t>
  </si>
  <si>
    <t>Change building</t>
  </si>
  <si>
    <t>Machine</t>
  </si>
  <si>
    <t>New truck</t>
  </si>
  <si>
    <t>Sold machine</t>
  </si>
  <si>
    <t>From financing activities</t>
  </si>
  <si>
    <t>Change in short-term loan</t>
  </si>
  <si>
    <t>Change in equity</t>
  </si>
  <si>
    <t>Balance of cash in last year balance sheet</t>
  </si>
  <si>
    <t>Net balance</t>
  </si>
  <si>
    <t>Total cash flow</t>
  </si>
  <si>
    <t>Fuel cost</t>
  </si>
  <si>
    <t>Insurance</t>
  </si>
  <si>
    <t>Employees benefits</t>
  </si>
  <si>
    <t>Purchase of land</t>
  </si>
  <si>
    <t>Purchase of a truck</t>
  </si>
  <si>
    <t>License and registration fees</t>
  </si>
  <si>
    <t xml:space="preserve">Amortization of capitalized preliminary &amp; preoperative expenses </t>
  </si>
  <si>
    <t>Purchase of computer</t>
  </si>
  <si>
    <t>Postage</t>
  </si>
  <si>
    <t>Closing stock/ Inventory</t>
  </si>
  <si>
    <t>Preliminary &amp; Preoperative expenses to the extent not amortized</t>
  </si>
  <si>
    <t xml:space="preserve">Building </t>
  </si>
  <si>
    <t>BV</t>
  </si>
  <si>
    <t>Sold</t>
  </si>
  <si>
    <t>Total depn</t>
  </si>
  <si>
    <t>PBT</t>
  </si>
  <si>
    <t>Income tax</t>
  </si>
  <si>
    <t>Cash flow operating activities</t>
  </si>
  <si>
    <t>Inventory</t>
  </si>
  <si>
    <t>Receivable</t>
  </si>
  <si>
    <t>Payable</t>
  </si>
  <si>
    <t>Investment act</t>
  </si>
  <si>
    <t>Factory</t>
  </si>
  <si>
    <t>Truck</t>
  </si>
  <si>
    <t>Old machine</t>
  </si>
  <si>
    <t xml:space="preserve">Sale of old machine (book value: 47) </t>
  </si>
  <si>
    <t>Computer</t>
  </si>
  <si>
    <t>Financing</t>
  </si>
  <si>
    <t>LT loan</t>
  </si>
  <si>
    <t>ST loan</t>
  </si>
  <si>
    <t>Equipment</t>
  </si>
  <si>
    <t>Fresh LT loan</t>
  </si>
  <si>
    <t xml:space="preserve">Balance Sheet as on </t>
  </si>
  <si>
    <t>31.03.2017</t>
  </si>
  <si>
    <t>Amounts are in ₹ thousand</t>
  </si>
  <si>
    <t>Operational data for the year 2019-20 and some balance sheet data as on 31.3.2020</t>
  </si>
  <si>
    <t>Balance Sheet as on 31.03.2019</t>
  </si>
  <si>
    <t>Company pays income tax @ 20%</t>
  </si>
  <si>
    <t>Last a/c</t>
  </si>
  <si>
    <t>Last A/C</t>
  </si>
  <si>
    <t>Owner's Equity</t>
  </si>
  <si>
    <t>Equity capital</t>
  </si>
  <si>
    <t>Reserves &amp; Surplus</t>
  </si>
  <si>
    <t>In ₹</t>
  </si>
  <si>
    <t>Authorized capital 1,00,000 shares of ₹10 each</t>
  </si>
  <si>
    <t>Paid-up capital 50,000 shares of ₹10 each</t>
  </si>
  <si>
    <t xml:space="preserve">Sale of old machine (book value: 2400) </t>
  </si>
  <si>
    <t>Interest payment</t>
  </si>
  <si>
    <t>Op exp</t>
  </si>
  <si>
    <t>Retai earn</t>
  </si>
  <si>
    <t>(-)2000</t>
  </si>
  <si>
    <t>Cash position as on 31.03.2019</t>
  </si>
  <si>
    <t>Total cash flow from operating activities in 2019-20</t>
  </si>
  <si>
    <t>Total cash flow from investment activities  in 2019-20</t>
  </si>
  <si>
    <t>Total cash flow from financing activities  in 2019-20</t>
  </si>
  <si>
    <t>What is the cash position as on 31.03.2020</t>
  </si>
  <si>
    <t>Preliminary &amp; Preoperative exp. to the extent not amortized</t>
  </si>
  <si>
    <t>Following are all the non-current assets of a company as on 31.03.2019.</t>
  </si>
  <si>
    <t>Estimate the total non-current assets of the company as on 31.03.2020 if the company depreciates building @5%, machine @10% and allow amortization of 50 during the year?</t>
  </si>
  <si>
    <t>Reserves &amp; Surplus as on 31.03.2019</t>
  </si>
  <si>
    <t>Dividend during 2019-20</t>
  </si>
  <si>
    <t>Income tax rate</t>
  </si>
  <si>
    <t>Estimate the reserves &amp; surplus as on 31.03.2020</t>
  </si>
  <si>
    <t>Income Tax payment</t>
  </si>
  <si>
    <t>Value of plant and machinery as on 31.03.2019</t>
  </si>
  <si>
    <t>Purchase of machinery during the year 2019-20</t>
  </si>
  <si>
    <t>Old machinery sold during the year 2019-20</t>
  </si>
  <si>
    <t xml:space="preserve">Rate of depreciation </t>
  </si>
  <si>
    <t xml:space="preserve">Opening stock </t>
  </si>
  <si>
    <t>Purchase of raw-materials during the year</t>
  </si>
  <si>
    <t>Estimate operating profit margin</t>
  </si>
  <si>
    <t>GP</t>
  </si>
  <si>
    <t>Op profit</t>
  </si>
  <si>
    <t>Op profit margin</t>
  </si>
  <si>
    <t>Wages</t>
  </si>
  <si>
    <t>op ex</t>
  </si>
  <si>
    <t>op prfit</t>
  </si>
  <si>
    <t>EBIT</t>
  </si>
  <si>
    <t>Operational data for the year 2020-21 and some balance sheet data as on 31.3.2020</t>
  </si>
  <si>
    <t>Balance Sheet as on 31.03.2020</t>
  </si>
  <si>
    <t>31.3.2020</t>
  </si>
  <si>
    <t>31.03.2021</t>
  </si>
  <si>
    <t>Given the data on the previsou year's balance sheet, operational data for the year 2020-21. Prepare the three statements</t>
  </si>
  <si>
    <t>Accounting and legal fees</t>
  </si>
  <si>
    <t>Bank charges</t>
  </si>
  <si>
    <t>Sales and marketing costs</t>
  </si>
  <si>
    <t>Travel expenses </t>
  </si>
  <si>
    <t>Entertainment costs</t>
  </si>
  <si>
    <t>Non-capitalized research and development expenses</t>
  </si>
  <si>
    <t>Office supply costs</t>
  </si>
  <si>
    <t>Rent</t>
  </si>
  <si>
    <t>Repair and maintenance costs</t>
  </si>
  <si>
    <t>Utility expenses</t>
  </si>
  <si>
    <t>Salary and wage expenses</t>
  </si>
  <si>
    <t>Direct material costs</t>
  </si>
  <si>
    <t>Direct labor</t>
  </si>
  <si>
    <t>Rent of the plant or production facility</t>
  </si>
  <si>
    <t>Benefits and wages for the production workers</t>
  </si>
  <si>
    <t>Repair costs of equipment </t>
  </si>
  <si>
    <t>Utility costs and taxes of the production facilities</t>
  </si>
  <si>
    <t>Legal expenses</t>
  </si>
  <si>
    <t>Repair maintenance</t>
  </si>
  <si>
    <t>Advertisement</t>
  </si>
  <si>
    <t>R&amp;D expenses</t>
  </si>
  <si>
    <t>Marketing</t>
  </si>
  <si>
    <t>Sales promotion</t>
  </si>
  <si>
    <t>Internet hosting cost</t>
  </si>
  <si>
    <t>Web server cost</t>
  </si>
  <si>
    <t>Broadbank cost</t>
  </si>
  <si>
    <t>Income tax @20%</t>
  </si>
  <si>
    <t>Retained profit/ Earnings</t>
  </si>
  <si>
    <t>Repayment of long-t loan</t>
  </si>
  <si>
    <t xml:space="preserve">Subtotal </t>
  </si>
  <si>
    <t>Net cash flow during the year</t>
  </si>
  <si>
    <t>Broadband cost</t>
  </si>
  <si>
    <t>SALES</t>
  </si>
  <si>
    <t>DEPRECIATION</t>
  </si>
  <si>
    <t>31.03.2019</t>
  </si>
  <si>
    <t>31.03.2020</t>
  </si>
  <si>
    <t>Last year account</t>
  </si>
  <si>
    <t>Depreciation @5%</t>
  </si>
  <si>
    <t>Last year a/c</t>
  </si>
  <si>
    <t>Plant &amp; m/c</t>
  </si>
  <si>
    <t>Sale of old m/c</t>
  </si>
  <si>
    <t>Net value of plant &amp; m/c</t>
  </si>
  <si>
    <t>To be amortized in 10 years</t>
  </si>
  <si>
    <t>To be amortized in 5 years</t>
  </si>
  <si>
    <t>Capitalized advrt expenses</t>
  </si>
  <si>
    <t>Capitalized R&amp;D expenses</t>
  </si>
  <si>
    <t>Amortization of Ad exp</t>
  </si>
  <si>
    <t>Amortization of R&amp;D</t>
  </si>
  <si>
    <t>Interest expenses</t>
  </si>
  <si>
    <t>Cash flow statement for the year 2019-20</t>
  </si>
  <si>
    <t>Cash flow from operational activities</t>
  </si>
  <si>
    <t xml:space="preserve">Depreciation </t>
  </si>
  <si>
    <t xml:space="preserve">inventory </t>
  </si>
  <si>
    <t>Trade receivables</t>
  </si>
  <si>
    <t>Trade payable</t>
  </si>
  <si>
    <t>Total cf frm op activities</t>
  </si>
  <si>
    <r>
      <t>Cash flow from</t>
    </r>
    <r>
      <rPr>
        <sz val="11"/>
        <color rgb="FF0070C0"/>
        <rFont val="Calibri"/>
        <family val="2"/>
        <scheme val="minor"/>
      </rPr>
      <t xml:space="preserve"> investment</t>
    </r>
    <r>
      <rPr>
        <sz val="11"/>
        <color theme="1"/>
        <rFont val="Calibri"/>
        <family val="2"/>
        <scheme val="minor"/>
      </rPr>
      <t xml:space="preserve"> activities</t>
    </r>
  </si>
  <si>
    <t>building</t>
  </si>
  <si>
    <t>Mchinery purchase</t>
  </si>
  <si>
    <t>Sold mchinery</t>
  </si>
  <si>
    <t>Cash flow financing activities</t>
  </si>
  <si>
    <t>Long-term bank loan</t>
  </si>
  <si>
    <t>Short-term loan</t>
  </si>
  <si>
    <t>Total CF from FA</t>
  </si>
  <si>
    <t xml:space="preserve">Previous year's cash </t>
  </si>
  <si>
    <t>Total cash this year</t>
  </si>
  <si>
    <t>Total from IA</t>
  </si>
  <si>
    <t>Jasmin</t>
  </si>
  <si>
    <t>Balajee</t>
  </si>
  <si>
    <t>Manoj</t>
  </si>
  <si>
    <t>Fully paid up equity share capital consisting of 20,000 shares of ₹10 each</t>
  </si>
  <si>
    <t>Angel1</t>
  </si>
  <si>
    <t>1 crore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</si>
</sst>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Arial"/>
      <family val="2"/>
    </font>
    <font>
      <i/>
      <sz val="12"/>
      <color rgb="FF000000"/>
      <name val="Arial"/>
      <family val="2"/>
    </font>
    <font>
      <b/>
      <sz val="11"/>
      <color theme="9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trike/>
      <sz val="12"/>
      <color rgb="FFC00000"/>
      <name val="Arial"/>
      <family val="2"/>
    </font>
    <font>
      <b/>
      <sz val="12"/>
      <color rgb="FFC00000"/>
      <name val="Arial"/>
      <family val="2"/>
    </font>
    <font>
      <strike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3" tint="-0.249977111117893"/>
      <name val="Arial"/>
      <family val="2"/>
    </font>
    <font>
      <b/>
      <sz val="12"/>
      <name val="Arial"/>
      <family val="2"/>
    </font>
    <font>
      <sz val="12"/>
      <color rgb="FF0070C0"/>
      <name val="Arial"/>
      <family val="2"/>
    </font>
    <font>
      <sz val="12"/>
      <color rgb="FF7030A0"/>
      <name val="Arial"/>
      <family val="2"/>
    </font>
    <font>
      <sz val="12"/>
      <color theme="5" tint="-0.499984740745262"/>
      <name val="Arial"/>
      <family val="2"/>
    </font>
    <font>
      <sz val="12"/>
      <color rgb="FF00B050"/>
      <name val="Arial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9"/>
      <name val="Arial"/>
      <family val="2"/>
    </font>
    <font>
      <b/>
      <sz val="12"/>
      <color theme="9"/>
      <name val="Arial"/>
      <family val="2"/>
    </font>
    <font>
      <b/>
      <sz val="14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9" tint="-0.499984740745262"/>
      <name val="Arial"/>
      <family val="2"/>
    </font>
    <font>
      <b/>
      <sz val="20"/>
      <color theme="8" tint="-0.249977111117893"/>
      <name val="Calibri"/>
      <family val="2"/>
      <scheme val="minor"/>
    </font>
    <font>
      <b/>
      <sz val="14"/>
      <color rgb="FF00B050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4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7030A0"/>
      <name val="Arial"/>
      <family val="2"/>
    </font>
    <font>
      <b/>
      <sz val="11"/>
      <color rgb="FF0070C0"/>
      <name val="Calibri"/>
      <family val="2"/>
      <scheme val="minor"/>
    </font>
    <font>
      <sz val="12"/>
      <color theme="5" tint="0.39997558519241921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7B7F2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/>
      <diagonal/>
    </border>
    <border>
      <left style="double">
        <color auto="1"/>
      </left>
      <right style="dashed">
        <color auto="1"/>
      </right>
      <top/>
      <bottom style="dashed">
        <color auto="1"/>
      </bottom>
      <diagonal/>
    </border>
    <border>
      <left style="double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dashed">
        <color auto="1"/>
      </left>
      <right/>
      <top style="double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dashed">
        <color auto="1"/>
      </bottom>
      <diagonal/>
    </border>
    <border>
      <left style="mediumDashDot">
        <color auto="1"/>
      </left>
      <right style="mediumDashDot">
        <color auto="1"/>
      </right>
      <top style="dashed">
        <color auto="1"/>
      </top>
      <bottom style="dashed">
        <color auto="1"/>
      </bottom>
      <diagonal/>
    </border>
    <border>
      <left style="mediumDashDot">
        <color auto="1"/>
      </left>
      <right style="mediumDashDot">
        <color auto="1"/>
      </right>
      <top style="dashed">
        <color auto="1"/>
      </top>
      <bottom style="mediumDashDot">
        <color auto="1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right" vertical="center"/>
    </xf>
    <xf numFmtId="0" fontId="0" fillId="0" borderId="3" xfId="0" applyBorder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horizontal="right" vertical="center"/>
    </xf>
    <xf numFmtId="0" fontId="5" fillId="0" borderId="0" xfId="0" applyFont="1"/>
    <xf numFmtId="0" fontId="6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0" fontId="7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horizontal="righ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14" xfId="0" applyBorder="1"/>
    <xf numFmtId="3" fontId="0" fillId="0" borderId="0" xfId="0" applyNumberFormat="1"/>
    <xf numFmtId="0" fontId="14" fillId="0" borderId="0" xfId="0" applyFont="1"/>
    <xf numFmtId="0" fontId="7" fillId="0" borderId="7" xfId="0" applyFont="1" applyFill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3" fontId="7" fillId="0" borderId="4" xfId="0" applyNumberFormat="1" applyFont="1" applyBorder="1" applyAlignment="1">
      <alignment horizontal="right" vertical="center"/>
    </xf>
    <xf numFmtId="3" fontId="3" fillId="0" borderId="4" xfId="0" applyNumberFormat="1" applyFont="1" applyBorder="1" applyAlignment="1">
      <alignment horizontal="right" vertical="center"/>
    </xf>
    <xf numFmtId="3" fontId="18" fillId="0" borderId="4" xfId="0" applyNumberFormat="1" applyFont="1" applyBorder="1" applyAlignment="1">
      <alignment horizontal="right" vertical="center"/>
    </xf>
    <xf numFmtId="0" fontId="14" fillId="0" borderId="15" xfId="0" applyFont="1" applyBorder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20" fillId="0" borderId="9" xfId="0" applyFont="1" applyFill="1" applyBorder="1" applyAlignment="1">
      <alignment vertical="center"/>
    </xf>
    <xf numFmtId="3" fontId="20" fillId="0" borderId="10" xfId="0" applyNumberFormat="1" applyFont="1" applyFill="1" applyBorder="1" applyAlignment="1">
      <alignment horizontal="right" vertical="center"/>
    </xf>
    <xf numFmtId="0" fontId="21" fillId="0" borderId="0" xfId="0" applyFont="1"/>
    <xf numFmtId="0" fontId="3" fillId="0" borderId="11" xfId="0" applyFont="1" applyFill="1" applyBorder="1" applyAlignment="1">
      <alignment vertical="center"/>
    </xf>
    <xf numFmtId="3" fontId="3" fillId="0" borderId="12" xfId="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right" vertical="center"/>
    </xf>
    <xf numFmtId="3" fontId="18" fillId="0" borderId="0" xfId="0" applyNumberFormat="1" applyFont="1" applyBorder="1" applyAlignment="1">
      <alignment horizontal="right" vertical="center"/>
    </xf>
    <xf numFmtId="3" fontId="20" fillId="0" borderId="0" xfId="0" applyNumberFormat="1" applyFont="1" applyFill="1" applyBorder="1" applyAlignment="1">
      <alignment horizontal="right" vertical="center"/>
    </xf>
    <xf numFmtId="3" fontId="19" fillId="0" borderId="0" xfId="0" applyNumberFormat="1" applyFont="1" applyBorder="1" applyAlignment="1">
      <alignment horizontal="right" vertical="center"/>
    </xf>
    <xf numFmtId="3" fontId="17" fillId="0" borderId="0" xfId="0" applyNumberFormat="1" applyFont="1" applyBorder="1" applyAlignment="1">
      <alignment horizontal="right" vertical="center"/>
    </xf>
    <xf numFmtId="3" fontId="7" fillId="2" borderId="0" xfId="0" applyNumberFormat="1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16" fillId="0" borderId="0" xfId="0" applyNumberFormat="1" applyFont="1" applyBorder="1" applyAlignment="1">
      <alignment horizontal="right" vertical="center"/>
    </xf>
    <xf numFmtId="3" fontId="3" fillId="0" borderId="0" xfId="0" applyNumberFormat="1" applyFont="1" applyBorder="1" applyAlignment="1">
      <alignment horizontal="left" vertical="center"/>
    </xf>
    <xf numFmtId="3" fontId="7" fillId="0" borderId="0" xfId="0" applyNumberFormat="1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left" vertical="center"/>
    </xf>
    <xf numFmtId="0" fontId="23" fillId="0" borderId="3" xfId="0" applyFont="1" applyBorder="1" applyAlignment="1">
      <alignment vertical="center"/>
    </xf>
    <xf numFmtId="3" fontId="23" fillId="0" borderId="4" xfId="0" applyNumberFormat="1" applyFont="1" applyBorder="1" applyAlignment="1">
      <alignment horizontal="right" vertical="center"/>
    </xf>
    <xf numFmtId="0" fontId="23" fillId="0" borderId="9" xfId="0" applyFont="1" applyFill="1" applyBorder="1" applyAlignment="1">
      <alignment vertical="center"/>
    </xf>
    <xf numFmtId="3" fontId="23" fillId="0" borderId="10" xfId="0" applyNumberFormat="1" applyFont="1" applyFill="1" applyBorder="1" applyAlignment="1">
      <alignment horizontal="right" vertical="center"/>
    </xf>
    <xf numFmtId="0" fontId="23" fillId="0" borderId="13" xfId="0" applyFont="1" applyFill="1" applyBorder="1" applyAlignment="1">
      <alignment vertical="center"/>
    </xf>
    <xf numFmtId="3" fontId="23" fillId="0" borderId="8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3" fontId="20" fillId="0" borderId="0" xfId="0" applyNumberFormat="1" applyFont="1" applyBorder="1" applyAlignment="1">
      <alignment horizontal="left" vertical="center"/>
    </xf>
    <xf numFmtId="3" fontId="18" fillId="0" borderId="0" xfId="0" applyNumberFormat="1" applyFont="1" applyBorder="1" applyAlignment="1">
      <alignment horizontal="left" vertical="center"/>
    </xf>
    <xf numFmtId="0" fontId="14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8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3" fontId="0" fillId="4" borderId="0" xfId="0" applyNumberFormat="1" applyFill="1"/>
    <xf numFmtId="3" fontId="0" fillId="5" borderId="0" xfId="0" applyNumberFormat="1" applyFill="1"/>
    <xf numFmtId="3" fontId="14" fillId="0" borderId="0" xfId="0" applyNumberFormat="1" applyFont="1"/>
    <xf numFmtId="3" fontId="0" fillId="6" borderId="0" xfId="0" applyNumberFormat="1" applyFill="1"/>
    <xf numFmtId="3" fontId="14" fillId="0" borderId="0" xfId="0" applyNumberFormat="1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3" fontId="25" fillId="0" borderId="0" xfId="0" applyNumberFormat="1" applyFont="1"/>
    <xf numFmtId="3" fontId="26" fillId="0" borderId="0" xfId="0" applyNumberFormat="1" applyFont="1"/>
    <xf numFmtId="3" fontId="27" fillId="0" borderId="0" xfId="0" applyNumberFormat="1" applyFont="1" applyBorder="1" applyAlignment="1">
      <alignment horizontal="left" vertical="center"/>
    </xf>
    <xf numFmtId="3" fontId="27" fillId="0" borderId="0" xfId="0" applyNumberFormat="1" applyFont="1" applyBorder="1" applyAlignment="1">
      <alignment horizontal="right" vertical="center"/>
    </xf>
    <xf numFmtId="0" fontId="14" fillId="0" borderId="16" xfId="0" applyFont="1" applyBorder="1"/>
    <xf numFmtId="0" fontId="0" fillId="0" borderId="17" xfId="0" applyBorder="1"/>
    <xf numFmtId="3" fontId="0" fillId="0" borderId="18" xfId="0" applyNumberFormat="1" applyBorder="1"/>
    <xf numFmtId="3" fontId="0" fillId="0" borderId="19" xfId="0" applyNumberFormat="1" applyBorder="1"/>
    <xf numFmtId="0" fontId="0" fillId="0" borderId="18" xfId="0" applyBorder="1"/>
    <xf numFmtId="0" fontId="0" fillId="0" borderId="20" xfId="0" applyBorder="1"/>
    <xf numFmtId="3" fontId="0" fillId="0" borderId="21" xfId="0" applyNumberFormat="1" applyBorder="1"/>
    <xf numFmtId="0" fontId="14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3" fontId="0" fillId="0" borderId="25" xfId="0" applyNumberFormat="1" applyBorder="1"/>
    <xf numFmtId="3" fontId="0" fillId="0" borderId="27" xfId="0" applyNumberFormat="1" applyBorder="1"/>
    <xf numFmtId="3" fontId="0" fillId="0" borderId="22" xfId="0" applyNumberFormat="1" applyBorder="1"/>
    <xf numFmtId="3" fontId="0" fillId="0" borderId="23" xfId="0" applyNumberFormat="1" applyBorder="1"/>
    <xf numFmtId="0" fontId="0" fillId="3" borderId="22" xfId="0" applyFill="1" applyBorder="1"/>
    <xf numFmtId="0" fontId="0" fillId="3" borderId="28" xfId="0" applyFill="1" applyBorder="1"/>
    <xf numFmtId="0" fontId="22" fillId="3" borderId="24" xfId="0" applyFont="1" applyFill="1" applyBorder="1"/>
    <xf numFmtId="0" fontId="22" fillId="3" borderId="0" xfId="0" applyFont="1" applyFill="1" applyBorder="1"/>
    <xf numFmtId="3" fontId="22" fillId="3" borderId="0" xfId="0" applyNumberFormat="1" applyFont="1" applyFill="1" applyBorder="1"/>
    <xf numFmtId="0" fontId="0" fillId="3" borderId="24" xfId="0" applyFill="1" applyBorder="1"/>
    <xf numFmtId="0" fontId="0" fillId="3" borderId="0" xfId="0" applyFill="1" applyBorder="1"/>
    <xf numFmtId="3" fontId="0" fillId="3" borderId="0" xfId="0" applyNumberFormat="1" applyFill="1" applyBorder="1"/>
    <xf numFmtId="0" fontId="0" fillId="3" borderId="26" xfId="0" applyFill="1" applyBorder="1"/>
    <xf numFmtId="0" fontId="0" fillId="3" borderId="15" xfId="0" applyFill="1" applyBorder="1"/>
    <xf numFmtId="0" fontId="0" fillId="5" borderId="29" xfId="0" applyFill="1" applyBorder="1"/>
    <xf numFmtId="0" fontId="0" fillId="5" borderId="30" xfId="0" applyFill="1" applyBorder="1"/>
    <xf numFmtId="3" fontId="0" fillId="5" borderId="30" xfId="0" applyNumberFormat="1" applyFill="1" applyBorder="1"/>
    <xf numFmtId="3" fontId="0" fillId="0" borderId="31" xfId="0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/>
    <xf numFmtId="0" fontId="18" fillId="0" borderId="7" xfId="0" applyFont="1" applyFill="1" applyBorder="1" applyAlignment="1">
      <alignment vertical="center"/>
    </xf>
    <xf numFmtId="3" fontId="18" fillId="0" borderId="8" xfId="0" applyNumberFormat="1" applyFont="1" applyFill="1" applyBorder="1" applyAlignment="1">
      <alignment horizontal="right" vertical="center"/>
    </xf>
    <xf numFmtId="3" fontId="0" fillId="0" borderId="14" xfId="0" applyNumberFormat="1" applyBorder="1"/>
    <xf numFmtId="3" fontId="7" fillId="0" borderId="29" xfId="0" applyNumberFormat="1" applyFont="1" applyBorder="1" applyAlignment="1">
      <alignment horizontal="right" vertical="center"/>
    </xf>
    <xf numFmtId="3" fontId="7" fillId="0" borderId="31" xfId="0" applyNumberFormat="1" applyFont="1" applyBorder="1" applyAlignment="1">
      <alignment horizontal="right" vertical="center"/>
    </xf>
    <xf numFmtId="3" fontId="7" fillId="0" borderId="14" xfId="0" applyNumberFormat="1" applyFont="1" applyBorder="1" applyAlignment="1">
      <alignment horizontal="right" vertical="center"/>
    </xf>
    <xf numFmtId="3" fontId="7" fillId="0" borderId="22" xfId="0" applyNumberFormat="1" applyFont="1" applyBorder="1" applyAlignment="1">
      <alignment horizontal="left" vertical="center"/>
    </xf>
    <xf numFmtId="3" fontId="7" fillId="0" borderId="23" xfId="0" applyNumberFormat="1" applyFont="1" applyBorder="1" applyAlignment="1">
      <alignment horizontal="right" vertical="center"/>
    </xf>
    <xf numFmtId="0" fontId="14" fillId="0" borderId="24" xfId="0" applyFont="1" applyBorder="1"/>
    <xf numFmtId="3" fontId="7" fillId="0" borderId="25" xfId="0" applyNumberFormat="1" applyFont="1" applyBorder="1" applyAlignment="1">
      <alignment horizontal="right" vertical="center"/>
    </xf>
    <xf numFmtId="3" fontId="7" fillId="0" borderId="25" xfId="0" applyNumberFormat="1" applyFont="1" applyFill="1" applyBorder="1" applyAlignment="1">
      <alignment horizontal="right" vertical="center"/>
    </xf>
    <xf numFmtId="3" fontId="7" fillId="0" borderId="24" xfId="0" applyNumberFormat="1" applyFont="1" applyBorder="1" applyAlignment="1">
      <alignment horizontal="right" vertical="center"/>
    </xf>
    <xf numFmtId="0" fontId="0" fillId="0" borderId="22" xfId="0" applyBorder="1"/>
    <xf numFmtId="3" fontId="0" fillId="0" borderId="24" xfId="0" applyNumberFormat="1" applyBorder="1"/>
    <xf numFmtId="3" fontId="7" fillId="0" borderId="27" xfId="0" applyNumberFormat="1" applyFont="1" applyBorder="1" applyAlignment="1">
      <alignment horizontal="right" vertical="center"/>
    </xf>
    <xf numFmtId="3" fontId="7" fillId="0" borderId="33" xfId="0" applyNumberFormat="1" applyFont="1" applyBorder="1" applyAlignment="1">
      <alignment horizontal="right" vertical="center"/>
    </xf>
    <xf numFmtId="3" fontId="7" fillId="0" borderId="34" xfId="0" applyNumberFormat="1" applyFont="1" applyBorder="1" applyAlignment="1">
      <alignment horizontal="right" vertical="center"/>
    </xf>
    <xf numFmtId="3" fontId="7" fillId="0" borderId="35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3" fontId="29" fillId="0" borderId="29" xfId="0" applyNumberFormat="1" applyFont="1" applyFill="1" applyBorder="1" applyAlignment="1">
      <alignment horizontal="left" vertical="center"/>
    </xf>
    <xf numFmtId="3" fontId="29" fillId="0" borderId="31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3" fontId="17" fillId="0" borderId="0" xfId="0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3" fontId="0" fillId="0" borderId="0" xfId="0" applyNumberFormat="1" applyBorder="1"/>
    <xf numFmtId="0" fontId="16" fillId="0" borderId="0" xfId="0" applyFont="1" applyBorder="1" applyAlignment="1">
      <alignment vertical="center"/>
    </xf>
    <xf numFmtId="3" fontId="3" fillId="7" borderId="0" xfId="0" applyNumberFormat="1" applyFont="1" applyFill="1" applyBorder="1" applyAlignment="1">
      <alignment horizontal="right" vertical="center"/>
    </xf>
    <xf numFmtId="0" fontId="31" fillId="7" borderId="38" xfId="0" applyFont="1" applyFill="1" applyBorder="1"/>
    <xf numFmtId="0" fontId="31" fillId="7" borderId="39" xfId="0" applyFont="1" applyFill="1" applyBorder="1"/>
    <xf numFmtId="0" fontId="31" fillId="7" borderId="38" xfId="0" applyFont="1" applyFill="1" applyBorder="1" applyAlignment="1">
      <alignment wrapText="1"/>
    </xf>
    <xf numFmtId="0" fontId="31" fillId="7" borderId="40" xfId="0" applyFont="1" applyFill="1" applyBorder="1"/>
    <xf numFmtId="0" fontId="31" fillId="7" borderId="41" xfId="0" applyFont="1" applyFill="1" applyBorder="1"/>
    <xf numFmtId="3" fontId="31" fillId="7" borderId="39" xfId="0" applyNumberFormat="1" applyFont="1" applyFill="1" applyBorder="1"/>
    <xf numFmtId="0" fontId="0" fillId="0" borderId="14" xfId="0" applyBorder="1" applyAlignment="1">
      <alignment wrapText="1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33" fillId="0" borderId="0" xfId="0" applyFont="1"/>
    <xf numFmtId="0" fontId="13" fillId="8" borderId="0" xfId="0" applyFont="1" applyFill="1"/>
    <xf numFmtId="0" fontId="13" fillId="0" borderId="0" xfId="0" applyFont="1" applyFill="1"/>
    <xf numFmtId="0" fontId="13" fillId="0" borderId="49" xfId="0" applyFont="1" applyBorder="1"/>
    <xf numFmtId="0" fontId="13" fillId="0" borderId="0" xfId="0" applyFont="1" applyAlignment="1">
      <alignment horizontal="center" wrapText="1"/>
    </xf>
    <xf numFmtId="0" fontId="13" fillId="0" borderId="59" xfId="0" applyFont="1" applyBorder="1"/>
    <xf numFmtId="0" fontId="13" fillId="0" borderId="60" xfId="0" applyFont="1" applyBorder="1"/>
    <xf numFmtId="0" fontId="13" fillId="0" borderId="61" xfId="0" applyFont="1" applyBorder="1"/>
    <xf numFmtId="0" fontId="34" fillId="0" borderId="0" xfId="0" applyFont="1" applyAlignment="1">
      <alignment horizontal="center" wrapText="1"/>
    </xf>
    <xf numFmtId="0" fontId="35" fillId="0" borderId="0" xfId="0" applyFont="1"/>
    <xf numFmtId="0" fontId="35" fillId="5" borderId="0" xfId="0" applyFont="1" applyFill="1"/>
    <xf numFmtId="0" fontId="35" fillId="0" borderId="0" xfId="0" applyFont="1" applyFill="1"/>
    <xf numFmtId="0" fontId="32" fillId="9" borderId="38" xfId="0" applyFont="1" applyFill="1" applyBorder="1"/>
    <xf numFmtId="0" fontId="13" fillId="9" borderId="55" xfId="0" applyFont="1" applyFill="1" applyBorder="1"/>
    <xf numFmtId="0" fontId="21" fillId="9" borderId="38" xfId="0" applyFont="1" applyFill="1" applyBorder="1"/>
    <xf numFmtId="0" fontId="13" fillId="9" borderId="38" xfId="0" applyFont="1" applyFill="1" applyBorder="1"/>
    <xf numFmtId="0" fontId="13" fillId="9" borderId="42" xfId="0" applyFont="1" applyFill="1" applyBorder="1"/>
    <xf numFmtId="0" fontId="13" fillId="9" borderId="56" xfId="0" applyFont="1" applyFill="1" applyBorder="1"/>
    <xf numFmtId="0" fontId="21" fillId="9" borderId="44" xfId="0" applyFont="1" applyFill="1" applyBorder="1"/>
    <xf numFmtId="0" fontId="21" fillId="9" borderId="57" xfId="0" applyFont="1" applyFill="1" applyBorder="1"/>
    <xf numFmtId="0" fontId="13" fillId="9" borderId="43" xfId="0" applyFont="1" applyFill="1" applyBorder="1"/>
    <xf numFmtId="0" fontId="13" fillId="9" borderId="58" xfId="0" applyFont="1" applyFill="1" applyBorder="1"/>
    <xf numFmtId="0" fontId="35" fillId="10" borderId="0" xfId="0" applyFont="1" applyFill="1"/>
    <xf numFmtId="0" fontId="35" fillId="11" borderId="0" xfId="0" applyFont="1" applyFill="1"/>
    <xf numFmtId="0" fontId="13" fillId="11" borderId="60" xfId="0" applyFont="1" applyFill="1" applyBorder="1"/>
    <xf numFmtId="0" fontId="35" fillId="12" borderId="0" xfId="0" applyFont="1" applyFill="1"/>
    <xf numFmtId="0" fontId="35" fillId="13" borderId="0" xfId="0" applyFont="1" applyFill="1"/>
    <xf numFmtId="0" fontId="21" fillId="8" borderId="0" xfId="0" applyFont="1" applyFill="1"/>
    <xf numFmtId="0" fontId="36" fillId="8" borderId="0" xfId="0" applyFont="1" applyFill="1"/>
    <xf numFmtId="0" fontId="37" fillId="8" borderId="0" xfId="0" applyFont="1" applyFill="1"/>
    <xf numFmtId="0" fontId="21" fillId="5" borderId="38" xfId="0" applyFont="1" applyFill="1" applyBorder="1"/>
    <xf numFmtId="3" fontId="13" fillId="0" borderId="0" xfId="0" applyNumberFormat="1" applyFont="1"/>
    <xf numFmtId="0" fontId="22" fillId="0" borderId="0" xfId="0" applyFont="1"/>
    <xf numFmtId="0" fontId="38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9" fontId="0" fillId="0" borderId="0" xfId="0" applyNumberFormat="1"/>
    <xf numFmtId="0" fontId="13" fillId="4" borderId="0" xfId="0" applyFont="1" applyFill="1"/>
    <xf numFmtId="3" fontId="13" fillId="4" borderId="0" xfId="0" applyNumberFormat="1" applyFont="1" applyFill="1"/>
    <xf numFmtId="0" fontId="33" fillId="4" borderId="0" xfId="0" applyFont="1" applyFill="1"/>
    <xf numFmtId="0" fontId="15" fillId="14" borderId="3" xfId="0" applyFont="1" applyFill="1" applyBorder="1" applyAlignment="1">
      <alignment vertical="center"/>
    </xf>
    <xf numFmtId="3" fontId="15" fillId="14" borderId="32" xfId="0" applyNumberFormat="1" applyFont="1" applyFill="1" applyBorder="1" applyAlignment="1">
      <alignment horizontal="right" vertical="center"/>
    </xf>
    <xf numFmtId="0" fontId="20" fillId="0" borderId="3" xfId="0" applyFont="1" applyBorder="1" applyAlignment="1">
      <alignment vertical="center"/>
    </xf>
    <xf numFmtId="3" fontId="20" fillId="0" borderId="4" xfId="0" applyNumberFormat="1" applyFont="1" applyBorder="1" applyAlignment="1">
      <alignment horizontal="right" vertical="center"/>
    </xf>
    <xf numFmtId="0" fontId="40" fillId="0" borderId="5" xfId="0" applyFont="1" applyBorder="1" applyAlignment="1">
      <alignment vertical="center"/>
    </xf>
    <xf numFmtId="3" fontId="40" fillId="0" borderId="6" xfId="0" applyNumberFormat="1" applyFont="1" applyBorder="1" applyAlignment="1">
      <alignment horizontal="right" vertical="center"/>
    </xf>
    <xf numFmtId="3" fontId="39" fillId="3" borderId="28" xfId="0" applyNumberFormat="1" applyFont="1" applyFill="1" applyBorder="1"/>
    <xf numFmtId="0" fontId="23" fillId="0" borderId="11" xfId="0" applyFont="1" applyFill="1" applyBorder="1" applyAlignment="1">
      <alignment vertical="center"/>
    </xf>
    <xf numFmtId="3" fontId="23" fillId="0" borderId="12" xfId="0" applyNumberFormat="1" applyFont="1" applyFill="1" applyBorder="1" applyAlignment="1">
      <alignment horizontal="right" vertical="center"/>
    </xf>
    <xf numFmtId="0" fontId="28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3" fillId="4" borderId="0" xfId="0" applyFont="1" applyFill="1" applyAlignment="1">
      <alignment horizontal="left"/>
    </xf>
    <xf numFmtId="0" fontId="21" fillId="9" borderId="36" xfId="0" applyFont="1" applyFill="1" applyBorder="1" applyAlignment="1">
      <alignment horizontal="center"/>
    </xf>
    <xf numFmtId="0" fontId="21" fillId="9" borderId="54" xfId="0" applyFont="1" applyFill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30" fillId="7" borderId="36" xfId="0" applyFont="1" applyFill="1" applyBorder="1" applyAlignment="1">
      <alignment horizontal="center" wrapText="1"/>
    </xf>
    <xf numFmtId="0" fontId="30" fillId="7" borderId="37" xfId="0" applyFont="1" applyFill="1" applyBorder="1" applyAlignment="1">
      <alignment horizontal="center" wrapText="1"/>
    </xf>
    <xf numFmtId="0" fontId="7" fillId="0" borderId="0" xfId="0" applyFont="1"/>
    <xf numFmtId="0" fontId="41" fillId="0" borderId="0" xfId="0" applyFont="1"/>
    <xf numFmtId="0" fontId="3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DCF4"/>
      <color rgb="FFF7B7F2"/>
      <color rgb="FFBD9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82250</xdr:colOff>
      <xdr:row>31</xdr:row>
      <xdr:rowOff>49695</xdr:rowOff>
    </xdr:from>
    <xdr:to>
      <xdr:col>17</xdr:col>
      <xdr:colOff>290419</xdr:colOff>
      <xdr:row>54</xdr:row>
      <xdr:rowOff>48039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1620" y="6203673"/>
          <a:ext cx="7967316" cy="4489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40</xdr:row>
      <xdr:rowOff>4762</xdr:rowOff>
    </xdr:from>
    <xdr:to>
      <xdr:col>1</xdr:col>
      <xdr:colOff>557212</xdr:colOff>
      <xdr:row>49</xdr:row>
      <xdr:rowOff>119062</xdr:rowOff>
    </xdr:to>
    <xdr:sp macro="" textlink="">
      <xdr:nvSpPr>
        <xdr:cNvPr id="2" name="TextBox 1"/>
        <xdr:cNvSpPr txBox="1"/>
      </xdr:nvSpPr>
      <xdr:spPr>
        <a:xfrm>
          <a:off x="328612" y="8963025"/>
          <a:ext cx="3000375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Wingdings" panose="05000000000000000000" pitchFamily="2" charset="2"/>
            <a:buChar char="q"/>
          </a:pPr>
          <a:r>
            <a:rPr lang="en-IN" sz="1100" b="1">
              <a:solidFill>
                <a:schemeClr val="bg2">
                  <a:lumMod val="25000"/>
                </a:schemeClr>
              </a:solidFill>
            </a:rPr>
            <a:t>GROSS</a:t>
          </a:r>
          <a:r>
            <a:rPr lang="en-IN" sz="1100" b="1" baseline="0">
              <a:solidFill>
                <a:schemeClr val="bg2">
                  <a:lumMod val="25000"/>
                </a:schemeClr>
              </a:solidFill>
            </a:rPr>
            <a:t> PROFIT</a:t>
          </a:r>
        </a:p>
        <a:p>
          <a:pPr marL="171450" indent="-171450">
            <a:buFont typeface="Wingdings" panose="05000000000000000000" pitchFamily="2" charset="2"/>
            <a:buChar char="q"/>
          </a:pPr>
          <a:r>
            <a:rPr lang="en-IN" sz="1100" b="1" baseline="0">
              <a:solidFill>
                <a:schemeClr val="accent5">
                  <a:lumMod val="50000"/>
                </a:schemeClr>
              </a:solidFill>
            </a:rPr>
            <a:t>OPERATING PROFIT</a:t>
          </a:r>
        </a:p>
        <a:p>
          <a:pPr marL="171450" indent="-171450">
            <a:buFont typeface="Wingdings" panose="05000000000000000000" pitchFamily="2" charset="2"/>
            <a:buChar char="q"/>
          </a:pPr>
          <a:r>
            <a:rPr lang="en-IN" sz="1100" b="1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EBITDA</a:t>
          </a:r>
        </a:p>
        <a:p>
          <a:pPr marL="171450" indent="-171450">
            <a:buFont typeface="Wingdings" panose="05000000000000000000" pitchFamily="2" charset="2"/>
            <a:buChar char="q"/>
          </a:pPr>
          <a:r>
            <a:rPr lang="en-IN" sz="1100" b="1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EBIT</a:t>
          </a:r>
        </a:p>
        <a:p>
          <a:pPr marL="171450" indent="-171450">
            <a:buFont typeface="Wingdings" panose="05000000000000000000" pitchFamily="2" charset="2"/>
            <a:buChar char="q"/>
          </a:pPr>
          <a:r>
            <a:rPr lang="en-IN" sz="1100" b="1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PROFIT BEFORE TAX (PBT)</a:t>
          </a:r>
        </a:p>
        <a:p>
          <a:pPr marL="171450" indent="-171450">
            <a:buFont typeface="Wingdings" panose="05000000000000000000" pitchFamily="2" charset="2"/>
            <a:buChar char="q"/>
          </a:pPr>
          <a:r>
            <a:rPr lang="en-IN" sz="1100" b="1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NET PROIT (PROFIT AFTER TAX) OR PAT</a:t>
          </a:r>
        </a:p>
        <a:p>
          <a:pPr marL="171450" indent="-171450">
            <a:buFont typeface="Wingdings" panose="05000000000000000000" pitchFamily="2" charset="2"/>
            <a:buChar char="q"/>
          </a:pPr>
          <a:r>
            <a:rPr lang="en-IN" sz="1100" b="1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RETAINED PROFIT OR RETAINED EARNINGS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19</xdr:row>
      <xdr:rowOff>83820</xdr:rowOff>
    </xdr:from>
    <xdr:to>
      <xdr:col>8</xdr:col>
      <xdr:colOff>274320</xdr:colOff>
      <xdr:row>31</xdr:row>
      <xdr:rowOff>106680</xdr:rowOff>
    </xdr:to>
    <xdr:cxnSp macro="">
      <xdr:nvCxnSpPr>
        <xdr:cNvPr id="3" name="Straight Arrow Connector 2"/>
        <xdr:cNvCxnSpPr/>
      </xdr:nvCxnSpPr>
      <xdr:spPr>
        <a:xfrm>
          <a:off x="2621280" y="3817620"/>
          <a:ext cx="6682740" cy="24003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518160</xdr:colOff>
      <xdr:row>30</xdr:row>
      <xdr:rowOff>76200</xdr:rowOff>
    </xdr:from>
    <xdr:to>
      <xdr:col>8</xdr:col>
      <xdr:colOff>289560</xdr:colOff>
      <xdr:row>31</xdr:row>
      <xdr:rowOff>137160</xdr:rowOff>
    </xdr:to>
    <xdr:cxnSp macro="">
      <xdr:nvCxnSpPr>
        <xdr:cNvPr id="5" name="Straight Arrow Connector 4"/>
        <xdr:cNvCxnSpPr/>
      </xdr:nvCxnSpPr>
      <xdr:spPr>
        <a:xfrm flipH="1" flipV="1">
          <a:off x="2628900" y="5989320"/>
          <a:ext cx="6690360" cy="2590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213360</xdr:colOff>
      <xdr:row>23</xdr:row>
      <xdr:rowOff>38100</xdr:rowOff>
    </xdr:from>
    <xdr:to>
      <xdr:col>16</xdr:col>
      <xdr:colOff>259080</xdr:colOff>
      <xdr:row>23</xdr:row>
      <xdr:rowOff>45720</xdr:rowOff>
    </xdr:to>
    <xdr:cxnSp macro="">
      <xdr:nvCxnSpPr>
        <xdr:cNvPr id="13" name="Straight Arrow Connector 12"/>
        <xdr:cNvCxnSpPr/>
      </xdr:nvCxnSpPr>
      <xdr:spPr>
        <a:xfrm flipH="1">
          <a:off x="13601700" y="4564380"/>
          <a:ext cx="126492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220980</xdr:colOff>
      <xdr:row>24</xdr:row>
      <xdr:rowOff>60960</xdr:rowOff>
    </xdr:from>
    <xdr:to>
      <xdr:col>16</xdr:col>
      <xdr:colOff>266700</xdr:colOff>
      <xdr:row>24</xdr:row>
      <xdr:rowOff>68580</xdr:rowOff>
    </xdr:to>
    <xdr:cxnSp macro="">
      <xdr:nvCxnSpPr>
        <xdr:cNvPr id="17" name="Straight Arrow Connector 16"/>
        <xdr:cNvCxnSpPr/>
      </xdr:nvCxnSpPr>
      <xdr:spPr>
        <a:xfrm flipH="1">
          <a:off x="13609320" y="4785360"/>
          <a:ext cx="126492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25</xdr:row>
      <xdr:rowOff>45720</xdr:rowOff>
    </xdr:from>
    <xdr:to>
      <xdr:col>16</xdr:col>
      <xdr:colOff>228600</xdr:colOff>
      <xdr:row>25</xdr:row>
      <xdr:rowOff>53340</xdr:rowOff>
    </xdr:to>
    <xdr:cxnSp macro="">
      <xdr:nvCxnSpPr>
        <xdr:cNvPr id="18" name="Straight Arrow Connector 17"/>
        <xdr:cNvCxnSpPr/>
      </xdr:nvCxnSpPr>
      <xdr:spPr>
        <a:xfrm flipH="1">
          <a:off x="13571220" y="4968240"/>
          <a:ext cx="126492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topLeftCell="A47" zoomScale="115" zoomScaleNormal="115" workbookViewId="0">
      <selection activeCell="A43" sqref="A43:A70"/>
    </sheetView>
  </sheetViews>
  <sheetFormatPr defaultRowHeight="14.4" x14ac:dyDescent="0.3"/>
  <cols>
    <col min="1" max="1" width="41.5546875" customWidth="1"/>
    <col min="2" max="2" width="9.6640625" style="24" customWidth="1"/>
    <col min="3" max="3" width="47.33203125" style="24" bestFit="1" customWidth="1"/>
    <col min="4" max="4" width="14" style="24" customWidth="1"/>
    <col min="5" max="5" width="7.109375" customWidth="1"/>
    <col min="6" max="6" width="33.44140625" customWidth="1"/>
    <col min="7" max="7" width="11.33203125" customWidth="1"/>
    <col min="8" max="8" width="11.44140625" customWidth="1"/>
    <col min="11" max="11" width="32.21875" customWidth="1"/>
    <col min="12" max="12" width="9.33203125" bestFit="1" customWidth="1"/>
    <col min="16" max="17" width="18.6640625" customWidth="1"/>
    <col min="18" max="18" width="16.33203125" customWidth="1"/>
    <col min="21" max="21" width="34.109375" bestFit="1" customWidth="1"/>
  </cols>
  <sheetData>
    <row r="1" spans="1:22" ht="15" thickBot="1" x14ac:dyDescent="0.35">
      <c r="A1" t="s">
        <v>279</v>
      </c>
      <c r="K1" t="s">
        <v>179</v>
      </c>
    </row>
    <row r="2" spans="1:22" ht="31.5" customHeight="1" thickBot="1" x14ac:dyDescent="0.55000000000000004">
      <c r="A2" s="225" t="s">
        <v>275</v>
      </c>
      <c r="B2" s="226"/>
      <c r="C2" s="43"/>
      <c r="D2" s="43"/>
      <c r="F2" s="40" t="s">
        <v>276</v>
      </c>
      <c r="G2" s="40" t="s">
        <v>277</v>
      </c>
      <c r="H2" s="25" t="s">
        <v>278</v>
      </c>
      <c r="I2" t="s">
        <v>180</v>
      </c>
      <c r="K2" s="222" t="s">
        <v>149</v>
      </c>
      <c r="L2" s="222"/>
    </row>
    <row r="3" spans="1:22" ht="18.600000000000001" thickTop="1" x14ac:dyDescent="0.35">
      <c r="A3" s="9" t="s">
        <v>0</v>
      </c>
      <c r="B3" s="31">
        <v>6000</v>
      </c>
      <c r="C3" s="60" t="s">
        <v>140</v>
      </c>
      <c r="D3" s="44"/>
      <c r="F3" s="25" t="s">
        <v>29</v>
      </c>
      <c r="K3" s="227" t="s">
        <v>182</v>
      </c>
      <c r="L3" s="227"/>
      <c r="R3" t="s">
        <v>149</v>
      </c>
      <c r="U3" s="86" t="s">
        <v>166</v>
      </c>
      <c r="V3" s="87"/>
    </row>
    <row r="4" spans="1:22" ht="18" x14ac:dyDescent="0.35">
      <c r="A4" s="9" t="s">
        <v>1</v>
      </c>
      <c r="B4" s="31">
        <v>3000</v>
      </c>
      <c r="C4" s="59" t="s">
        <v>141</v>
      </c>
      <c r="D4" s="44">
        <f>B24</f>
        <v>150000</v>
      </c>
      <c r="F4" s="25" t="s">
        <v>33</v>
      </c>
      <c r="I4" s="24"/>
      <c r="J4" s="24"/>
      <c r="K4" s="210" t="s">
        <v>109</v>
      </c>
      <c r="L4" s="211"/>
      <c r="M4" s="24">
        <f>D46</f>
        <v>5298.4</v>
      </c>
      <c r="N4" s="24"/>
      <c r="R4" t="s">
        <v>109</v>
      </c>
      <c r="S4" s="24">
        <f>D48</f>
        <v>4298.3999999999996</v>
      </c>
      <c r="U4" s="88" t="s">
        <v>109</v>
      </c>
      <c r="V4" s="89">
        <f>D46</f>
        <v>5298.4</v>
      </c>
    </row>
    <row r="5" spans="1:22" ht="18" x14ac:dyDescent="0.35">
      <c r="A5" s="61" t="s">
        <v>2</v>
      </c>
      <c r="B5" s="62">
        <v>12000</v>
      </c>
      <c r="C5" s="24" t="s">
        <v>142</v>
      </c>
      <c r="D5" s="44">
        <f>B15</f>
        <v>300</v>
      </c>
      <c r="F5" s="103" t="s">
        <v>36</v>
      </c>
      <c r="G5" s="104">
        <v>1940</v>
      </c>
      <c r="H5" s="219">
        <f>M28</f>
        <v>5602.4</v>
      </c>
      <c r="I5" s="102"/>
      <c r="J5" s="24"/>
      <c r="K5" s="210" t="s">
        <v>161</v>
      </c>
      <c r="L5" s="211"/>
      <c r="M5" s="24">
        <f>D39+B16</f>
        <v>2157</v>
      </c>
      <c r="N5" s="24"/>
      <c r="O5" t="s">
        <v>130</v>
      </c>
      <c r="P5" t="s">
        <v>131</v>
      </c>
      <c r="R5" t="s">
        <v>161</v>
      </c>
      <c r="S5" s="24">
        <f>D39+B16</f>
        <v>2157</v>
      </c>
      <c r="U5" s="88" t="s">
        <v>169</v>
      </c>
      <c r="V5" s="89">
        <f>D39+B16</f>
        <v>2157</v>
      </c>
    </row>
    <row r="6" spans="1:22" ht="18" x14ac:dyDescent="0.35">
      <c r="A6" s="9" t="s">
        <v>3</v>
      </c>
      <c r="B6" s="31">
        <v>36000</v>
      </c>
      <c r="C6" s="24" t="s">
        <v>143</v>
      </c>
      <c r="D6" s="44">
        <f>D4+D5</f>
        <v>150300</v>
      </c>
      <c r="F6" s="105" t="s">
        <v>4</v>
      </c>
      <c r="G6" s="106">
        <v>14200</v>
      </c>
      <c r="H6" s="107">
        <f>B7</f>
        <v>15400</v>
      </c>
      <c r="I6" s="99"/>
      <c r="K6" s="210" t="s">
        <v>183</v>
      </c>
      <c r="L6" s="211"/>
      <c r="M6" s="24">
        <f>G6-H6</f>
        <v>-1200</v>
      </c>
      <c r="O6" t="s">
        <v>31</v>
      </c>
      <c r="P6" t="s">
        <v>132</v>
      </c>
      <c r="R6" t="s">
        <v>150</v>
      </c>
      <c r="S6" s="24">
        <f>G6-H6</f>
        <v>-1200</v>
      </c>
      <c r="U6" s="90" t="s">
        <v>170</v>
      </c>
      <c r="V6" s="89">
        <f>-I6</f>
        <v>0</v>
      </c>
    </row>
    <row r="7" spans="1:22" ht="18" x14ac:dyDescent="0.35">
      <c r="A7" s="28" t="s">
        <v>4</v>
      </c>
      <c r="B7" s="32">
        <v>15400</v>
      </c>
      <c r="D7" s="44"/>
      <c r="F7" s="108" t="s">
        <v>35</v>
      </c>
      <c r="G7" s="109">
        <v>9100</v>
      </c>
      <c r="H7" s="110">
        <f>B18</f>
        <v>8100</v>
      </c>
      <c r="I7" s="99"/>
      <c r="K7" s="210" t="s">
        <v>184</v>
      </c>
      <c r="L7" s="211"/>
      <c r="M7" s="24">
        <f>G7-H7</f>
        <v>1000</v>
      </c>
      <c r="O7" t="s">
        <v>111</v>
      </c>
      <c r="P7" t="s">
        <v>133</v>
      </c>
      <c r="R7" t="s">
        <v>151</v>
      </c>
      <c r="S7" s="24">
        <f>G7-H7</f>
        <v>1000</v>
      </c>
      <c r="U7" s="90" t="s">
        <v>151</v>
      </c>
      <c r="V7" s="89">
        <f>-I7</f>
        <v>0</v>
      </c>
    </row>
    <row r="8" spans="1:22" ht="18" x14ac:dyDescent="0.35">
      <c r="A8" s="9" t="s">
        <v>5</v>
      </c>
      <c r="B8" s="31">
        <v>3600</v>
      </c>
      <c r="C8" s="59" t="s">
        <v>83</v>
      </c>
      <c r="D8" s="45"/>
      <c r="F8" s="111" t="s">
        <v>129</v>
      </c>
      <c r="G8" s="112">
        <v>0</v>
      </c>
      <c r="H8" s="112">
        <v>0</v>
      </c>
      <c r="I8" s="98"/>
      <c r="K8" s="210" t="s">
        <v>185</v>
      </c>
      <c r="L8" s="211"/>
      <c r="M8" s="24">
        <f>H22-G22</f>
        <v>957</v>
      </c>
      <c r="R8" t="s">
        <v>152</v>
      </c>
      <c r="S8" s="24">
        <f>H22-G22</f>
        <v>957</v>
      </c>
      <c r="U8" s="90" t="s">
        <v>171</v>
      </c>
      <c r="V8" s="89">
        <f>I22</f>
        <v>0</v>
      </c>
    </row>
    <row r="9" spans="1:22" ht="18.600000000000001" thickBot="1" x14ac:dyDescent="0.4">
      <c r="A9" s="9" t="s">
        <v>6</v>
      </c>
      <c r="B9" s="31">
        <v>2500</v>
      </c>
      <c r="C9" s="59" t="s">
        <v>80</v>
      </c>
      <c r="D9" s="45">
        <f>G6</f>
        <v>14200</v>
      </c>
      <c r="F9" s="25" t="s">
        <v>120</v>
      </c>
      <c r="G9" s="25">
        <f>SUM(G5:G8)</f>
        <v>25240</v>
      </c>
      <c r="H9" s="77">
        <f>SUM(H5:H8)</f>
        <v>29102.400000000001</v>
      </c>
      <c r="K9" s="210" t="s">
        <v>186</v>
      </c>
      <c r="L9" s="211"/>
      <c r="M9" s="24">
        <f>SUM(M4:M8)</f>
        <v>8212.4</v>
      </c>
      <c r="O9" t="s">
        <v>31</v>
      </c>
      <c r="R9" t="s">
        <v>138</v>
      </c>
      <c r="S9" s="24">
        <f>SUM(S4:S8)</f>
        <v>7212.4</v>
      </c>
      <c r="U9" s="91"/>
      <c r="V9" s="92">
        <f>SUM(V4:V8)</f>
        <v>7455.4</v>
      </c>
    </row>
    <row r="10" spans="1:22" ht="18.600000000000001" thickTop="1" x14ac:dyDescent="0.35">
      <c r="A10" s="9" t="s">
        <v>7</v>
      </c>
      <c r="B10" s="31">
        <v>500</v>
      </c>
      <c r="C10" s="58" t="s">
        <v>106</v>
      </c>
      <c r="D10" s="45">
        <f>B11</f>
        <v>85000</v>
      </c>
      <c r="K10" s="210"/>
      <c r="L10" s="210"/>
      <c r="O10" t="s">
        <v>134</v>
      </c>
      <c r="Q10">
        <f>G13</f>
        <v>1000</v>
      </c>
    </row>
    <row r="11" spans="1:22" ht="18" x14ac:dyDescent="0.35">
      <c r="A11" s="215" t="s">
        <v>8</v>
      </c>
      <c r="B11" s="216">
        <v>85000</v>
      </c>
      <c r="C11" s="59" t="s">
        <v>116</v>
      </c>
      <c r="D11" s="44">
        <f>D10+D9</f>
        <v>99200</v>
      </c>
      <c r="F11" s="25" t="s">
        <v>45</v>
      </c>
      <c r="K11" s="212" t="s">
        <v>153</v>
      </c>
      <c r="L11" s="210"/>
      <c r="O11" t="s">
        <v>135</v>
      </c>
      <c r="Q11" s="24">
        <f>B12</f>
        <v>300</v>
      </c>
      <c r="R11" t="s">
        <v>153</v>
      </c>
      <c r="U11" s="93" t="s">
        <v>167</v>
      </c>
      <c r="V11" s="94"/>
    </row>
    <row r="12" spans="1:22" ht="18" x14ac:dyDescent="0.35">
      <c r="A12" s="38" t="s">
        <v>46</v>
      </c>
      <c r="B12" s="39">
        <v>300</v>
      </c>
      <c r="C12" s="59" t="s">
        <v>4</v>
      </c>
      <c r="D12" s="46">
        <f>B7</f>
        <v>15400</v>
      </c>
      <c r="F12" s="34" t="s">
        <v>30</v>
      </c>
      <c r="G12" s="34">
        <v>500</v>
      </c>
      <c r="H12" s="34">
        <v>500</v>
      </c>
      <c r="K12" s="210" t="s">
        <v>187</v>
      </c>
      <c r="L12" s="211"/>
      <c r="M12" s="24">
        <f>-B12</f>
        <v>-300</v>
      </c>
      <c r="O12" t="s">
        <v>136</v>
      </c>
      <c r="Q12">
        <f>SUM(Q10:Q11)</f>
        <v>1300</v>
      </c>
      <c r="R12" t="s">
        <v>154</v>
      </c>
      <c r="S12" s="24">
        <f>- (B5+B12+B13+B20)</f>
        <v>-14820</v>
      </c>
      <c r="U12" s="95" t="s">
        <v>31</v>
      </c>
      <c r="V12" s="96">
        <v>-300</v>
      </c>
    </row>
    <row r="13" spans="1:22" ht="18" x14ac:dyDescent="0.35">
      <c r="A13" s="63" t="s">
        <v>47</v>
      </c>
      <c r="B13" s="64">
        <v>2500</v>
      </c>
      <c r="C13" s="59" t="s">
        <v>83</v>
      </c>
      <c r="D13" s="46">
        <f>D11-D12</f>
        <v>83800</v>
      </c>
      <c r="F13" s="34" t="s">
        <v>31</v>
      </c>
      <c r="G13" s="34">
        <v>1000</v>
      </c>
      <c r="H13" s="75">
        <f>D25</f>
        <v>1235</v>
      </c>
      <c r="I13" s="24"/>
      <c r="K13" s="210" t="s">
        <v>111</v>
      </c>
      <c r="L13" s="211"/>
      <c r="M13" s="24">
        <f>-D32</f>
        <v>-14520</v>
      </c>
      <c r="O13" t="s">
        <v>137</v>
      </c>
      <c r="Q13">
        <v>0</v>
      </c>
      <c r="R13" t="s">
        <v>155</v>
      </c>
      <c r="S13" s="24">
        <f>B22</f>
        <v>2400</v>
      </c>
      <c r="U13" s="95" t="s">
        <v>175</v>
      </c>
      <c r="V13" s="96">
        <f>-14520</f>
        <v>-14520</v>
      </c>
    </row>
    <row r="14" spans="1:22" ht="18" x14ac:dyDescent="0.35">
      <c r="A14" s="220" t="s">
        <v>200</v>
      </c>
      <c r="B14" s="221"/>
      <c r="C14" s="59"/>
      <c r="D14" s="46"/>
      <c r="F14" s="34"/>
      <c r="G14" s="34"/>
      <c r="H14" s="75"/>
      <c r="I14" s="24"/>
      <c r="K14" s="210"/>
      <c r="L14" s="211"/>
      <c r="M14" s="24"/>
      <c r="S14" s="24"/>
      <c r="U14" s="95"/>
      <c r="V14" s="96"/>
    </row>
    <row r="15" spans="1:22" ht="18" x14ac:dyDescent="0.35">
      <c r="A15" s="41" t="s">
        <v>112</v>
      </c>
      <c r="B15" s="42">
        <v>300</v>
      </c>
      <c r="C15" s="47"/>
      <c r="D15" s="47"/>
      <c r="F15" s="34" t="s">
        <v>32</v>
      </c>
      <c r="G15" s="34">
        <v>6800</v>
      </c>
      <c r="H15" s="75">
        <f>D37</f>
        <v>17028</v>
      </c>
      <c r="K15" s="210" t="s">
        <v>190</v>
      </c>
      <c r="L15" s="211"/>
      <c r="M15" s="24">
        <f>B22</f>
        <v>2400</v>
      </c>
      <c r="O15" t="s">
        <v>138</v>
      </c>
      <c r="Q15">
        <f>SUM(Q12:Q13)</f>
        <v>1300</v>
      </c>
      <c r="S15" s="24">
        <f>S12+S13</f>
        <v>-12420</v>
      </c>
      <c r="U15" s="95" t="s">
        <v>176</v>
      </c>
      <c r="V15" s="96">
        <v>2400</v>
      </c>
    </row>
    <row r="16" spans="1:22" ht="29.4" x14ac:dyDescent="0.35">
      <c r="A16" s="41" t="s">
        <v>49</v>
      </c>
      <c r="B16" s="42">
        <v>200</v>
      </c>
      <c r="C16" s="46" t="s">
        <v>140</v>
      </c>
      <c r="D16" s="46">
        <f>D6-D13</f>
        <v>66500</v>
      </c>
      <c r="F16" s="35" t="s">
        <v>48</v>
      </c>
      <c r="G16" s="34">
        <v>500</v>
      </c>
      <c r="H16" s="75">
        <f>G16-B16</f>
        <v>300</v>
      </c>
      <c r="K16" s="210" t="s">
        <v>70</v>
      </c>
      <c r="L16" s="211"/>
      <c r="M16" s="24">
        <f>SUM(M12:M15)</f>
        <v>-12420</v>
      </c>
      <c r="O16" t="s">
        <v>110</v>
      </c>
      <c r="Q16">
        <f>Q15*0.05</f>
        <v>65</v>
      </c>
      <c r="R16" t="s">
        <v>156</v>
      </c>
      <c r="U16" s="97"/>
      <c r="V16" s="98">
        <f>SUM(V12:V15)</f>
        <v>-12420</v>
      </c>
    </row>
    <row r="17" spans="1:22" ht="18" x14ac:dyDescent="0.35">
      <c r="A17" s="28" t="s">
        <v>9</v>
      </c>
      <c r="B17" s="32">
        <v>1600</v>
      </c>
      <c r="C17" s="126" t="s">
        <v>110</v>
      </c>
      <c r="D17" s="127"/>
      <c r="F17" s="33" t="s">
        <v>121</v>
      </c>
      <c r="G17" s="33">
        <f>SUM(G12:G16)</f>
        <v>8800</v>
      </c>
      <c r="H17" s="70">
        <f>SUM(H12:H16)</f>
        <v>19063</v>
      </c>
      <c r="K17" s="210"/>
      <c r="L17" s="210"/>
      <c r="O17" t="s">
        <v>75</v>
      </c>
      <c r="Q17">
        <f>Q15-Q16</f>
        <v>1235</v>
      </c>
      <c r="R17" t="s">
        <v>157</v>
      </c>
      <c r="U17" s="93" t="s">
        <v>168</v>
      </c>
      <c r="V17" s="94"/>
    </row>
    <row r="18" spans="1:22" ht="18" x14ac:dyDescent="0.35">
      <c r="A18" s="28" t="s">
        <v>10</v>
      </c>
      <c r="B18" s="32">
        <v>8100</v>
      </c>
      <c r="C18" s="128" t="s">
        <v>31</v>
      </c>
      <c r="D18" s="129"/>
      <c r="E18" t="s">
        <v>180</v>
      </c>
      <c r="F18" s="25" t="s">
        <v>119</v>
      </c>
      <c r="G18" s="25">
        <f>G17+G9</f>
        <v>34040</v>
      </c>
      <c r="H18" s="77">
        <f>H17+H9</f>
        <v>48165.4</v>
      </c>
      <c r="K18" s="212" t="s">
        <v>191</v>
      </c>
      <c r="L18" s="210"/>
      <c r="R18" t="s">
        <v>163</v>
      </c>
      <c r="S18" s="24">
        <f>-B17</f>
        <v>-1600</v>
      </c>
      <c r="U18" s="95" t="s">
        <v>172</v>
      </c>
      <c r="V18" s="99">
        <f>-B17</f>
        <v>-1600</v>
      </c>
    </row>
    <row r="19" spans="1:22" ht="18" x14ac:dyDescent="0.35">
      <c r="A19" s="9" t="s">
        <v>11</v>
      </c>
      <c r="B19" s="31">
        <v>350</v>
      </c>
      <c r="C19" s="95" t="s">
        <v>134</v>
      </c>
      <c r="D19" s="129">
        <f>G13</f>
        <v>1000</v>
      </c>
      <c r="K19" s="210" t="s">
        <v>18</v>
      </c>
      <c r="L19" s="211"/>
      <c r="M19" s="24">
        <f>B28</f>
        <v>9000</v>
      </c>
      <c r="O19" t="s">
        <v>111</v>
      </c>
      <c r="R19" t="s">
        <v>162</v>
      </c>
      <c r="S19" s="24">
        <f>H23-G23</f>
        <v>470</v>
      </c>
      <c r="U19" s="95" t="s">
        <v>173</v>
      </c>
      <c r="V19" s="99">
        <f>I23</f>
        <v>0</v>
      </c>
    </row>
    <row r="20" spans="1:22" ht="18" x14ac:dyDescent="0.35">
      <c r="A20" s="65" t="s">
        <v>50</v>
      </c>
      <c r="B20" s="66">
        <v>20</v>
      </c>
      <c r="C20" s="95" t="s">
        <v>135</v>
      </c>
      <c r="D20" s="130">
        <f>B12</f>
        <v>300</v>
      </c>
      <c r="F20" s="25" t="s">
        <v>23</v>
      </c>
      <c r="K20" s="210" t="s">
        <v>308</v>
      </c>
      <c r="L20" s="211"/>
      <c r="M20" s="24">
        <f>-B17</f>
        <v>-1600</v>
      </c>
      <c r="O20" t="s">
        <v>134</v>
      </c>
      <c r="Q20">
        <f>G15</f>
        <v>6800</v>
      </c>
      <c r="R20" t="s">
        <v>160</v>
      </c>
      <c r="S20" s="24">
        <f>B33</f>
        <v>1000</v>
      </c>
      <c r="U20" s="95" t="s">
        <v>174</v>
      </c>
      <c r="V20" s="99">
        <f>B33</f>
        <v>1000</v>
      </c>
    </row>
    <row r="21" spans="1:22" ht="18" x14ac:dyDescent="0.35">
      <c r="A21" s="9" t="s">
        <v>12</v>
      </c>
      <c r="B21" s="31">
        <v>1250</v>
      </c>
      <c r="C21" s="95" t="s">
        <v>136</v>
      </c>
      <c r="D21" s="129">
        <f>D19+D20</f>
        <v>1300</v>
      </c>
      <c r="E21" s="122">
        <f>D21-D19</f>
        <v>300</v>
      </c>
      <c r="F21" s="25" t="s">
        <v>123</v>
      </c>
      <c r="K21" s="210" t="s">
        <v>192</v>
      </c>
      <c r="M21" s="24">
        <f>H23-G23</f>
        <v>470</v>
      </c>
      <c r="O21" t="s">
        <v>135</v>
      </c>
      <c r="Q21" s="24">
        <f>B5+B13+B20</f>
        <v>14520</v>
      </c>
      <c r="R21" t="s">
        <v>158</v>
      </c>
      <c r="S21" s="24">
        <f>SUM(S18:S20)</f>
        <v>-130</v>
      </c>
      <c r="U21" s="97"/>
      <c r="V21" s="100">
        <f>SUM(V18:V20)</f>
        <v>-600</v>
      </c>
    </row>
    <row r="22" spans="1:22" ht="18" x14ac:dyDescent="0.35">
      <c r="A22" s="61" t="s">
        <v>144</v>
      </c>
      <c r="B22" s="62">
        <v>2400</v>
      </c>
      <c r="C22" s="95" t="s">
        <v>137</v>
      </c>
      <c r="D22" s="129">
        <v>0</v>
      </c>
      <c r="F22" s="113" t="s">
        <v>28</v>
      </c>
      <c r="G22" s="114">
        <v>7760</v>
      </c>
      <c r="H22" s="115">
        <f>B29</f>
        <v>8717</v>
      </c>
      <c r="I22" s="116"/>
      <c r="J22" s="24"/>
      <c r="K22" s="210" t="s">
        <v>193</v>
      </c>
      <c r="L22" s="211"/>
      <c r="M22" s="24">
        <f>B33</f>
        <v>1000</v>
      </c>
      <c r="N22" s="24"/>
      <c r="O22" t="s">
        <v>136</v>
      </c>
      <c r="Q22">
        <f>SUM(Q20:Q21)</f>
        <v>21320</v>
      </c>
      <c r="U22" s="24"/>
      <c r="V22" s="24"/>
    </row>
    <row r="23" spans="1:22" ht="18" x14ac:dyDescent="0.35">
      <c r="A23" s="15" t="s">
        <v>13</v>
      </c>
      <c r="B23" s="30">
        <v>1020</v>
      </c>
      <c r="C23" s="95" t="s">
        <v>138</v>
      </c>
      <c r="D23" s="129">
        <f>D21-D22</f>
        <v>1300</v>
      </c>
      <c r="F23" s="36" t="s">
        <v>27</v>
      </c>
      <c r="G23" s="36">
        <v>9430</v>
      </c>
      <c r="H23" s="76">
        <f>B35</f>
        <v>9900</v>
      </c>
      <c r="I23" s="24"/>
      <c r="J23" s="24"/>
      <c r="K23" s="210" t="s">
        <v>42</v>
      </c>
      <c r="L23" s="211"/>
      <c r="M23" s="24">
        <f>-B32</f>
        <v>-1000</v>
      </c>
      <c r="N23" s="24"/>
      <c r="O23" t="s">
        <v>137</v>
      </c>
      <c r="Q23" s="24">
        <f>B22</f>
        <v>2400</v>
      </c>
      <c r="R23" t="s">
        <v>138</v>
      </c>
      <c r="S23" s="24">
        <f>S21+S15+S9</f>
        <v>-5337.6</v>
      </c>
      <c r="U23" s="101" t="s">
        <v>138</v>
      </c>
      <c r="V23" s="102">
        <f>V21+V16+V9</f>
        <v>-5564.6</v>
      </c>
    </row>
    <row r="24" spans="1:22" ht="18" x14ac:dyDescent="0.35">
      <c r="A24" s="9" t="s">
        <v>14</v>
      </c>
      <c r="B24" s="31">
        <v>150000</v>
      </c>
      <c r="C24" s="131" t="s">
        <v>132</v>
      </c>
      <c r="D24" s="125">
        <f>D23*0.05</f>
        <v>65</v>
      </c>
      <c r="F24" s="25" t="s">
        <v>70</v>
      </c>
      <c r="G24" s="25">
        <f>SUM(G22:G23)</f>
        <v>17190</v>
      </c>
      <c r="H24" s="77">
        <f>H22+H23</f>
        <v>18617</v>
      </c>
      <c r="K24" s="210" t="s">
        <v>309</v>
      </c>
      <c r="L24" s="211"/>
      <c r="M24" s="24">
        <f>SUM(M19:M23)</f>
        <v>7870</v>
      </c>
      <c r="O24" s="119" t="s">
        <v>138</v>
      </c>
      <c r="Q24" s="24">
        <f>Q22-Q23</f>
        <v>18920</v>
      </c>
      <c r="R24" t="s">
        <v>159</v>
      </c>
      <c r="S24" s="24">
        <f>S23+G5</f>
        <v>-3397.6000000000004</v>
      </c>
      <c r="U24" s="95" t="s">
        <v>177</v>
      </c>
      <c r="V24" s="96">
        <f>G5</f>
        <v>1940</v>
      </c>
    </row>
    <row r="25" spans="1:22" ht="18" x14ac:dyDescent="0.35">
      <c r="A25" s="213" t="s">
        <v>15</v>
      </c>
      <c r="B25" s="214">
        <v>985</v>
      </c>
      <c r="C25" s="123" t="s">
        <v>147</v>
      </c>
      <c r="D25" s="124">
        <f>D23-D24</f>
        <v>1235</v>
      </c>
      <c r="F25" s="25" t="s">
        <v>124</v>
      </c>
      <c r="K25" s="210" t="s">
        <v>196</v>
      </c>
      <c r="L25" s="211"/>
      <c r="O25" t="s">
        <v>110</v>
      </c>
      <c r="Q25">
        <f>Q24*0.1</f>
        <v>1892</v>
      </c>
      <c r="U25" s="97" t="s">
        <v>178</v>
      </c>
      <c r="V25" s="100">
        <f>V23+V24</f>
        <v>-3624.6000000000004</v>
      </c>
    </row>
    <row r="26" spans="1:22" ht="18" x14ac:dyDescent="0.35">
      <c r="A26" s="9" t="s">
        <v>16</v>
      </c>
      <c r="B26" s="31">
        <v>2450</v>
      </c>
      <c r="F26" s="37" t="s">
        <v>26</v>
      </c>
      <c r="G26" s="37">
        <v>5600</v>
      </c>
      <c r="H26" s="78">
        <f>G26-B17+B28</f>
        <v>13000</v>
      </c>
      <c r="K26" s="210" t="s">
        <v>310</v>
      </c>
      <c r="L26" s="210"/>
      <c r="M26" s="24">
        <f>M9+M16+M24</f>
        <v>3662.3999999999996</v>
      </c>
      <c r="O26" s="23" t="s">
        <v>139</v>
      </c>
      <c r="Q26" s="24">
        <f>Q24-Q25</f>
        <v>17028</v>
      </c>
    </row>
    <row r="27" spans="1:22" ht="18" x14ac:dyDescent="0.35">
      <c r="A27" s="9" t="s">
        <v>17</v>
      </c>
      <c r="B27" s="31">
        <v>750</v>
      </c>
      <c r="C27" s="132" t="s">
        <v>111</v>
      </c>
      <c r="D27" s="127"/>
      <c r="F27" s="25" t="s">
        <v>127</v>
      </c>
      <c r="G27" s="25">
        <f>G26+G24</f>
        <v>22790</v>
      </c>
      <c r="H27" s="77">
        <f>H26+H24</f>
        <v>31617</v>
      </c>
      <c r="K27" s="210" t="s">
        <v>194</v>
      </c>
      <c r="L27" s="210"/>
      <c r="M27">
        <f>G5</f>
        <v>1940</v>
      </c>
    </row>
    <row r="28" spans="1:22" ht="18" x14ac:dyDescent="0.35">
      <c r="A28" s="28" t="s">
        <v>18</v>
      </c>
      <c r="B28" s="32">
        <v>9000</v>
      </c>
      <c r="C28" s="95" t="s">
        <v>134</v>
      </c>
      <c r="D28" s="129">
        <f>G15</f>
        <v>6800</v>
      </c>
      <c r="K28" s="210" t="s">
        <v>195</v>
      </c>
      <c r="L28" s="211"/>
      <c r="M28" s="24">
        <f>M26+M27</f>
        <v>5602.4</v>
      </c>
    </row>
    <row r="29" spans="1:22" ht="15" x14ac:dyDescent="0.3">
      <c r="A29" s="28" t="s">
        <v>19</v>
      </c>
      <c r="B29" s="32">
        <v>8717</v>
      </c>
      <c r="C29" s="133" t="s">
        <v>188</v>
      </c>
      <c r="D29" s="135">
        <f>B5</f>
        <v>12000</v>
      </c>
      <c r="F29" s="25" t="s">
        <v>122</v>
      </c>
    </row>
    <row r="30" spans="1:22" ht="15" x14ac:dyDescent="0.3">
      <c r="A30" s="9" t="s">
        <v>20</v>
      </c>
      <c r="B30" s="31">
        <v>250</v>
      </c>
      <c r="C30" s="133" t="s">
        <v>189</v>
      </c>
      <c r="D30" s="136">
        <f>B13</f>
        <v>2500</v>
      </c>
      <c r="F30" s="34" t="s">
        <v>24</v>
      </c>
      <c r="G30" s="34">
        <v>7500</v>
      </c>
      <c r="H30" s="75">
        <f>G30+B32</f>
        <v>8500</v>
      </c>
      <c r="I30" s="24"/>
    </row>
    <row r="31" spans="1:22" ht="15" x14ac:dyDescent="0.3">
      <c r="A31" s="9" t="s">
        <v>21</v>
      </c>
      <c r="B31" s="31">
        <v>50</v>
      </c>
      <c r="C31" s="133" t="s">
        <v>104</v>
      </c>
      <c r="D31" s="137">
        <f>B20</f>
        <v>20</v>
      </c>
      <c r="F31" s="34" t="s">
        <v>148</v>
      </c>
      <c r="G31" s="34">
        <v>3750</v>
      </c>
      <c r="H31" s="75">
        <f>G31+D48</f>
        <v>8048.4</v>
      </c>
      <c r="I31" s="24"/>
      <c r="J31" s="24"/>
      <c r="K31" s="24"/>
      <c r="L31" s="24"/>
      <c r="M31" s="24"/>
      <c r="N31" s="24"/>
    </row>
    <row r="32" spans="1:22" ht="15" x14ac:dyDescent="0.3">
      <c r="A32" s="120" t="s">
        <v>98</v>
      </c>
      <c r="B32" s="121">
        <v>1000</v>
      </c>
      <c r="C32" s="95" t="s">
        <v>135</v>
      </c>
      <c r="D32" s="130">
        <f>SUM(D29:D31)</f>
        <v>14520</v>
      </c>
      <c r="F32" s="33" t="s">
        <v>125</v>
      </c>
      <c r="G32" s="33">
        <f>G30+G31</f>
        <v>11250</v>
      </c>
      <c r="H32" s="79">
        <f>H30+H31</f>
        <v>16548.400000000001</v>
      </c>
    </row>
    <row r="33" spans="1:9" ht="15" x14ac:dyDescent="0.3">
      <c r="A33" s="15" t="s">
        <v>113</v>
      </c>
      <c r="B33" s="30">
        <v>1000</v>
      </c>
      <c r="C33" s="97" t="s">
        <v>136</v>
      </c>
      <c r="D33" s="134">
        <f>D32+D28</f>
        <v>21320</v>
      </c>
      <c r="E33" s="122"/>
      <c r="F33" s="25" t="s">
        <v>126</v>
      </c>
      <c r="G33" s="25">
        <f>G32+G27</f>
        <v>34040</v>
      </c>
      <c r="H33" s="77">
        <f>H32+H27</f>
        <v>48165.4</v>
      </c>
      <c r="I33" s="24"/>
    </row>
    <row r="34" spans="1:9" ht="15" x14ac:dyDescent="0.3">
      <c r="A34" s="26" t="s">
        <v>164</v>
      </c>
      <c r="C34" t="s">
        <v>137</v>
      </c>
      <c r="D34" s="45">
        <f>B22</f>
        <v>2400</v>
      </c>
    </row>
    <row r="35" spans="1:9" ht="16.2" thickBot="1" x14ac:dyDescent="0.35">
      <c r="A35" s="217" t="s">
        <v>22</v>
      </c>
      <c r="B35" s="218">
        <v>9900</v>
      </c>
      <c r="C35" t="s">
        <v>138</v>
      </c>
      <c r="D35" s="24">
        <f>D33-D34</f>
        <v>18920</v>
      </c>
    </row>
    <row r="36" spans="1:9" ht="15" x14ac:dyDescent="0.3">
      <c r="C36" t="s">
        <v>133</v>
      </c>
      <c r="D36" s="67">
        <f>D35*0.1</f>
        <v>1892</v>
      </c>
      <c r="F36" s="14" t="s">
        <v>105</v>
      </c>
    </row>
    <row r="37" spans="1:9" ht="15" x14ac:dyDescent="0.3">
      <c r="C37" t="s">
        <v>181</v>
      </c>
      <c r="D37" s="44">
        <f>D35-D36</f>
        <v>17028</v>
      </c>
      <c r="F37" s="27" t="s">
        <v>39</v>
      </c>
    </row>
    <row r="38" spans="1:9" ht="15" x14ac:dyDescent="0.3">
      <c r="F38" s="27" t="s">
        <v>114</v>
      </c>
    </row>
    <row r="39" spans="1:9" ht="15" x14ac:dyDescent="0.3">
      <c r="C39" s="68" t="s">
        <v>145</v>
      </c>
      <c r="D39" s="49">
        <f>D36+D24</f>
        <v>1957</v>
      </c>
      <c r="F39" s="14" t="s">
        <v>118</v>
      </c>
    </row>
    <row r="40" spans="1:9" ht="15" x14ac:dyDescent="0.3">
      <c r="C40" s="58"/>
      <c r="D40" s="44"/>
      <c r="F40" s="14"/>
    </row>
    <row r="41" spans="1:9" ht="15" x14ac:dyDescent="0.3">
      <c r="B41" s="24" t="s">
        <v>274</v>
      </c>
      <c r="C41" s="68" t="s">
        <v>107</v>
      </c>
      <c r="D41" s="49">
        <f>D39+B3+B4+B6+B8+B9+B10+B16+B19+B21+B26+B27+B30+B31</f>
        <v>58857</v>
      </c>
      <c r="F41" s="14" t="s">
        <v>83</v>
      </c>
    </row>
    <row r="42" spans="1:9" ht="15" x14ac:dyDescent="0.3">
      <c r="C42" s="58" t="s">
        <v>91</v>
      </c>
      <c r="D42" s="44">
        <f>D16-D41</f>
        <v>7643</v>
      </c>
      <c r="F42" s="14" t="s">
        <v>80</v>
      </c>
    </row>
    <row r="43" spans="1:9" ht="15" x14ac:dyDescent="0.3">
      <c r="A43" t="s">
        <v>280</v>
      </c>
      <c r="C43" s="58" t="s">
        <v>108</v>
      </c>
      <c r="D43" s="44">
        <f>B23</f>
        <v>1020</v>
      </c>
      <c r="F43" s="14" t="s">
        <v>115</v>
      </c>
    </row>
    <row r="44" spans="1:9" ht="15.6" x14ac:dyDescent="0.3">
      <c r="A44" t="s">
        <v>281</v>
      </c>
      <c r="C44" s="84" t="s">
        <v>41</v>
      </c>
      <c r="D44" s="85">
        <f>D42-D43</f>
        <v>6623</v>
      </c>
      <c r="F44" s="14" t="s">
        <v>116</v>
      </c>
    </row>
    <row r="45" spans="1:9" ht="15.6" x14ac:dyDescent="0.3">
      <c r="A45" t="s">
        <v>282</v>
      </c>
      <c r="C45" s="83" t="s">
        <v>306</v>
      </c>
      <c r="D45" s="83">
        <f>D44*0.2</f>
        <v>1324.6000000000001</v>
      </c>
      <c r="F45" s="14" t="s">
        <v>117</v>
      </c>
    </row>
    <row r="46" spans="1:9" ht="18" x14ac:dyDescent="0.35">
      <c r="A46" t="s">
        <v>283</v>
      </c>
      <c r="C46" s="82" t="s">
        <v>165</v>
      </c>
      <c r="D46" s="82">
        <f>D44-D45</f>
        <v>5298.4</v>
      </c>
      <c r="F46" s="29" t="s">
        <v>83</v>
      </c>
    </row>
    <row r="47" spans="1:9" ht="15" x14ac:dyDescent="0.3">
      <c r="A47" t="s">
        <v>284</v>
      </c>
      <c r="C47" s="69" t="s">
        <v>42</v>
      </c>
      <c r="D47" s="50">
        <v>1000</v>
      </c>
      <c r="F47" s="14" t="s">
        <v>105</v>
      </c>
    </row>
    <row r="48" spans="1:9" ht="17.399999999999999" x14ac:dyDescent="0.3">
      <c r="A48" t="s">
        <v>285</v>
      </c>
      <c r="C48" s="143" t="s">
        <v>307</v>
      </c>
      <c r="D48" s="144">
        <f>D46-D47</f>
        <v>4298.3999999999996</v>
      </c>
    </row>
    <row r="49" spans="1:4" ht="15" x14ac:dyDescent="0.3">
      <c r="A49" t="s">
        <v>286</v>
      </c>
      <c r="C49" s="51"/>
      <c r="D49" s="51"/>
    </row>
    <row r="50" spans="1:4" ht="15" x14ac:dyDescent="0.3">
      <c r="A50" t="s">
        <v>287</v>
      </c>
      <c r="C50" s="51"/>
      <c r="D50" s="51"/>
    </row>
    <row r="51" spans="1:4" ht="15" x14ac:dyDescent="0.3">
      <c r="A51" t="s">
        <v>288</v>
      </c>
      <c r="C51" s="49"/>
      <c r="D51" s="49"/>
    </row>
    <row r="52" spans="1:4" ht="15" x14ac:dyDescent="0.3">
      <c r="A52" t="s">
        <v>289</v>
      </c>
      <c r="C52" s="49"/>
      <c r="D52" s="49"/>
    </row>
    <row r="53" spans="1:4" ht="15" x14ac:dyDescent="0.3">
      <c r="A53" t="s">
        <v>290</v>
      </c>
      <c r="C53" s="44"/>
      <c r="D53" s="44"/>
    </row>
    <row r="54" spans="1:4" ht="15" x14ac:dyDescent="0.3">
      <c r="A54" t="s">
        <v>291</v>
      </c>
      <c r="C54" s="51"/>
      <c r="D54" s="51"/>
    </row>
    <row r="55" spans="1:4" ht="15" x14ac:dyDescent="0.3">
      <c r="A55" t="s">
        <v>292</v>
      </c>
      <c r="C55" s="44"/>
      <c r="D55" s="44"/>
    </row>
    <row r="56" spans="1:4" ht="15" x14ac:dyDescent="0.3">
      <c r="A56" t="s">
        <v>293</v>
      </c>
      <c r="C56" s="49"/>
      <c r="D56" s="49"/>
    </row>
    <row r="57" spans="1:4" ht="15" x14ac:dyDescent="0.3">
      <c r="A57" t="s">
        <v>294</v>
      </c>
      <c r="C57" s="52"/>
      <c r="D57" s="52"/>
    </row>
    <row r="58" spans="1:4" ht="15" x14ac:dyDescent="0.3">
      <c r="A58" t="s">
        <v>295</v>
      </c>
      <c r="C58" s="53"/>
      <c r="D58" s="53"/>
    </row>
    <row r="59" spans="1:4" ht="15" x14ac:dyDescent="0.3">
      <c r="A59" t="s">
        <v>296</v>
      </c>
      <c r="C59" s="46"/>
      <c r="D59" s="46"/>
    </row>
    <row r="60" spans="1:4" ht="15" x14ac:dyDescent="0.3">
      <c r="A60" t="s">
        <v>297</v>
      </c>
      <c r="C60" s="156"/>
      <c r="D60" s="156"/>
    </row>
    <row r="61" spans="1:4" ht="15" x14ac:dyDescent="0.3">
      <c r="A61" t="s">
        <v>298</v>
      </c>
      <c r="C61" s="44"/>
      <c r="D61" s="44"/>
    </row>
    <row r="62" spans="1:4" ht="15" x14ac:dyDescent="0.3">
      <c r="A62" s="145" t="s">
        <v>198</v>
      </c>
      <c r="B62" s="145"/>
      <c r="C62" s="45"/>
      <c r="D62" s="45"/>
    </row>
    <row r="63" spans="1:4" ht="15" x14ac:dyDescent="0.3">
      <c r="A63" s="138" t="s">
        <v>299</v>
      </c>
      <c r="B63" s="44"/>
      <c r="C63" s="45"/>
      <c r="D63" s="45"/>
    </row>
    <row r="64" spans="1:4" ht="15" x14ac:dyDescent="0.3">
      <c r="A64" s="138" t="s">
        <v>300</v>
      </c>
      <c r="B64" s="44"/>
      <c r="C64" s="44"/>
      <c r="D64" s="44"/>
    </row>
    <row r="65" spans="1:4" ht="15" x14ac:dyDescent="0.3">
      <c r="A65" s="146" t="s">
        <v>284</v>
      </c>
      <c r="B65" s="49"/>
      <c r="C65" s="44"/>
      <c r="D65" s="44"/>
    </row>
    <row r="66" spans="1:4" ht="15" x14ac:dyDescent="0.3">
      <c r="A66" s="138" t="s">
        <v>301</v>
      </c>
      <c r="B66" s="44"/>
      <c r="C66" s="55"/>
      <c r="D66" s="55"/>
    </row>
    <row r="67" spans="1:4" ht="15" x14ac:dyDescent="0.3">
      <c r="A67" s="146" t="s">
        <v>302</v>
      </c>
      <c r="B67" s="49"/>
      <c r="C67" s="56"/>
      <c r="D67" s="56"/>
    </row>
    <row r="68" spans="1:4" ht="15" x14ac:dyDescent="0.3">
      <c r="A68" s="138" t="s">
        <v>303</v>
      </c>
      <c r="B68" s="44"/>
      <c r="C68" s="45"/>
      <c r="D68" s="45"/>
    </row>
    <row r="69" spans="1:4" ht="15" x14ac:dyDescent="0.3">
      <c r="A69" s="138" t="s">
        <v>304</v>
      </c>
      <c r="B69" s="44"/>
    </row>
    <row r="70" spans="1:4" ht="15" x14ac:dyDescent="0.3">
      <c r="A70" s="138" t="s">
        <v>305</v>
      </c>
      <c r="B70" s="44"/>
      <c r="C70" s="56"/>
      <c r="D70" s="56"/>
    </row>
    <row r="71" spans="1:4" ht="15" x14ac:dyDescent="0.3">
      <c r="A71" s="147"/>
      <c r="B71" s="50"/>
      <c r="C71" s="53"/>
      <c r="D71" s="53"/>
    </row>
    <row r="72" spans="1:4" ht="15" x14ac:dyDescent="0.3">
      <c r="A72" s="148"/>
      <c r="B72" s="51"/>
      <c r="C72" s="53"/>
      <c r="D72" s="53"/>
    </row>
    <row r="73" spans="1:4" ht="15" x14ac:dyDescent="0.3">
      <c r="A73" s="148"/>
      <c r="B73" s="51"/>
      <c r="C73" s="56"/>
      <c r="D73" s="56"/>
    </row>
    <row r="74" spans="1:4" ht="15" x14ac:dyDescent="0.3">
      <c r="A74" s="149"/>
      <c r="B74" s="150"/>
      <c r="C74" s="56"/>
      <c r="D74" s="56"/>
    </row>
    <row r="75" spans="1:4" ht="15" x14ac:dyDescent="0.3">
      <c r="A75" s="148"/>
      <c r="B75" s="51"/>
      <c r="C75" s="56"/>
      <c r="D75" s="56"/>
    </row>
    <row r="76" spans="1:4" ht="15" x14ac:dyDescent="0.3">
      <c r="A76" s="148"/>
      <c r="B76" s="51"/>
      <c r="C76" s="56"/>
      <c r="D76" s="56"/>
    </row>
    <row r="77" spans="1:4" ht="15" x14ac:dyDescent="0.3">
      <c r="A77" s="146"/>
      <c r="B77" s="49"/>
      <c r="C77" s="56"/>
      <c r="D77" s="56"/>
    </row>
    <row r="78" spans="1:4" ht="15" x14ac:dyDescent="0.3">
      <c r="A78" s="146"/>
      <c r="B78" s="49"/>
      <c r="C78" s="56"/>
      <c r="D78" s="56"/>
    </row>
    <row r="79" spans="1:4" ht="15" x14ac:dyDescent="0.3">
      <c r="A79" s="138"/>
      <c r="B79" s="44"/>
      <c r="C79" s="56"/>
      <c r="D79" s="56"/>
    </row>
    <row r="80" spans="1:4" ht="15.6" x14ac:dyDescent="0.3">
      <c r="A80" s="148"/>
      <c r="B80" s="51"/>
      <c r="C80" s="57"/>
      <c r="D80" s="57"/>
    </row>
    <row r="81" spans="1:14" ht="15" x14ac:dyDescent="0.3">
      <c r="A81" s="138"/>
      <c r="B81" s="44"/>
      <c r="C81" s="56"/>
      <c r="D81" s="56"/>
    </row>
    <row r="82" spans="1:14" ht="15" x14ac:dyDescent="0.3">
      <c r="A82" s="146"/>
      <c r="B82" s="49"/>
    </row>
    <row r="83" spans="1:14" ht="15.6" thickBot="1" x14ac:dyDescent="0.35">
      <c r="A83" s="151"/>
      <c r="B83" s="52"/>
    </row>
    <row r="84" spans="1:14" ht="15" x14ac:dyDescent="0.3">
      <c r="A84" s="152"/>
      <c r="B84" s="53"/>
      <c r="C84" s="48"/>
      <c r="D84" s="48"/>
      <c r="F84" s="223" t="s">
        <v>65</v>
      </c>
      <c r="G84" s="224"/>
      <c r="H84" s="71"/>
    </row>
    <row r="85" spans="1:14" ht="15.6" x14ac:dyDescent="0.3">
      <c r="A85" s="153"/>
      <c r="B85" s="54"/>
      <c r="C85" s="44"/>
      <c r="D85" s="44"/>
      <c r="F85" s="3" t="s">
        <v>23</v>
      </c>
      <c r="G85" s="4"/>
      <c r="H85" s="72"/>
    </row>
    <row r="86" spans="1:14" ht="15" x14ac:dyDescent="0.3">
      <c r="A86" s="138"/>
      <c r="B86" s="44"/>
      <c r="C86" s="44"/>
      <c r="D86" s="44"/>
      <c r="F86" s="1" t="s">
        <v>24</v>
      </c>
      <c r="G86" s="2">
        <v>7500</v>
      </c>
      <c r="H86" s="2"/>
      <c r="I86" s="2">
        <f>G86+B140</f>
        <v>7500</v>
      </c>
      <c r="J86" s="80"/>
      <c r="K86" s="80"/>
      <c r="L86" s="80"/>
      <c r="M86" s="80"/>
      <c r="N86" s="80"/>
    </row>
    <row r="87" spans="1:14" ht="15" x14ac:dyDescent="0.3">
      <c r="A87" s="138"/>
      <c r="B87" s="44"/>
      <c r="C87" s="45"/>
      <c r="D87" s="45"/>
      <c r="F87" s="1" t="s">
        <v>25</v>
      </c>
      <c r="G87" s="2">
        <v>3250</v>
      </c>
      <c r="H87" s="2"/>
      <c r="I87" s="2">
        <f>G87+G147</f>
        <v>-7201</v>
      </c>
      <c r="J87" s="80"/>
      <c r="K87" s="80"/>
      <c r="L87" s="80"/>
      <c r="M87" s="80"/>
      <c r="N87" s="80"/>
    </row>
    <row r="88" spans="1:14" ht="15" x14ac:dyDescent="0.3">
      <c r="A88" s="140"/>
      <c r="B88" s="45"/>
      <c r="C88" s="44"/>
      <c r="D88" s="44"/>
      <c r="F88" s="1" t="s">
        <v>26</v>
      </c>
      <c r="G88" s="2">
        <v>5600</v>
      </c>
      <c r="H88" s="2"/>
      <c r="I88" s="2">
        <f>G88-B124+B135</f>
        <v>5600</v>
      </c>
      <c r="J88" s="80"/>
      <c r="K88" s="80"/>
      <c r="L88" s="80"/>
      <c r="M88" s="80"/>
      <c r="N88" s="80"/>
    </row>
    <row r="89" spans="1:14" ht="15" x14ac:dyDescent="0.3">
      <c r="A89" s="140"/>
      <c r="B89" s="45"/>
      <c r="C89" s="45"/>
      <c r="D89" s="45"/>
      <c r="F89" s="1" t="s">
        <v>27</v>
      </c>
      <c r="G89" s="2">
        <v>9430</v>
      </c>
      <c r="H89" s="2"/>
      <c r="I89" s="2">
        <f>B141</f>
        <v>0</v>
      </c>
      <c r="J89" s="80"/>
      <c r="K89" s="80"/>
      <c r="L89" s="80"/>
      <c r="M89" s="80"/>
      <c r="N89" s="80"/>
    </row>
    <row r="90" spans="1:14" ht="15" x14ac:dyDescent="0.3">
      <c r="A90" s="138"/>
      <c r="B90" s="44"/>
      <c r="C90" s="44"/>
      <c r="D90" s="44"/>
      <c r="F90" s="1" t="s">
        <v>28</v>
      </c>
      <c r="G90" s="2">
        <v>7760</v>
      </c>
      <c r="H90" s="2"/>
      <c r="I90" s="2">
        <f>B136</f>
        <v>0</v>
      </c>
      <c r="J90" s="80"/>
      <c r="K90" s="80"/>
      <c r="L90" s="80"/>
      <c r="M90" s="80"/>
      <c r="N90" s="80"/>
    </row>
    <row r="91" spans="1:14" ht="15.6" x14ac:dyDescent="0.3">
      <c r="A91" s="138"/>
      <c r="B91" s="44"/>
      <c r="C91" s="44"/>
      <c r="D91" s="44"/>
      <c r="F91" s="3" t="s">
        <v>44</v>
      </c>
      <c r="G91" s="5">
        <v>33540</v>
      </c>
      <c r="H91" s="5"/>
      <c r="I91" s="5">
        <f>SUM(I86:I90)</f>
        <v>5899</v>
      </c>
      <c r="J91" s="81"/>
      <c r="K91" s="81"/>
      <c r="L91" s="81"/>
      <c r="M91" s="81"/>
      <c r="N91" s="81"/>
    </row>
    <row r="92" spans="1:14" ht="15" x14ac:dyDescent="0.3">
      <c r="A92" s="142"/>
      <c r="B92" s="55"/>
      <c r="C92" s="44"/>
      <c r="D92" s="44"/>
      <c r="F92" s="6"/>
      <c r="G92" s="4"/>
      <c r="H92" s="72"/>
    </row>
    <row r="93" spans="1:14" ht="15" x14ac:dyDescent="0.3">
      <c r="A93" s="139"/>
      <c r="B93" s="56"/>
      <c r="C93" s="45"/>
      <c r="D93" s="45"/>
      <c r="F93" s="1" t="s">
        <v>29</v>
      </c>
      <c r="G93" s="4"/>
      <c r="H93" s="72"/>
    </row>
    <row r="94" spans="1:14" ht="15.6" x14ac:dyDescent="0.3">
      <c r="A94" s="140"/>
      <c r="B94" s="45"/>
      <c r="C94" s="46"/>
      <c r="D94" s="46"/>
      <c r="F94" s="10" t="s">
        <v>45</v>
      </c>
      <c r="G94" s="4"/>
      <c r="H94" s="72"/>
    </row>
    <row r="95" spans="1:14" ht="15" x14ac:dyDescent="0.3">
      <c r="A95" s="72"/>
      <c r="B95" s="154"/>
      <c r="C95" s="46"/>
      <c r="D95" s="46"/>
      <c r="F95" s="1" t="s">
        <v>30</v>
      </c>
      <c r="G95" s="2">
        <v>500</v>
      </c>
      <c r="H95" s="2"/>
      <c r="I95" s="2">
        <v>500</v>
      </c>
      <c r="J95" s="80"/>
      <c r="K95" s="80"/>
      <c r="L95" s="80"/>
      <c r="M95" s="80"/>
      <c r="N95" s="80"/>
    </row>
    <row r="96" spans="1:14" ht="15" x14ac:dyDescent="0.3">
      <c r="A96" s="139"/>
      <c r="B96" s="56"/>
      <c r="C96" s="46"/>
      <c r="D96" s="46"/>
      <c r="F96" s="1" t="s">
        <v>31</v>
      </c>
      <c r="G96" s="2">
        <v>1000</v>
      </c>
      <c r="H96" s="2"/>
      <c r="I96" s="2">
        <f>G113</f>
        <v>950</v>
      </c>
      <c r="J96" s="80"/>
      <c r="K96" s="80"/>
      <c r="L96" s="80"/>
      <c r="M96" s="80"/>
      <c r="N96" s="80"/>
    </row>
    <row r="97" spans="1:15" ht="15" x14ac:dyDescent="0.3">
      <c r="A97" s="152"/>
      <c r="B97" s="53"/>
      <c r="C97" s="46"/>
      <c r="D97" s="46"/>
      <c r="F97" s="1" t="s">
        <v>32</v>
      </c>
      <c r="G97" s="2">
        <v>6800</v>
      </c>
      <c r="H97" s="2"/>
      <c r="I97" s="2">
        <f>G125</f>
        <v>6120</v>
      </c>
      <c r="J97" s="80"/>
      <c r="K97" s="80"/>
      <c r="L97" s="80"/>
      <c r="M97" s="80"/>
      <c r="N97" s="80"/>
    </row>
    <row r="98" spans="1:15" ht="15.6" x14ac:dyDescent="0.3">
      <c r="A98" s="152"/>
      <c r="B98" s="53"/>
      <c r="C98" s="45"/>
      <c r="D98" s="45"/>
      <c r="F98" s="10" t="s">
        <v>33</v>
      </c>
      <c r="G98" s="4"/>
      <c r="H98" s="4"/>
      <c r="I98" s="2"/>
      <c r="J98" s="80"/>
      <c r="K98" s="80"/>
      <c r="L98" s="80"/>
      <c r="M98" s="80"/>
      <c r="N98" s="80"/>
      <c r="O98">
        <f>SUM(O95:O97)</f>
        <v>0</v>
      </c>
    </row>
    <row r="99" spans="1:15" ht="15" x14ac:dyDescent="0.3">
      <c r="A99" s="139"/>
      <c r="B99" s="56"/>
      <c r="C99" s="45"/>
      <c r="D99" s="45"/>
      <c r="F99" s="1" t="s">
        <v>34</v>
      </c>
      <c r="G99" s="2">
        <v>14200</v>
      </c>
      <c r="H99" s="2"/>
      <c r="I99" s="2">
        <f>B115</f>
        <v>0</v>
      </c>
      <c r="J99" s="80"/>
      <c r="K99" s="80"/>
      <c r="L99" s="80"/>
      <c r="M99" s="80"/>
      <c r="N99" s="80"/>
    </row>
    <row r="100" spans="1:15" ht="15" x14ac:dyDescent="0.3">
      <c r="A100" s="139"/>
      <c r="B100" s="56"/>
      <c r="C100" s="44"/>
      <c r="D100" s="44"/>
      <c r="F100" s="1" t="s">
        <v>35</v>
      </c>
      <c r="G100" s="2">
        <v>9100</v>
      </c>
      <c r="H100" s="2"/>
      <c r="I100" s="2">
        <f>B125</f>
        <v>0</v>
      </c>
      <c r="J100" s="80"/>
      <c r="K100" s="80"/>
      <c r="L100" s="80"/>
      <c r="M100" s="80"/>
      <c r="N100" s="80"/>
    </row>
    <row r="101" spans="1:15" ht="28.5" customHeight="1" x14ac:dyDescent="0.3">
      <c r="A101" s="139"/>
      <c r="B101" s="56"/>
      <c r="C101" s="46"/>
      <c r="D101" s="46"/>
      <c r="F101" s="11" t="s">
        <v>48</v>
      </c>
      <c r="G101" s="12">
        <v>500</v>
      </c>
      <c r="H101" s="12"/>
      <c r="I101" s="2">
        <f>G101-B123</f>
        <v>500</v>
      </c>
      <c r="J101" s="80"/>
      <c r="K101" s="80"/>
      <c r="L101" s="80"/>
      <c r="M101" s="80"/>
      <c r="N101" s="80"/>
    </row>
    <row r="102" spans="1:15" ht="15" x14ac:dyDescent="0.3">
      <c r="A102" s="139"/>
      <c r="B102" s="56"/>
      <c r="C102" s="44"/>
      <c r="D102" s="44"/>
      <c r="F102" s="1" t="s">
        <v>36</v>
      </c>
      <c r="G102" s="2">
        <v>1940</v>
      </c>
      <c r="H102" s="2"/>
      <c r="I102" s="2">
        <f>B132</f>
        <v>0</v>
      </c>
      <c r="J102" s="80"/>
      <c r="K102" s="80"/>
      <c r="L102" s="80"/>
      <c r="M102" s="80"/>
      <c r="N102" s="80"/>
    </row>
    <row r="103" spans="1:15" ht="16.2" thickBot="1" x14ac:dyDescent="0.35">
      <c r="A103" s="139"/>
      <c r="B103" s="56"/>
      <c r="C103" s="45"/>
      <c r="D103" s="45"/>
      <c r="F103" s="7" t="s">
        <v>37</v>
      </c>
      <c r="G103" s="8">
        <v>33540</v>
      </c>
      <c r="H103" s="73"/>
      <c r="I103" s="2">
        <f>SUM(I95:I102)</f>
        <v>8070</v>
      </c>
      <c r="J103" s="80"/>
      <c r="K103" s="80"/>
      <c r="L103" s="80"/>
      <c r="M103" s="80"/>
      <c r="N103" s="80"/>
      <c r="O103">
        <f>SUM(O99:O102)</f>
        <v>0</v>
      </c>
    </row>
    <row r="104" spans="1:15" ht="15" x14ac:dyDescent="0.3">
      <c r="A104" s="139"/>
      <c r="B104" s="56"/>
      <c r="C104" s="45"/>
      <c r="D104" s="45"/>
    </row>
    <row r="105" spans="1:15" ht="18" x14ac:dyDescent="0.35">
      <c r="A105" s="139"/>
      <c r="B105" s="56"/>
      <c r="C105" s="45"/>
      <c r="D105" s="45"/>
      <c r="F105" s="22" t="s">
        <v>51</v>
      </c>
    </row>
    <row r="106" spans="1:15" ht="15.6" x14ac:dyDescent="0.3">
      <c r="A106" s="155"/>
      <c r="B106" s="57"/>
      <c r="C106" s="45"/>
      <c r="D106" s="45"/>
      <c r="F106" s="13" t="s">
        <v>52</v>
      </c>
    </row>
    <row r="107" spans="1:15" ht="15" x14ac:dyDescent="0.3">
      <c r="A107" s="139"/>
      <c r="B107" s="56"/>
      <c r="C107" s="44"/>
      <c r="D107" s="44"/>
      <c r="F107" s="15" t="s">
        <v>31</v>
      </c>
    </row>
    <row r="108" spans="1:15" ht="30" x14ac:dyDescent="0.3">
      <c r="C108" s="44"/>
      <c r="D108" s="44"/>
      <c r="F108" s="17" t="s">
        <v>53</v>
      </c>
      <c r="G108" s="16">
        <f>G96</f>
        <v>1000</v>
      </c>
      <c r="H108" s="67"/>
    </row>
    <row r="109" spans="1:15" ht="15" x14ac:dyDescent="0.3">
      <c r="C109" s="45"/>
      <c r="D109" s="45"/>
      <c r="F109" s="15" t="s">
        <v>57</v>
      </c>
      <c r="G109" s="16">
        <f>B121</f>
        <v>0</v>
      </c>
      <c r="H109" s="67"/>
      <c r="I109" t="s">
        <v>55</v>
      </c>
    </row>
    <row r="110" spans="1:15" ht="15" x14ac:dyDescent="0.3">
      <c r="A110" s="48"/>
      <c r="B110" s="48"/>
      <c r="C110" s="45"/>
      <c r="D110" s="45"/>
      <c r="F110" s="15" t="s">
        <v>58</v>
      </c>
      <c r="G110" s="16">
        <f>B120</f>
        <v>0</v>
      </c>
      <c r="H110" s="67"/>
      <c r="I110" t="s">
        <v>56</v>
      </c>
    </row>
    <row r="111" spans="1:15" ht="15" x14ac:dyDescent="0.3">
      <c r="A111" s="138"/>
      <c r="B111" s="44"/>
      <c r="C111" s="44"/>
      <c r="D111" s="44"/>
      <c r="F111" s="15" t="s">
        <v>59</v>
      </c>
      <c r="G111" s="16">
        <f>G108+G109-G110</f>
        <v>1000</v>
      </c>
      <c r="H111" s="67"/>
      <c r="I111" t="s">
        <v>60</v>
      </c>
    </row>
    <row r="112" spans="1:15" ht="15" x14ac:dyDescent="0.3">
      <c r="A112" s="138"/>
      <c r="B112" s="44"/>
      <c r="C112" s="44"/>
      <c r="D112" s="44"/>
      <c r="F112" s="15" t="s">
        <v>61</v>
      </c>
      <c r="G112" s="16">
        <f>G111*0.05</f>
        <v>50</v>
      </c>
      <c r="H112" s="67"/>
    </row>
    <row r="113" spans="1:15" ht="15" x14ac:dyDescent="0.3">
      <c r="A113" s="139"/>
      <c r="B113" s="45"/>
      <c r="C113" s="55"/>
      <c r="D113" s="55"/>
      <c r="F113" s="15" t="s">
        <v>75</v>
      </c>
      <c r="G113" s="16">
        <f>G111-G112</f>
        <v>950</v>
      </c>
      <c r="H113" s="67"/>
      <c r="I113" t="s">
        <v>76</v>
      </c>
    </row>
    <row r="114" spans="1:15" ht="15" x14ac:dyDescent="0.3">
      <c r="A114" s="138"/>
      <c r="B114" s="44"/>
      <c r="C114" s="56"/>
      <c r="D114" s="56"/>
      <c r="F114" s="15" t="s">
        <v>62</v>
      </c>
      <c r="G114" s="16"/>
      <c r="H114" s="67"/>
    </row>
    <row r="115" spans="1:15" ht="15" x14ac:dyDescent="0.3">
      <c r="A115" s="140"/>
      <c r="B115" s="45"/>
      <c r="C115" s="45"/>
      <c r="D115" s="45"/>
      <c r="F115" s="15" t="s">
        <v>63</v>
      </c>
      <c r="G115" s="16">
        <f>G97</f>
        <v>6800</v>
      </c>
      <c r="H115" s="67"/>
      <c r="I115" t="s">
        <v>64</v>
      </c>
    </row>
    <row r="116" spans="1:15" ht="15" x14ac:dyDescent="0.3">
      <c r="A116" s="138"/>
      <c r="B116" s="44"/>
      <c r="F116" s="15" t="s">
        <v>54</v>
      </c>
      <c r="G116" s="16"/>
      <c r="H116" s="67"/>
    </row>
    <row r="117" spans="1:15" ht="15" x14ac:dyDescent="0.3">
      <c r="A117" s="138"/>
      <c r="B117" s="44"/>
      <c r="F117" s="15" t="s">
        <v>67</v>
      </c>
      <c r="G117" s="16">
        <f>B113</f>
        <v>0</v>
      </c>
      <c r="H117" s="67"/>
      <c r="I117" t="s">
        <v>68</v>
      </c>
    </row>
    <row r="118" spans="1:15" ht="15" x14ac:dyDescent="0.3">
      <c r="A118" s="138"/>
      <c r="B118" s="44"/>
      <c r="F118" s="18" t="s">
        <v>46</v>
      </c>
      <c r="G118" s="19">
        <f>B121</f>
        <v>0</v>
      </c>
      <c r="H118" s="74"/>
      <c r="I118" s="20" t="s">
        <v>55</v>
      </c>
      <c r="J118" s="20"/>
      <c r="K118" s="20"/>
      <c r="L118" s="20"/>
      <c r="M118" s="20"/>
      <c r="N118" s="20"/>
      <c r="O118" s="21" t="s">
        <v>102</v>
      </c>
    </row>
    <row r="119" spans="1:15" ht="15" x14ac:dyDescent="0.3">
      <c r="A119" s="140"/>
      <c r="B119" s="45"/>
      <c r="F119" s="15" t="s">
        <v>47</v>
      </c>
      <c r="G119" s="16">
        <f>B122</f>
        <v>0</v>
      </c>
      <c r="H119" s="67"/>
      <c r="I119" t="s">
        <v>69</v>
      </c>
    </row>
    <row r="120" spans="1:15" ht="15" x14ac:dyDescent="0.3">
      <c r="A120" s="141"/>
      <c r="B120" s="46"/>
      <c r="F120" s="15" t="s">
        <v>50</v>
      </c>
      <c r="G120" s="16">
        <f>B127</f>
        <v>0</v>
      </c>
      <c r="H120" s="67"/>
      <c r="I120" t="s">
        <v>71</v>
      </c>
    </row>
    <row r="121" spans="1:15" ht="15" x14ac:dyDescent="0.3">
      <c r="A121" s="141"/>
      <c r="B121" s="46"/>
      <c r="F121" s="15" t="s">
        <v>70</v>
      </c>
      <c r="G121" s="16">
        <f>G115+G117+G119+G120</f>
        <v>6800</v>
      </c>
      <c r="H121" s="67"/>
    </row>
    <row r="122" spans="1:15" ht="15" x14ac:dyDescent="0.3">
      <c r="A122" s="141"/>
      <c r="B122" s="46"/>
      <c r="F122" s="15" t="s">
        <v>72</v>
      </c>
      <c r="G122" s="16">
        <f>B129</f>
        <v>0</v>
      </c>
      <c r="H122" s="67"/>
    </row>
    <row r="123" spans="1:15" ht="15" x14ac:dyDescent="0.3">
      <c r="A123" s="141"/>
      <c r="B123" s="46"/>
      <c r="F123" s="15" t="s">
        <v>73</v>
      </c>
      <c r="G123" s="16">
        <f>G121-G122</f>
        <v>6800</v>
      </c>
      <c r="H123" s="67"/>
    </row>
    <row r="124" spans="1:15" ht="15" x14ac:dyDescent="0.3">
      <c r="A124" s="140"/>
      <c r="B124" s="45"/>
      <c r="F124" s="15" t="s">
        <v>74</v>
      </c>
      <c r="G124" s="16">
        <f>G123*0.1</f>
        <v>680</v>
      </c>
      <c r="H124" s="67"/>
    </row>
    <row r="125" spans="1:15" ht="15" x14ac:dyDescent="0.3">
      <c r="A125" s="140"/>
      <c r="B125" s="45"/>
      <c r="F125" s="15" t="s">
        <v>100</v>
      </c>
      <c r="G125" s="16">
        <f>G123-G124</f>
        <v>6120</v>
      </c>
      <c r="H125" s="67"/>
      <c r="I125" t="s">
        <v>77</v>
      </c>
    </row>
    <row r="126" spans="1:15" ht="15" x14ac:dyDescent="0.3">
      <c r="A126" s="138"/>
      <c r="B126" s="44"/>
      <c r="F126" s="15"/>
      <c r="G126" s="16"/>
      <c r="H126" s="67"/>
    </row>
    <row r="127" spans="1:15" ht="44.25" customHeight="1" x14ac:dyDescent="0.3">
      <c r="A127" s="141"/>
      <c r="B127" s="46"/>
      <c r="F127" s="17" t="s">
        <v>78</v>
      </c>
      <c r="G127" s="16">
        <f>G112+G124</f>
        <v>730</v>
      </c>
      <c r="H127" s="67"/>
      <c r="I127" t="s">
        <v>79</v>
      </c>
    </row>
    <row r="128" spans="1:15" ht="15" x14ac:dyDescent="0.3">
      <c r="A128" s="138"/>
      <c r="B128" s="44"/>
      <c r="F128" s="15"/>
      <c r="G128" s="16"/>
      <c r="H128" s="67"/>
    </row>
    <row r="129" spans="1:9" ht="15" x14ac:dyDescent="0.3">
      <c r="A129" s="140"/>
      <c r="B129" s="45"/>
      <c r="C129" s="117"/>
      <c r="D129" s="117"/>
      <c r="E129" s="118"/>
      <c r="F129" s="15" t="s">
        <v>39</v>
      </c>
      <c r="G129" s="16">
        <f>B131</f>
        <v>0</v>
      </c>
      <c r="H129" s="67"/>
    </row>
    <row r="130" spans="1:9" ht="15" x14ac:dyDescent="0.3">
      <c r="A130" s="140"/>
      <c r="B130" s="45"/>
      <c r="F130" s="15" t="s">
        <v>38</v>
      </c>
      <c r="G130" s="16"/>
      <c r="H130" s="67"/>
    </row>
    <row r="131" spans="1:9" ht="15" x14ac:dyDescent="0.3">
      <c r="A131" s="140"/>
      <c r="B131" s="45"/>
      <c r="F131" s="15" t="s">
        <v>80</v>
      </c>
      <c r="G131" s="16">
        <f>G99</f>
        <v>14200</v>
      </c>
      <c r="H131" s="67"/>
    </row>
    <row r="132" spans="1:9" ht="15" x14ac:dyDescent="0.3">
      <c r="A132" s="140"/>
      <c r="B132" s="45"/>
      <c r="F132" s="15" t="s">
        <v>82</v>
      </c>
      <c r="G132" s="16">
        <f>B119</f>
        <v>0</v>
      </c>
      <c r="H132" s="67"/>
    </row>
    <row r="133" spans="1:9" ht="15" x14ac:dyDescent="0.3">
      <c r="A133" s="138"/>
      <c r="B133" s="44"/>
      <c r="F133" s="15" t="s">
        <v>81</v>
      </c>
      <c r="G133" s="16">
        <f>B115</f>
        <v>0</v>
      </c>
      <c r="H133" s="67"/>
    </row>
    <row r="134" spans="1:9" ht="15" x14ac:dyDescent="0.3">
      <c r="A134" s="138"/>
      <c r="B134" s="44"/>
      <c r="F134" s="15" t="s">
        <v>83</v>
      </c>
      <c r="G134" s="16">
        <f>G131+G132-G133</f>
        <v>14200</v>
      </c>
      <c r="H134" s="67"/>
      <c r="I134" t="s">
        <v>84</v>
      </c>
    </row>
    <row r="135" spans="1:9" ht="15" x14ac:dyDescent="0.3">
      <c r="A135" s="140"/>
      <c r="B135" s="45"/>
      <c r="F135" s="15" t="s">
        <v>85</v>
      </c>
      <c r="G135" s="16">
        <f>G129-G134</f>
        <v>-14200</v>
      </c>
      <c r="H135" s="67"/>
      <c r="I135" t="s">
        <v>86</v>
      </c>
    </row>
    <row r="136" spans="1:9" ht="29.25" customHeight="1" x14ac:dyDescent="0.3">
      <c r="A136" s="140"/>
      <c r="B136" s="45"/>
      <c r="C136" s="117"/>
      <c r="D136" s="117"/>
      <c r="E136" s="118"/>
      <c r="F136" s="17" t="s">
        <v>87</v>
      </c>
      <c r="G136" s="16"/>
      <c r="H136" s="67"/>
    </row>
    <row r="137" spans="1:9" ht="45.6" x14ac:dyDescent="0.3">
      <c r="A137" s="138"/>
      <c r="B137" s="44"/>
      <c r="F137" s="17" t="s">
        <v>101</v>
      </c>
      <c r="G137" s="16">
        <f>B111+B112+B114+B116+B117+B118+B126+B128+B133+B134+B137+B138</f>
        <v>0</v>
      </c>
      <c r="H137" s="67"/>
      <c r="I137" t="s">
        <v>88</v>
      </c>
    </row>
    <row r="138" spans="1:9" ht="15" x14ac:dyDescent="0.3">
      <c r="A138" s="138"/>
      <c r="B138" s="44"/>
      <c r="F138" s="15" t="s">
        <v>89</v>
      </c>
      <c r="G138" s="16">
        <f>G135-G137</f>
        <v>-14200</v>
      </c>
      <c r="H138" s="67"/>
    </row>
    <row r="139" spans="1:9" ht="15" x14ac:dyDescent="0.3">
      <c r="A139" s="142"/>
      <c r="B139" s="55"/>
      <c r="C139" s="117"/>
      <c r="D139" s="117"/>
      <c r="E139" s="118"/>
      <c r="F139" s="15" t="s">
        <v>90</v>
      </c>
      <c r="G139" s="16"/>
      <c r="H139" s="67"/>
    </row>
    <row r="140" spans="1:9" ht="15" x14ac:dyDescent="0.3">
      <c r="A140" s="139"/>
      <c r="B140" s="56"/>
      <c r="F140" s="15" t="s">
        <v>91</v>
      </c>
      <c r="G140" s="16">
        <f>G138-G127</f>
        <v>-14930</v>
      </c>
      <c r="H140" s="67"/>
      <c r="I140" t="s">
        <v>92</v>
      </c>
    </row>
    <row r="141" spans="1:9" ht="15" x14ac:dyDescent="0.3">
      <c r="A141" s="140"/>
      <c r="B141" s="45"/>
      <c r="F141" s="15" t="s">
        <v>40</v>
      </c>
      <c r="G141" s="16">
        <f>B130</f>
        <v>0</v>
      </c>
      <c r="H141" s="67"/>
    </row>
    <row r="142" spans="1:9" ht="15" x14ac:dyDescent="0.3">
      <c r="F142" s="15" t="s">
        <v>93</v>
      </c>
      <c r="G142" s="16">
        <f>B123</f>
        <v>0</v>
      </c>
      <c r="H142" s="67"/>
      <c r="I142" t="s">
        <v>94</v>
      </c>
    </row>
    <row r="143" spans="1:9" ht="30" x14ac:dyDescent="0.3">
      <c r="F143" s="17" t="s">
        <v>95</v>
      </c>
      <c r="G143" s="16">
        <f>G140-G141-G142</f>
        <v>-14930</v>
      </c>
      <c r="H143" s="67"/>
    </row>
    <row r="144" spans="1:9" ht="15" x14ac:dyDescent="0.3">
      <c r="F144" s="15" t="s">
        <v>96</v>
      </c>
      <c r="G144" s="16">
        <f>G143*0.3</f>
        <v>-4479</v>
      </c>
      <c r="H144" s="67"/>
    </row>
    <row r="145" spans="6:9" ht="15" x14ac:dyDescent="0.3">
      <c r="F145" s="15" t="s">
        <v>103</v>
      </c>
      <c r="G145" s="16">
        <f>G143-G144</f>
        <v>-10451</v>
      </c>
      <c r="H145" s="67"/>
      <c r="I145" t="s">
        <v>97</v>
      </c>
    </row>
    <row r="146" spans="6:9" ht="15" x14ac:dyDescent="0.3">
      <c r="F146" s="15" t="s">
        <v>42</v>
      </c>
      <c r="G146" s="16">
        <f>B139</f>
        <v>0</v>
      </c>
      <c r="H146" s="67"/>
    </row>
    <row r="147" spans="6:9" ht="15" x14ac:dyDescent="0.3">
      <c r="F147" s="15" t="s">
        <v>43</v>
      </c>
      <c r="G147" s="16">
        <f>G145-G146</f>
        <v>-10451</v>
      </c>
      <c r="H147" s="67"/>
      <c r="I147" t="s">
        <v>99</v>
      </c>
    </row>
    <row r="148" spans="6:9" ht="15" x14ac:dyDescent="0.3">
      <c r="G148" s="16"/>
      <c r="H148" s="67"/>
    </row>
  </sheetData>
  <mergeCells count="4">
    <mergeCell ref="K2:L2"/>
    <mergeCell ref="F84:G84"/>
    <mergeCell ref="A2:B2"/>
    <mergeCell ref="K3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opLeftCell="A5" zoomScale="85" zoomScaleNormal="85" workbookViewId="0">
      <selection activeCell="H5" sqref="H5:I34"/>
    </sheetView>
  </sheetViews>
  <sheetFormatPr defaultColWidth="9.109375" defaultRowHeight="18" x14ac:dyDescent="0.35"/>
  <cols>
    <col min="1" max="1" width="32.33203125" style="22" customWidth="1"/>
    <col min="2" max="2" width="10.44140625" style="22" customWidth="1"/>
    <col min="3" max="3" width="21" style="22" customWidth="1"/>
    <col min="4" max="4" width="7" style="22" customWidth="1"/>
    <col min="5" max="5" width="3.44140625" style="22" customWidth="1"/>
    <col min="6" max="6" width="9.6640625" style="22" customWidth="1"/>
    <col min="7" max="7" width="7.44140625" style="22" customWidth="1"/>
    <col min="8" max="8" width="49.44140625" style="22" customWidth="1"/>
    <col min="9" max="9" width="11.109375" style="22" customWidth="1"/>
    <col min="10" max="10" width="10.109375" style="22" customWidth="1"/>
    <col min="11" max="11" width="6.88671875" style="22" customWidth="1"/>
    <col min="12" max="12" width="9.109375" style="22"/>
    <col min="13" max="13" width="17" style="22" customWidth="1"/>
    <col min="14" max="14" width="12.88671875" style="22" customWidth="1"/>
    <col min="15" max="16384" width="9.109375" style="22"/>
  </cols>
  <sheetData>
    <row r="1" spans="1:17" ht="16.5" customHeight="1" x14ac:dyDescent="0.35">
      <c r="A1" s="230" t="s">
        <v>232</v>
      </c>
      <c r="B1" s="230"/>
      <c r="C1" s="230"/>
      <c r="D1" s="230"/>
      <c r="E1" s="230"/>
      <c r="F1" s="230"/>
      <c r="G1" s="230"/>
    </row>
    <row r="2" spans="1:17" ht="16.5" customHeight="1" x14ac:dyDescent="0.35">
      <c r="A2" s="181" t="s">
        <v>231</v>
      </c>
      <c r="B2" s="177"/>
      <c r="C2" s="177"/>
      <c r="D2" s="177"/>
      <c r="E2" s="177"/>
      <c r="F2" s="177"/>
      <c r="G2" s="177"/>
    </row>
    <row r="3" spans="1:17" ht="18" customHeight="1" x14ac:dyDescent="0.35">
      <c r="A3" s="182" t="s">
        <v>0</v>
      </c>
      <c r="B3" s="199">
        <v>60</v>
      </c>
      <c r="C3" s="174" t="s">
        <v>105</v>
      </c>
      <c r="D3" s="174"/>
      <c r="E3" s="174"/>
      <c r="F3" s="174"/>
      <c r="G3" s="174"/>
    </row>
    <row r="4" spans="1:17" ht="18" customHeight="1" thickBot="1" x14ac:dyDescent="0.4">
      <c r="A4" s="182" t="s">
        <v>1</v>
      </c>
      <c r="B4" s="199">
        <v>30</v>
      </c>
      <c r="C4" s="174" t="s">
        <v>39</v>
      </c>
      <c r="D4" s="174">
        <f>B27</f>
        <v>2000</v>
      </c>
      <c r="E4" s="174"/>
      <c r="F4" s="174"/>
      <c r="G4" s="174"/>
    </row>
    <row r="5" spans="1:17" ht="16.5" customHeight="1" thickTop="1" x14ac:dyDescent="0.35">
      <c r="A5" s="196" t="s">
        <v>2</v>
      </c>
      <c r="B5" s="196">
        <v>120</v>
      </c>
      <c r="C5" s="200" t="s">
        <v>83</v>
      </c>
      <c r="D5" s="174"/>
      <c r="E5" s="174"/>
      <c r="F5" s="174" t="s">
        <v>110</v>
      </c>
      <c r="G5" s="174"/>
      <c r="H5" s="228" t="s">
        <v>233</v>
      </c>
      <c r="I5" s="229"/>
      <c r="J5" s="178"/>
      <c r="M5" s="22" t="s">
        <v>214</v>
      </c>
    </row>
    <row r="6" spans="1:17" ht="15" customHeight="1" x14ac:dyDescent="0.35">
      <c r="A6" s="182" t="s">
        <v>3</v>
      </c>
      <c r="B6" s="199">
        <v>100</v>
      </c>
      <c r="C6" s="201" t="s">
        <v>80</v>
      </c>
      <c r="D6" s="174">
        <f>I9</f>
        <v>60</v>
      </c>
      <c r="E6" s="174"/>
      <c r="F6" s="200" t="s">
        <v>208</v>
      </c>
      <c r="G6" s="174"/>
      <c r="H6" s="185" t="s">
        <v>29</v>
      </c>
      <c r="I6" s="186"/>
      <c r="J6" s="179"/>
      <c r="M6" s="22" t="s">
        <v>109</v>
      </c>
      <c r="N6" s="22">
        <f>D18</f>
        <v>133.6</v>
      </c>
    </row>
    <row r="7" spans="1:17" ht="16.5" customHeight="1" x14ac:dyDescent="0.35">
      <c r="A7" s="182" t="s">
        <v>197</v>
      </c>
      <c r="B7" s="199">
        <v>40</v>
      </c>
      <c r="C7" s="201" t="s">
        <v>135</v>
      </c>
      <c r="D7" s="174">
        <f>B15</f>
        <v>1400</v>
      </c>
      <c r="E7" s="174"/>
      <c r="F7" s="174" t="s">
        <v>235</v>
      </c>
      <c r="G7" s="174">
        <f>I15</f>
        <v>400</v>
      </c>
      <c r="H7" s="187" t="s">
        <v>33</v>
      </c>
      <c r="I7" s="186"/>
      <c r="J7" s="179"/>
      <c r="M7" s="22" t="s">
        <v>110</v>
      </c>
      <c r="N7" s="22">
        <f>G21</f>
        <v>129</v>
      </c>
    </row>
    <row r="8" spans="1:17" x14ac:dyDescent="0.35">
      <c r="A8" s="182" t="s">
        <v>198</v>
      </c>
      <c r="B8" s="199">
        <v>38</v>
      </c>
      <c r="C8" s="201" t="s">
        <v>116</v>
      </c>
      <c r="D8" s="174">
        <f>D6+D7</f>
        <v>1460</v>
      </c>
      <c r="E8" s="174"/>
      <c r="F8" s="174" t="s">
        <v>106</v>
      </c>
      <c r="G8" s="174">
        <f>B16</f>
        <v>40</v>
      </c>
      <c r="H8" s="188" t="s">
        <v>36</v>
      </c>
      <c r="I8" s="186">
        <v>85</v>
      </c>
      <c r="J8" s="179">
        <f>N32</f>
        <v>70.600000000000023</v>
      </c>
      <c r="M8" s="22" t="s">
        <v>93</v>
      </c>
      <c r="N8" s="22">
        <f>G22</f>
        <v>50</v>
      </c>
      <c r="Q8" s="22">
        <v>207</v>
      </c>
    </row>
    <row r="9" spans="1:17" ht="13.5" customHeight="1" x14ac:dyDescent="0.35">
      <c r="A9" s="182" t="s">
        <v>199</v>
      </c>
      <c r="B9" s="199">
        <v>30</v>
      </c>
      <c r="C9" s="202" t="s">
        <v>4</v>
      </c>
      <c r="D9" s="174">
        <f>B11</f>
        <v>70</v>
      </c>
      <c r="E9" s="174"/>
      <c r="F9" s="174"/>
      <c r="G9" s="174">
        <f>SUM(G7:G8)</f>
        <v>440</v>
      </c>
      <c r="H9" s="188" t="s">
        <v>206</v>
      </c>
      <c r="I9" s="186">
        <v>60</v>
      </c>
      <c r="J9" s="197">
        <f>B11</f>
        <v>70</v>
      </c>
      <c r="K9" s="22">
        <f>J9-I9</f>
        <v>10</v>
      </c>
      <c r="M9" s="22" t="s">
        <v>215</v>
      </c>
      <c r="N9" s="22">
        <f>-K9</f>
        <v>-10</v>
      </c>
      <c r="Q9" s="22">
        <v>70</v>
      </c>
    </row>
    <row r="10" spans="1:17" x14ac:dyDescent="0.35">
      <c r="A10" s="195" t="s">
        <v>200</v>
      </c>
      <c r="B10" s="195">
        <v>200</v>
      </c>
      <c r="C10" s="174" t="s">
        <v>83</v>
      </c>
      <c r="D10" s="174">
        <f>D8-D9</f>
        <v>1390</v>
      </c>
      <c r="E10" s="174"/>
      <c r="F10" s="174" t="s">
        <v>110</v>
      </c>
      <c r="G10" s="174">
        <f>G9*0.1</f>
        <v>44</v>
      </c>
      <c r="H10" s="189" t="s">
        <v>35</v>
      </c>
      <c r="I10" s="190">
        <v>75</v>
      </c>
      <c r="J10" s="197">
        <f>B21</f>
        <v>85</v>
      </c>
      <c r="K10" s="22">
        <f>J10-I10</f>
        <v>10</v>
      </c>
      <c r="M10" s="22" t="s">
        <v>216</v>
      </c>
      <c r="N10" s="22">
        <f>-K10</f>
        <v>-10</v>
      </c>
      <c r="Q10" s="22">
        <v>85</v>
      </c>
    </row>
    <row r="11" spans="1:17" x14ac:dyDescent="0.35">
      <c r="A11" s="183" t="s">
        <v>4</v>
      </c>
      <c r="B11" s="183">
        <v>70</v>
      </c>
      <c r="C11" s="174" t="s">
        <v>105</v>
      </c>
      <c r="D11" s="174">
        <f>D4-D10</f>
        <v>610</v>
      </c>
      <c r="E11" s="174">
        <f>D11/D4*100</f>
        <v>30.5</v>
      </c>
      <c r="F11" s="174" t="s">
        <v>209</v>
      </c>
      <c r="G11" s="174">
        <f>G9-G10</f>
        <v>396</v>
      </c>
      <c r="H11" s="191" t="s">
        <v>120</v>
      </c>
      <c r="I11" s="192">
        <v>220</v>
      </c>
      <c r="J11" s="179"/>
      <c r="M11" s="22" t="s">
        <v>217</v>
      </c>
      <c r="N11" s="22">
        <f>K28</f>
        <v>8</v>
      </c>
      <c r="Q11" s="22">
        <v>362</v>
      </c>
    </row>
    <row r="12" spans="1:17" x14ac:dyDescent="0.35">
      <c r="A12" s="182" t="s">
        <v>5</v>
      </c>
      <c r="B12" s="199">
        <v>6</v>
      </c>
      <c r="C12" s="174"/>
      <c r="D12" s="174"/>
      <c r="E12" s="174"/>
      <c r="F12" s="174"/>
      <c r="G12" s="174"/>
      <c r="H12" s="193"/>
      <c r="I12" s="194"/>
      <c r="J12" s="179"/>
      <c r="N12" s="22">
        <f>SUM(N6:N11)</f>
        <v>300.60000000000002</v>
      </c>
    </row>
    <row r="13" spans="1:17" x14ac:dyDescent="0.35">
      <c r="A13" s="182" t="s">
        <v>6</v>
      </c>
      <c r="B13" s="199">
        <v>5</v>
      </c>
      <c r="C13" s="174" t="s">
        <v>107</v>
      </c>
      <c r="D13" s="174">
        <f>B3+B4+B6+B7+B8+B9+B12+B13+B14+B18+B19+B22+B24+B30+B33+B34+B39</f>
        <v>393</v>
      </c>
      <c r="E13" s="174"/>
      <c r="F13" s="200" t="s">
        <v>111</v>
      </c>
      <c r="G13" s="174"/>
      <c r="H13" s="187" t="s">
        <v>45</v>
      </c>
      <c r="I13" s="186"/>
      <c r="J13" s="179"/>
    </row>
    <row r="14" spans="1:17" x14ac:dyDescent="0.35">
      <c r="A14" s="184" t="s">
        <v>7</v>
      </c>
      <c r="B14" s="199">
        <v>1</v>
      </c>
      <c r="C14" s="174" t="s">
        <v>91</v>
      </c>
      <c r="D14" s="174">
        <f>D11-D13</f>
        <v>217</v>
      </c>
      <c r="E14" s="174">
        <f>D14/B27*100</f>
        <v>10.85</v>
      </c>
      <c r="F14" s="174" t="s">
        <v>236</v>
      </c>
      <c r="G14" s="174">
        <f>I16</f>
        <v>700</v>
      </c>
      <c r="H14" s="188" t="s">
        <v>30</v>
      </c>
      <c r="I14" s="186">
        <v>200</v>
      </c>
      <c r="J14" s="197">
        <f>I14+B10</f>
        <v>400</v>
      </c>
      <c r="K14" s="22">
        <f>J14-I14</f>
        <v>200</v>
      </c>
      <c r="M14" s="176" t="s">
        <v>218</v>
      </c>
      <c r="N14" s="176"/>
      <c r="Q14" s="22">
        <v>400</v>
      </c>
    </row>
    <row r="15" spans="1:17" x14ac:dyDescent="0.35">
      <c r="A15" s="196" t="s">
        <v>8</v>
      </c>
      <c r="B15" s="196">
        <v>1400</v>
      </c>
      <c r="C15" s="174" t="s">
        <v>40</v>
      </c>
      <c r="D15" s="174">
        <f>B26</f>
        <v>50</v>
      </c>
      <c r="E15" s="174"/>
      <c r="F15" s="174" t="s">
        <v>106</v>
      </c>
      <c r="G15" s="174">
        <f>B5+B17+B23+B28</f>
        <v>197</v>
      </c>
      <c r="H15" s="188" t="s">
        <v>31</v>
      </c>
      <c r="I15" s="186">
        <v>400</v>
      </c>
      <c r="J15" s="197">
        <f>G11</f>
        <v>396</v>
      </c>
      <c r="M15" s="176" t="s">
        <v>30</v>
      </c>
      <c r="N15" s="176">
        <f>-B10</f>
        <v>-200</v>
      </c>
      <c r="Q15" s="22">
        <v>418</v>
      </c>
    </row>
    <row r="16" spans="1:17" x14ac:dyDescent="0.35">
      <c r="A16" s="196" t="s">
        <v>46</v>
      </c>
      <c r="B16" s="196">
        <v>40</v>
      </c>
      <c r="C16" s="174" t="s">
        <v>212</v>
      </c>
      <c r="D16" s="174">
        <f>D14-D15</f>
        <v>167</v>
      </c>
      <c r="E16" s="174"/>
      <c r="F16" s="174"/>
      <c r="G16" s="174">
        <f>SUM(G14:G15)</f>
        <v>897</v>
      </c>
      <c r="H16" s="188" t="s">
        <v>32</v>
      </c>
      <c r="I16" s="186">
        <v>700</v>
      </c>
      <c r="J16" s="197">
        <f>G20</f>
        <v>765</v>
      </c>
      <c r="M16" s="176" t="s">
        <v>219</v>
      </c>
      <c r="N16" s="176">
        <f>-B16</f>
        <v>-40</v>
      </c>
      <c r="Q16" s="22">
        <v>765</v>
      </c>
    </row>
    <row r="17" spans="1:17" x14ac:dyDescent="0.35">
      <c r="A17" s="196" t="s">
        <v>201</v>
      </c>
      <c r="B17" s="196">
        <v>50</v>
      </c>
      <c r="C17" s="174" t="s">
        <v>213</v>
      </c>
      <c r="D17" s="174">
        <f>D16*0.2</f>
        <v>33.4</v>
      </c>
      <c r="E17" s="174"/>
      <c r="F17" s="174" t="s">
        <v>210</v>
      </c>
      <c r="G17" s="174">
        <f>B25</f>
        <v>47</v>
      </c>
      <c r="H17" s="189" t="s">
        <v>207</v>
      </c>
      <c r="I17" s="190">
        <v>500</v>
      </c>
      <c r="J17" s="179"/>
      <c r="M17" s="176" t="s">
        <v>227</v>
      </c>
      <c r="N17" s="176">
        <f>-B5</f>
        <v>-120</v>
      </c>
      <c r="Q17" s="22">
        <v>450</v>
      </c>
    </row>
    <row r="18" spans="1:17" x14ac:dyDescent="0.35">
      <c r="A18" s="184" t="s">
        <v>202</v>
      </c>
      <c r="B18" s="199">
        <v>15</v>
      </c>
      <c r="C18" s="174" t="s">
        <v>109</v>
      </c>
      <c r="D18" s="174">
        <f>D16-D17</f>
        <v>133.6</v>
      </c>
      <c r="E18" s="174">
        <f>D18/B27*100</f>
        <v>6.68</v>
      </c>
      <c r="F18" s="174"/>
      <c r="G18" s="174">
        <f>G16-G17</f>
        <v>850</v>
      </c>
      <c r="H18" s="191" t="s">
        <v>121</v>
      </c>
      <c r="I18" s="192">
        <v>1800</v>
      </c>
      <c r="J18" s="179"/>
      <c r="M18" s="176" t="s">
        <v>220</v>
      </c>
      <c r="N18" s="176">
        <f>-B17</f>
        <v>-50</v>
      </c>
      <c r="Q18" s="22">
        <v>2033</v>
      </c>
    </row>
    <row r="19" spans="1:17" x14ac:dyDescent="0.35">
      <c r="A19" s="184" t="s">
        <v>203</v>
      </c>
      <c r="B19" s="199">
        <v>50</v>
      </c>
      <c r="C19" s="174" t="s">
        <v>42</v>
      </c>
      <c r="D19" s="174">
        <f>B35</f>
        <v>20</v>
      </c>
      <c r="E19" s="174"/>
      <c r="F19" s="174" t="s">
        <v>110</v>
      </c>
      <c r="G19" s="174">
        <f>G18*0.1</f>
        <v>85</v>
      </c>
      <c r="H19" s="191" t="s">
        <v>119</v>
      </c>
      <c r="I19" s="192">
        <v>2020</v>
      </c>
      <c r="J19" s="179"/>
      <c r="M19" s="176" t="s">
        <v>104</v>
      </c>
      <c r="N19" s="176">
        <f>-B23</f>
        <v>-12</v>
      </c>
      <c r="Q19" s="22">
        <v>2395</v>
      </c>
    </row>
    <row r="20" spans="1:17" x14ac:dyDescent="0.35">
      <c r="A20" s="184" t="s">
        <v>9</v>
      </c>
      <c r="B20" s="184">
        <v>5</v>
      </c>
      <c r="C20" s="174" t="s">
        <v>43</v>
      </c>
      <c r="D20" s="174">
        <f>D18-D19</f>
        <v>113.6</v>
      </c>
      <c r="E20" s="174"/>
      <c r="F20" s="174" t="s">
        <v>209</v>
      </c>
      <c r="G20" s="174">
        <f>G18-G19</f>
        <v>765</v>
      </c>
      <c r="H20" s="193"/>
      <c r="I20" s="194"/>
      <c r="J20" s="179"/>
      <c r="M20" s="176" t="s">
        <v>221</v>
      </c>
      <c r="N20" s="176">
        <f>B25</f>
        <v>47</v>
      </c>
    </row>
    <row r="21" spans="1:17" x14ac:dyDescent="0.35">
      <c r="A21" s="196" t="s">
        <v>10</v>
      </c>
      <c r="B21" s="196">
        <v>85</v>
      </c>
      <c r="C21" s="174"/>
      <c r="D21" s="174"/>
      <c r="E21" s="174"/>
      <c r="F21" s="174" t="s">
        <v>211</v>
      </c>
      <c r="G21" s="174">
        <f>G10+G19</f>
        <v>129</v>
      </c>
      <c r="H21" s="187" t="s">
        <v>23</v>
      </c>
      <c r="I21" s="186"/>
      <c r="J21" s="179"/>
      <c r="M21" s="176" t="s">
        <v>223</v>
      </c>
      <c r="N21" s="176">
        <f>-B28</f>
        <v>-15</v>
      </c>
    </row>
    <row r="22" spans="1:17" x14ac:dyDescent="0.35">
      <c r="A22" s="184" t="s">
        <v>11</v>
      </c>
      <c r="B22" s="199">
        <v>3</v>
      </c>
      <c r="C22" s="174"/>
      <c r="D22" s="174"/>
      <c r="E22" s="174"/>
      <c r="F22" s="174" t="s">
        <v>93</v>
      </c>
      <c r="G22" s="174">
        <f>B19</f>
        <v>50</v>
      </c>
      <c r="H22" s="203" t="s">
        <v>122</v>
      </c>
      <c r="I22" s="186"/>
      <c r="J22" s="179"/>
      <c r="M22" s="176"/>
      <c r="N22" s="176">
        <f>SUM(N15:N21)</f>
        <v>-390</v>
      </c>
    </row>
    <row r="23" spans="1:17" x14ac:dyDescent="0.35">
      <c r="A23" s="196" t="s">
        <v>50</v>
      </c>
      <c r="B23" s="196">
        <v>12</v>
      </c>
      <c r="H23" s="188" t="s">
        <v>24</v>
      </c>
      <c r="I23" s="186">
        <v>638</v>
      </c>
      <c r="J23" s="179"/>
      <c r="M23" s="176" t="s">
        <v>224</v>
      </c>
      <c r="N23" s="176"/>
      <c r="Q23" s="22">
        <v>838</v>
      </c>
    </row>
    <row r="24" spans="1:17" x14ac:dyDescent="0.35">
      <c r="A24" s="184" t="s">
        <v>12</v>
      </c>
      <c r="B24" s="199">
        <v>6</v>
      </c>
      <c r="H24" s="189" t="s">
        <v>148</v>
      </c>
      <c r="I24" s="190">
        <v>575</v>
      </c>
      <c r="J24" s="179">
        <f>I24+D20</f>
        <v>688.6</v>
      </c>
      <c r="M24" s="176" t="s">
        <v>174</v>
      </c>
      <c r="N24" s="176">
        <f>B36</f>
        <v>200</v>
      </c>
      <c r="Q24" s="22">
        <v>597</v>
      </c>
    </row>
    <row r="25" spans="1:17" x14ac:dyDescent="0.35">
      <c r="A25" s="196" t="s">
        <v>222</v>
      </c>
      <c r="B25" s="196">
        <v>47</v>
      </c>
      <c r="H25" s="191" t="s">
        <v>125</v>
      </c>
      <c r="I25" s="192">
        <f>I23+I24</f>
        <v>1213</v>
      </c>
      <c r="J25" s="179"/>
      <c r="M25" s="176" t="s">
        <v>225</v>
      </c>
      <c r="N25" s="176">
        <f>-B20</f>
        <v>-5</v>
      </c>
      <c r="Q25" s="22">
        <v>1435</v>
      </c>
    </row>
    <row r="26" spans="1:17" x14ac:dyDescent="0.35">
      <c r="A26" s="198" t="s">
        <v>13</v>
      </c>
      <c r="B26" s="198">
        <v>50</v>
      </c>
      <c r="H26" s="193"/>
      <c r="I26" s="194"/>
      <c r="J26" s="179"/>
      <c r="M26" s="176" t="s">
        <v>228</v>
      </c>
      <c r="N26" s="176">
        <f>B31</f>
        <v>50</v>
      </c>
    </row>
    <row r="27" spans="1:17" x14ac:dyDescent="0.35">
      <c r="A27" s="196" t="s">
        <v>14</v>
      </c>
      <c r="B27" s="196">
        <v>2000</v>
      </c>
      <c r="H27" s="187" t="s">
        <v>123</v>
      </c>
      <c r="I27" s="186"/>
      <c r="J27" s="179"/>
      <c r="M27" s="176" t="s">
        <v>226</v>
      </c>
      <c r="N27" s="176">
        <f>J29-I29</f>
        <v>-150</v>
      </c>
    </row>
    <row r="28" spans="1:17" x14ac:dyDescent="0.35">
      <c r="A28" s="196" t="s">
        <v>204</v>
      </c>
      <c r="B28" s="196">
        <v>15</v>
      </c>
      <c r="H28" s="188" t="s">
        <v>28</v>
      </c>
      <c r="I28" s="186">
        <v>97</v>
      </c>
      <c r="J28" s="197">
        <f>B32</f>
        <v>105</v>
      </c>
      <c r="K28" s="22">
        <f>J28-I28</f>
        <v>8</v>
      </c>
      <c r="M28" s="176" t="s">
        <v>42</v>
      </c>
      <c r="N28" s="176">
        <f>-B35</f>
        <v>-20</v>
      </c>
      <c r="Q28" s="22">
        <v>105</v>
      </c>
    </row>
    <row r="29" spans="1:17" x14ac:dyDescent="0.35">
      <c r="A29" s="184"/>
      <c r="B29" s="184"/>
      <c r="H29" s="189" t="s">
        <v>27</v>
      </c>
      <c r="I29" s="190">
        <v>150</v>
      </c>
      <c r="J29" s="179"/>
      <c r="M29" s="176"/>
      <c r="N29" s="176">
        <f>SUM(N24:N28)</f>
        <v>75</v>
      </c>
      <c r="Q29" s="22">
        <v>250</v>
      </c>
    </row>
    <row r="30" spans="1:17" x14ac:dyDescent="0.35">
      <c r="A30" s="184" t="s">
        <v>17</v>
      </c>
      <c r="B30" s="199">
        <v>5</v>
      </c>
      <c r="H30" s="191" t="s">
        <v>70</v>
      </c>
      <c r="I30" s="192">
        <f>I28+I29</f>
        <v>247</v>
      </c>
      <c r="J30" s="179"/>
      <c r="M30" s="176"/>
      <c r="N30" s="176"/>
      <c r="Q30" s="22">
        <v>355</v>
      </c>
    </row>
    <row r="31" spans="1:17" x14ac:dyDescent="0.35">
      <c r="A31" s="184" t="s">
        <v>18</v>
      </c>
      <c r="B31" s="184">
        <v>50</v>
      </c>
      <c r="H31" s="193" t="s">
        <v>124</v>
      </c>
      <c r="I31" s="194"/>
      <c r="J31" s="179"/>
      <c r="M31" s="176" t="s">
        <v>138</v>
      </c>
      <c r="N31" s="176">
        <f>N29+N22+N12</f>
        <v>-14.399999999999977</v>
      </c>
    </row>
    <row r="32" spans="1:17" x14ac:dyDescent="0.35">
      <c r="A32" s="196" t="s">
        <v>19</v>
      </c>
      <c r="B32" s="196">
        <v>105</v>
      </c>
      <c r="H32" s="189" t="s">
        <v>26</v>
      </c>
      <c r="I32" s="190">
        <v>560</v>
      </c>
      <c r="J32" s="179"/>
      <c r="M32" s="176"/>
      <c r="N32" s="176">
        <f>N31+I8</f>
        <v>70.600000000000023</v>
      </c>
      <c r="Q32" s="22">
        <v>605</v>
      </c>
    </row>
    <row r="33" spans="1:17" x14ac:dyDescent="0.35">
      <c r="A33" s="184" t="s">
        <v>20</v>
      </c>
      <c r="B33" s="199">
        <v>2</v>
      </c>
      <c r="H33" s="191" t="s">
        <v>127</v>
      </c>
      <c r="I33" s="192">
        <f>I32+I30</f>
        <v>807</v>
      </c>
      <c r="J33" s="179"/>
      <c r="Q33" s="22">
        <v>960</v>
      </c>
    </row>
    <row r="34" spans="1:17" ht="18.600000000000001" thickBot="1" x14ac:dyDescent="0.4">
      <c r="A34" s="184" t="s">
        <v>21</v>
      </c>
      <c r="B34" s="199">
        <v>1</v>
      </c>
      <c r="H34" s="191" t="s">
        <v>126</v>
      </c>
      <c r="I34" s="192">
        <f>I25+I33</f>
        <v>2020</v>
      </c>
      <c r="J34" s="180"/>
      <c r="Q34" s="22">
        <v>2395</v>
      </c>
    </row>
    <row r="35" spans="1:17" x14ac:dyDescent="0.35">
      <c r="A35" s="184" t="s">
        <v>98</v>
      </c>
      <c r="B35" s="184">
        <v>20</v>
      </c>
      <c r="K35" s="22">
        <f>J34-J19</f>
        <v>0</v>
      </c>
    </row>
    <row r="36" spans="1:17" x14ac:dyDescent="0.35">
      <c r="A36" s="184" t="s">
        <v>113</v>
      </c>
      <c r="B36" s="184">
        <v>200</v>
      </c>
      <c r="H36" s="22" t="s">
        <v>237</v>
      </c>
      <c r="I36" s="22" t="s">
        <v>240</v>
      </c>
    </row>
    <row r="37" spans="1:17" x14ac:dyDescent="0.35">
      <c r="A37" s="184" t="s">
        <v>234</v>
      </c>
      <c r="B37" s="184"/>
      <c r="H37" s="22" t="s">
        <v>238</v>
      </c>
    </row>
    <row r="38" spans="1:17" x14ac:dyDescent="0.35">
      <c r="A38" s="184" t="s">
        <v>22</v>
      </c>
      <c r="B38" s="184">
        <v>250</v>
      </c>
      <c r="H38" s="22" t="s">
        <v>241</v>
      </c>
      <c r="I38" s="204">
        <v>1000000</v>
      </c>
    </row>
    <row r="39" spans="1:17" x14ac:dyDescent="0.35">
      <c r="A39" s="184" t="s">
        <v>205</v>
      </c>
      <c r="B39" s="199">
        <v>1</v>
      </c>
      <c r="H39" s="22" t="s">
        <v>242</v>
      </c>
      <c r="I39" s="204">
        <v>500000</v>
      </c>
    </row>
    <row r="40" spans="1:17" x14ac:dyDescent="0.35">
      <c r="A40" s="175"/>
      <c r="B40" s="175"/>
      <c r="H40" s="22" t="s">
        <v>239</v>
      </c>
    </row>
    <row r="44" spans="1:17" x14ac:dyDescent="0.35">
      <c r="C44" s="22" t="s">
        <v>83</v>
      </c>
    </row>
    <row r="45" spans="1:17" x14ac:dyDescent="0.35">
      <c r="C45" s="22" t="s">
        <v>80</v>
      </c>
      <c r="D45" s="22">
        <v>60</v>
      </c>
    </row>
    <row r="46" spans="1:17" x14ac:dyDescent="0.35">
      <c r="C46" s="22" t="s">
        <v>106</v>
      </c>
      <c r="D46" s="22">
        <v>1400</v>
      </c>
    </row>
    <row r="47" spans="1:17" x14ac:dyDescent="0.35">
      <c r="A47" s="173"/>
      <c r="B47" s="173"/>
      <c r="C47" s="22" t="s">
        <v>116</v>
      </c>
      <c r="D47" s="22">
        <v>1460</v>
      </c>
    </row>
    <row r="48" spans="1:17" x14ac:dyDescent="0.35">
      <c r="A48" s="173"/>
      <c r="B48" s="173"/>
      <c r="C48" s="22" t="s">
        <v>4</v>
      </c>
      <c r="D48" s="22">
        <v>70</v>
      </c>
    </row>
    <row r="49" spans="1:4" x14ac:dyDescent="0.35">
      <c r="A49" s="173"/>
      <c r="C49" s="22" t="s">
        <v>83</v>
      </c>
      <c r="D49" s="22">
        <v>1390</v>
      </c>
    </row>
    <row r="50" spans="1:4" x14ac:dyDescent="0.35">
      <c r="A50" s="173"/>
      <c r="C50" s="22" t="s">
        <v>105</v>
      </c>
      <c r="D50" s="22">
        <v>610</v>
      </c>
    </row>
    <row r="51" spans="1:4" x14ac:dyDescent="0.35">
      <c r="A51" s="173"/>
      <c r="D51" s="22">
        <v>610</v>
      </c>
    </row>
    <row r="52" spans="1:4" x14ac:dyDescent="0.35">
      <c r="A52" s="173"/>
      <c r="C52" s="22" t="s">
        <v>107</v>
      </c>
      <c r="D52" s="22">
        <v>500</v>
      </c>
    </row>
    <row r="53" spans="1:4" x14ac:dyDescent="0.35">
      <c r="A53" s="173"/>
      <c r="C53" s="22" t="s">
        <v>91</v>
      </c>
      <c r="D53" s="22">
        <v>110</v>
      </c>
    </row>
    <row r="54" spans="1:4" x14ac:dyDescent="0.35">
      <c r="A54" s="173"/>
      <c r="C54" s="22" t="s">
        <v>40</v>
      </c>
      <c r="D54" s="22">
        <v>50</v>
      </c>
    </row>
    <row r="55" spans="1:4" x14ac:dyDescent="0.35">
      <c r="A55" s="173"/>
      <c r="C55" s="22" t="s">
        <v>212</v>
      </c>
      <c r="D55" s="22">
        <v>60</v>
      </c>
    </row>
    <row r="56" spans="1:4" x14ac:dyDescent="0.35">
      <c r="A56" s="173"/>
      <c r="C56" s="22" t="s">
        <v>213</v>
      </c>
      <c r="D56" s="22">
        <v>18</v>
      </c>
    </row>
    <row r="57" spans="1:4" x14ac:dyDescent="0.35">
      <c r="A57" s="173"/>
      <c r="B57" s="175"/>
      <c r="C57" s="22" t="s">
        <v>109</v>
      </c>
      <c r="D57" s="22">
        <v>42</v>
      </c>
    </row>
    <row r="58" spans="1:4" x14ac:dyDescent="0.35">
      <c r="A58" s="173"/>
      <c r="C58" s="22" t="s">
        <v>42</v>
      </c>
      <c r="D58" s="22">
        <v>20</v>
      </c>
    </row>
    <row r="59" spans="1:4" x14ac:dyDescent="0.35">
      <c r="A59" s="173"/>
      <c r="C59" s="22" t="s">
        <v>43</v>
      </c>
      <c r="D59" s="22">
        <v>22</v>
      </c>
    </row>
    <row r="60" spans="1:4" x14ac:dyDescent="0.35">
      <c r="A60" s="173"/>
    </row>
    <row r="61" spans="1:4" x14ac:dyDescent="0.35">
      <c r="A61" s="173"/>
    </row>
    <row r="62" spans="1:4" x14ac:dyDescent="0.35">
      <c r="A62" s="173"/>
    </row>
    <row r="63" spans="1:4" x14ac:dyDescent="0.35">
      <c r="A63" s="173"/>
    </row>
    <row r="64" spans="1:4" x14ac:dyDescent="0.35">
      <c r="A64" s="173"/>
    </row>
  </sheetData>
  <mergeCells count="2">
    <mergeCell ref="H5:I5"/>
    <mergeCell ref="A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E20" sqref="E20"/>
    </sheetView>
  </sheetViews>
  <sheetFormatPr defaultRowHeight="14.4" x14ac:dyDescent="0.3"/>
  <cols>
    <col min="1" max="1" width="46.88671875" customWidth="1"/>
    <col min="2" max="2" width="11.33203125" customWidth="1"/>
  </cols>
  <sheetData>
    <row r="1" spans="1:2" ht="18" thickTop="1" x14ac:dyDescent="0.35">
      <c r="A1" s="231" t="s">
        <v>66</v>
      </c>
      <c r="B1" s="232"/>
    </row>
    <row r="2" spans="1:2" ht="17.399999999999999" x14ac:dyDescent="0.35">
      <c r="A2" s="157" t="s">
        <v>0</v>
      </c>
      <c r="B2" s="158">
        <v>60</v>
      </c>
    </row>
    <row r="3" spans="1:2" ht="17.399999999999999" x14ac:dyDescent="0.35">
      <c r="A3" s="157" t="s">
        <v>1</v>
      </c>
      <c r="B3" s="158">
        <v>30</v>
      </c>
    </row>
    <row r="4" spans="1:2" ht="17.399999999999999" x14ac:dyDescent="0.35">
      <c r="A4" s="157" t="s">
        <v>2</v>
      </c>
      <c r="B4" s="158">
        <v>120</v>
      </c>
    </row>
    <row r="5" spans="1:2" ht="17.399999999999999" x14ac:dyDescent="0.35">
      <c r="A5" s="157" t="s">
        <v>3</v>
      </c>
      <c r="B5" s="158">
        <v>100</v>
      </c>
    </row>
    <row r="6" spans="1:2" ht="17.399999999999999" x14ac:dyDescent="0.35">
      <c r="A6" s="157" t="s">
        <v>197</v>
      </c>
      <c r="B6" s="158">
        <v>40</v>
      </c>
    </row>
    <row r="7" spans="1:2" ht="17.399999999999999" x14ac:dyDescent="0.35">
      <c r="A7" s="157" t="s">
        <v>198</v>
      </c>
      <c r="B7" s="158">
        <v>30</v>
      </c>
    </row>
    <row r="8" spans="1:2" ht="17.399999999999999" x14ac:dyDescent="0.35">
      <c r="A8" s="157" t="s">
        <v>199</v>
      </c>
      <c r="B8" s="158">
        <v>30</v>
      </c>
    </row>
    <row r="9" spans="1:2" ht="17.399999999999999" x14ac:dyDescent="0.35">
      <c r="A9" s="157" t="s">
        <v>200</v>
      </c>
      <c r="B9" s="158">
        <v>200</v>
      </c>
    </row>
    <row r="10" spans="1:2" ht="17.399999999999999" x14ac:dyDescent="0.35">
      <c r="A10" s="157" t="s">
        <v>4</v>
      </c>
      <c r="B10" s="158">
        <v>70</v>
      </c>
    </row>
    <row r="11" spans="1:2" ht="17.399999999999999" x14ac:dyDescent="0.35">
      <c r="A11" s="157" t="s">
        <v>5</v>
      </c>
      <c r="B11" s="158">
        <v>6</v>
      </c>
    </row>
    <row r="12" spans="1:2" ht="17.399999999999999" x14ac:dyDescent="0.35">
      <c r="A12" s="157" t="s">
        <v>6</v>
      </c>
      <c r="B12" s="158">
        <v>5</v>
      </c>
    </row>
    <row r="13" spans="1:2" ht="17.399999999999999" x14ac:dyDescent="0.35">
      <c r="A13" s="157" t="s">
        <v>7</v>
      </c>
      <c r="B13" s="158">
        <v>1</v>
      </c>
    </row>
    <row r="14" spans="1:2" ht="17.399999999999999" x14ac:dyDescent="0.35">
      <c r="A14" s="157" t="s">
        <v>8</v>
      </c>
      <c r="B14" s="162">
        <v>1400</v>
      </c>
    </row>
    <row r="15" spans="1:2" ht="17.399999999999999" x14ac:dyDescent="0.35">
      <c r="A15" s="157" t="s">
        <v>46</v>
      </c>
      <c r="B15" s="158">
        <v>40</v>
      </c>
    </row>
    <row r="16" spans="1:2" ht="17.399999999999999" x14ac:dyDescent="0.35">
      <c r="A16" s="157" t="s">
        <v>201</v>
      </c>
      <c r="B16" s="158">
        <v>50</v>
      </c>
    </row>
    <row r="17" spans="1:2" ht="17.399999999999999" x14ac:dyDescent="0.35">
      <c r="A17" s="157" t="s">
        <v>202</v>
      </c>
      <c r="B17" s="158">
        <v>15</v>
      </c>
    </row>
    <row r="18" spans="1:2" ht="34.799999999999997" x14ac:dyDescent="0.35">
      <c r="A18" s="159" t="s">
        <v>203</v>
      </c>
      <c r="B18" s="158">
        <v>50</v>
      </c>
    </row>
    <row r="19" spans="1:2" ht="17.399999999999999" x14ac:dyDescent="0.35">
      <c r="A19" s="157" t="s">
        <v>9</v>
      </c>
      <c r="B19" s="158">
        <v>5</v>
      </c>
    </row>
    <row r="20" spans="1:2" ht="17.399999999999999" x14ac:dyDescent="0.35">
      <c r="A20" s="157" t="s">
        <v>10</v>
      </c>
      <c r="B20" s="158">
        <v>85</v>
      </c>
    </row>
    <row r="21" spans="1:2" ht="17.399999999999999" x14ac:dyDescent="0.35">
      <c r="A21" s="157" t="s">
        <v>11</v>
      </c>
      <c r="B21" s="158">
        <v>3</v>
      </c>
    </row>
    <row r="22" spans="1:2" ht="17.399999999999999" x14ac:dyDescent="0.35">
      <c r="A22" s="157" t="s">
        <v>50</v>
      </c>
      <c r="B22" s="158">
        <v>12</v>
      </c>
    </row>
    <row r="23" spans="1:2" ht="17.399999999999999" x14ac:dyDescent="0.35">
      <c r="A23" s="157" t="s">
        <v>12</v>
      </c>
      <c r="B23" s="158">
        <v>6</v>
      </c>
    </row>
    <row r="24" spans="1:2" ht="17.399999999999999" x14ac:dyDescent="0.35">
      <c r="A24" s="157" t="s">
        <v>222</v>
      </c>
      <c r="B24" s="158">
        <v>47</v>
      </c>
    </row>
    <row r="25" spans="1:2" ht="17.399999999999999" x14ac:dyDescent="0.35">
      <c r="A25" s="157" t="s">
        <v>13</v>
      </c>
      <c r="B25" s="158">
        <v>50</v>
      </c>
    </row>
    <row r="26" spans="1:2" ht="17.399999999999999" x14ac:dyDescent="0.35">
      <c r="A26" s="157" t="s">
        <v>14</v>
      </c>
      <c r="B26" s="162">
        <v>2000</v>
      </c>
    </row>
    <row r="27" spans="1:2" ht="17.399999999999999" x14ac:dyDescent="0.35">
      <c r="A27" s="157" t="s">
        <v>204</v>
      </c>
      <c r="B27" s="158">
        <v>15</v>
      </c>
    </row>
    <row r="28" spans="1:2" ht="17.399999999999999" x14ac:dyDescent="0.35">
      <c r="A28" s="157" t="s">
        <v>16</v>
      </c>
      <c r="B28" s="158">
        <v>8</v>
      </c>
    </row>
    <row r="29" spans="1:2" ht="17.399999999999999" x14ac:dyDescent="0.35">
      <c r="A29" s="157" t="s">
        <v>17</v>
      </c>
      <c r="B29" s="158">
        <v>5</v>
      </c>
    </row>
    <row r="30" spans="1:2" ht="17.399999999999999" x14ac:dyDescent="0.35">
      <c r="A30" s="157" t="s">
        <v>18</v>
      </c>
      <c r="B30" s="158">
        <v>50</v>
      </c>
    </row>
    <row r="31" spans="1:2" ht="17.399999999999999" x14ac:dyDescent="0.35">
      <c r="A31" s="157" t="s">
        <v>19</v>
      </c>
      <c r="B31" s="158">
        <v>105</v>
      </c>
    </row>
    <row r="32" spans="1:2" ht="17.399999999999999" x14ac:dyDescent="0.35">
      <c r="A32" s="157" t="s">
        <v>20</v>
      </c>
      <c r="B32" s="158">
        <v>2</v>
      </c>
    </row>
    <row r="33" spans="1:2" ht="17.399999999999999" x14ac:dyDescent="0.35">
      <c r="A33" s="157" t="s">
        <v>21</v>
      </c>
      <c r="B33" s="158">
        <v>1</v>
      </c>
    </row>
    <row r="34" spans="1:2" ht="17.399999999999999" x14ac:dyDescent="0.35">
      <c r="A34" s="157" t="s">
        <v>98</v>
      </c>
      <c r="B34" s="158">
        <v>20</v>
      </c>
    </row>
    <row r="35" spans="1:2" ht="17.399999999999999" x14ac:dyDescent="0.35">
      <c r="A35" s="157" t="s">
        <v>113</v>
      </c>
      <c r="B35" s="158">
        <v>200</v>
      </c>
    </row>
    <row r="36" spans="1:2" ht="17.399999999999999" x14ac:dyDescent="0.35">
      <c r="A36" s="157" t="s">
        <v>164</v>
      </c>
      <c r="B36" s="158"/>
    </row>
    <row r="37" spans="1:2" ht="17.399999999999999" x14ac:dyDescent="0.35">
      <c r="A37" s="157" t="s">
        <v>22</v>
      </c>
      <c r="B37" s="158">
        <v>250</v>
      </c>
    </row>
    <row r="38" spans="1:2" ht="18" thickBot="1" x14ac:dyDescent="0.4">
      <c r="A38" s="160" t="s">
        <v>205</v>
      </c>
      <c r="B38" s="161">
        <v>1</v>
      </c>
    </row>
    <row r="39" spans="1:2" ht="15" thickTop="1" x14ac:dyDescent="0.3"/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3" workbookViewId="0">
      <selection sqref="A1:C30"/>
    </sheetView>
  </sheetViews>
  <sheetFormatPr defaultRowHeight="14.4" x14ac:dyDescent="0.3"/>
  <cols>
    <col min="1" max="1" width="41.6640625" customWidth="1"/>
    <col min="2" max="2" width="10.5546875" customWidth="1"/>
    <col min="3" max="3" width="10.6640625" customWidth="1"/>
  </cols>
  <sheetData>
    <row r="1" spans="1:3" x14ac:dyDescent="0.3">
      <c r="A1" s="23" t="s">
        <v>229</v>
      </c>
      <c r="B1" s="23" t="s">
        <v>230</v>
      </c>
      <c r="C1" s="23" t="s">
        <v>146</v>
      </c>
    </row>
    <row r="2" spans="1:3" x14ac:dyDescent="0.3">
      <c r="A2" s="23" t="s">
        <v>29</v>
      </c>
      <c r="B2" s="23"/>
      <c r="C2" s="23"/>
    </row>
    <row r="3" spans="1:3" x14ac:dyDescent="0.3">
      <c r="A3" s="23" t="s">
        <v>33</v>
      </c>
      <c r="B3" s="23"/>
      <c r="C3" s="23"/>
    </row>
    <row r="4" spans="1:3" x14ac:dyDescent="0.3">
      <c r="A4" s="23" t="s">
        <v>36</v>
      </c>
      <c r="B4" s="23">
        <v>85</v>
      </c>
      <c r="C4" s="23"/>
    </row>
    <row r="5" spans="1:3" x14ac:dyDescent="0.3">
      <c r="A5" s="23" t="s">
        <v>206</v>
      </c>
      <c r="B5" s="23">
        <v>60</v>
      </c>
      <c r="C5" s="23">
        <v>70</v>
      </c>
    </row>
    <row r="6" spans="1:3" x14ac:dyDescent="0.3">
      <c r="A6" s="23" t="s">
        <v>35</v>
      </c>
      <c r="B6" s="23">
        <v>75</v>
      </c>
      <c r="C6" s="23">
        <v>85</v>
      </c>
    </row>
    <row r="7" spans="1:3" x14ac:dyDescent="0.3">
      <c r="A7" s="23" t="s">
        <v>120</v>
      </c>
      <c r="B7" s="23">
        <v>220</v>
      </c>
      <c r="C7" s="23"/>
    </row>
    <row r="8" spans="1:3" x14ac:dyDescent="0.3">
      <c r="A8" s="23"/>
      <c r="B8" s="23"/>
      <c r="C8" s="23"/>
    </row>
    <row r="9" spans="1:3" x14ac:dyDescent="0.3">
      <c r="A9" s="23" t="s">
        <v>45</v>
      </c>
      <c r="B9" s="23"/>
      <c r="C9" s="23"/>
    </row>
    <row r="10" spans="1:3" x14ac:dyDescent="0.3">
      <c r="A10" s="23" t="s">
        <v>30</v>
      </c>
      <c r="B10" s="23">
        <v>200</v>
      </c>
      <c r="C10" s="23">
        <v>400</v>
      </c>
    </row>
    <row r="11" spans="1:3" x14ac:dyDescent="0.3">
      <c r="A11" s="23" t="s">
        <v>31</v>
      </c>
      <c r="B11" s="23">
        <v>400</v>
      </c>
      <c r="C11" s="23">
        <v>418</v>
      </c>
    </row>
    <row r="12" spans="1:3" x14ac:dyDescent="0.3">
      <c r="A12" s="23" t="s">
        <v>32</v>
      </c>
      <c r="B12" s="23">
        <v>700</v>
      </c>
      <c r="C12" s="23">
        <v>765</v>
      </c>
    </row>
    <row r="13" spans="1:3" ht="28.8" x14ac:dyDescent="0.3">
      <c r="A13" s="163" t="s">
        <v>207</v>
      </c>
      <c r="B13" s="23">
        <v>500</v>
      </c>
      <c r="C13" s="23">
        <v>450</v>
      </c>
    </row>
    <row r="14" spans="1:3" x14ac:dyDescent="0.3">
      <c r="A14" s="23" t="s">
        <v>121</v>
      </c>
      <c r="B14" s="23">
        <v>1800</v>
      </c>
      <c r="C14" s="23">
        <v>2033</v>
      </c>
    </row>
    <row r="15" spans="1:3" x14ac:dyDescent="0.3">
      <c r="A15" s="23" t="s">
        <v>119</v>
      </c>
      <c r="B15" s="23">
        <v>2020</v>
      </c>
      <c r="C15" s="23"/>
    </row>
    <row r="16" spans="1:3" x14ac:dyDescent="0.3">
      <c r="A16" s="23"/>
      <c r="B16" s="23"/>
      <c r="C16" s="23"/>
    </row>
    <row r="17" spans="1:3" x14ac:dyDescent="0.3">
      <c r="A17" s="23" t="s">
        <v>23</v>
      </c>
      <c r="B17" s="23"/>
      <c r="C17" s="23"/>
    </row>
    <row r="18" spans="1:3" x14ac:dyDescent="0.3">
      <c r="A18" s="23" t="s">
        <v>122</v>
      </c>
      <c r="B18" s="23"/>
      <c r="C18" s="23"/>
    </row>
    <row r="19" spans="1:3" x14ac:dyDescent="0.3">
      <c r="A19" s="23" t="s">
        <v>24</v>
      </c>
      <c r="B19" s="23">
        <v>638</v>
      </c>
      <c r="C19" s="23">
        <v>838</v>
      </c>
    </row>
    <row r="20" spans="1:3" x14ac:dyDescent="0.3">
      <c r="A20" s="23" t="s">
        <v>148</v>
      </c>
      <c r="B20" s="23">
        <v>575</v>
      </c>
      <c r="C20" s="23">
        <v>660</v>
      </c>
    </row>
    <row r="21" spans="1:3" x14ac:dyDescent="0.3">
      <c r="A21" s="23" t="s">
        <v>125</v>
      </c>
      <c r="B21" s="23">
        <v>1213</v>
      </c>
      <c r="C21" s="23">
        <v>1498</v>
      </c>
    </row>
    <row r="22" spans="1:3" x14ac:dyDescent="0.3">
      <c r="A22" s="23"/>
      <c r="B22" s="23"/>
      <c r="C22" s="23"/>
    </row>
    <row r="23" spans="1:3" x14ac:dyDescent="0.3">
      <c r="A23" s="23" t="s">
        <v>123</v>
      </c>
      <c r="B23" s="23"/>
      <c r="C23" s="23"/>
    </row>
    <row r="24" spans="1:3" x14ac:dyDescent="0.3">
      <c r="A24" s="23" t="s">
        <v>28</v>
      </c>
      <c r="B24" s="23">
        <v>97</v>
      </c>
      <c r="C24" s="23">
        <v>105</v>
      </c>
    </row>
    <row r="25" spans="1:3" x14ac:dyDescent="0.3">
      <c r="A25" s="23" t="s">
        <v>27</v>
      </c>
      <c r="B25" s="23">
        <v>150</v>
      </c>
      <c r="C25" s="23">
        <v>250</v>
      </c>
    </row>
    <row r="26" spans="1:3" x14ac:dyDescent="0.3">
      <c r="A26" s="23" t="s">
        <v>70</v>
      </c>
      <c r="B26" s="23">
        <v>247</v>
      </c>
      <c r="C26" s="23">
        <v>355</v>
      </c>
    </row>
    <row r="27" spans="1:3" x14ac:dyDescent="0.3">
      <c r="A27" s="23" t="s">
        <v>124</v>
      </c>
      <c r="B27" s="23"/>
      <c r="C27" s="23"/>
    </row>
    <row r="28" spans="1:3" x14ac:dyDescent="0.3">
      <c r="A28" s="23" t="s">
        <v>26</v>
      </c>
      <c r="B28" s="23">
        <v>560</v>
      </c>
      <c r="C28" s="23">
        <v>605</v>
      </c>
    </row>
    <row r="29" spans="1:3" x14ac:dyDescent="0.3">
      <c r="A29" s="23" t="s">
        <v>127</v>
      </c>
      <c r="B29" s="23">
        <v>807</v>
      </c>
      <c r="C29" s="23">
        <v>960</v>
      </c>
    </row>
    <row r="30" spans="1:3" x14ac:dyDescent="0.3">
      <c r="A30" s="23" t="s">
        <v>126</v>
      </c>
      <c r="B30" s="23">
        <v>2020</v>
      </c>
      <c r="C30" s="23">
        <v>2458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3"/>
  <sheetViews>
    <sheetView topLeftCell="A10" workbookViewId="0">
      <selection activeCell="D38" sqref="D38"/>
    </sheetView>
  </sheetViews>
  <sheetFormatPr defaultRowHeight="14.4" x14ac:dyDescent="0.3"/>
  <cols>
    <col min="1" max="1" width="18" customWidth="1"/>
    <col min="4" max="4" width="15.44140625" customWidth="1"/>
  </cols>
  <sheetData>
    <row r="4" spans="1:5" x14ac:dyDescent="0.3">
      <c r="A4" s="164" t="s">
        <v>128</v>
      </c>
      <c r="B4" s="165"/>
      <c r="C4" s="165"/>
      <c r="D4" s="165" t="s">
        <v>214</v>
      </c>
      <c r="E4" s="166"/>
    </row>
    <row r="5" spans="1:5" x14ac:dyDescent="0.3">
      <c r="A5" s="167" t="s">
        <v>29</v>
      </c>
      <c r="B5" s="168"/>
      <c r="C5" s="168"/>
      <c r="D5" s="168" t="s">
        <v>109</v>
      </c>
      <c r="E5" s="169">
        <v>105</v>
      </c>
    </row>
    <row r="6" spans="1:5" x14ac:dyDescent="0.3">
      <c r="A6" s="167" t="s">
        <v>33</v>
      </c>
      <c r="B6" s="168"/>
      <c r="C6" s="168"/>
      <c r="D6" s="168" t="s">
        <v>110</v>
      </c>
      <c r="E6" s="169">
        <v>107</v>
      </c>
    </row>
    <row r="7" spans="1:5" x14ac:dyDescent="0.3">
      <c r="A7" s="167" t="s">
        <v>36</v>
      </c>
      <c r="B7" s="168">
        <v>85</v>
      </c>
      <c r="C7" s="168">
        <v>270</v>
      </c>
      <c r="D7" s="168" t="s">
        <v>93</v>
      </c>
      <c r="E7" s="169">
        <v>50</v>
      </c>
    </row>
    <row r="8" spans="1:5" x14ac:dyDescent="0.3">
      <c r="A8" s="167" t="s">
        <v>206</v>
      </c>
      <c r="B8" s="168">
        <v>60</v>
      </c>
      <c r="C8" s="168">
        <v>70</v>
      </c>
      <c r="D8" s="168" t="s">
        <v>215</v>
      </c>
      <c r="E8" s="169">
        <v>-10</v>
      </c>
    </row>
    <row r="9" spans="1:5" x14ac:dyDescent="0.3">
      <c r="A9" s="167" t="s">
        <v>35</v>
      </c>
      <c r="B9" s="168">
        <v>75</v>
      </c>
      <c r="C9" s="168">
        <v>85</v>
      </c>
      <c r="D9" s="168" t="s">
        <v>216</v>
      </c>
      <c r="E9" s="169">
        <v>-10</v>
      </c>
    </row>
    <row r="10" spans="1:5" x14ac:dyDescent="0.3">
      <c r="A10" s="167" t="s">
        <v>120</v>
      </c>
      <c r="B10" s="168">
        <v>220</v>
      </c>
      <c r="C10" s="168">
        <v>425</v>
      </c>
      <c r="D10" s="168" t="s">
        <v>217</v>
      </c>
      <c r="E10" s="169">
        <v>8</v>
      </c>
    </row>
    <row r="11" spans="1:5" x14ac:dyDescent="0.3">
      <c r="A11" s="167"/>
      <c r="B11" s="168"/>
      <c r="C11" s="168"/>
      <c r="D11" s="168"/>
      <c r="E11" s="169">
        <v>250</v>
      </c>
    </row>
    <row r="12" spans="1:5" x14ac:dyDescent="0.3">
      <c r="A12" s="167" t="s">
        <v>45</v>
      </c>
      <c r="B12" s="168"/>
      <c r="C12" s="168"/>
      <c r="D12" s="168"/>
      <c r="E12" s="169"/>
    </row>
    <row r="13" spans="1:5" x14ac:dyDescent="0.3">
      <c r="A13" s="167" t="s">
        <v>30</v>
      </c>
      <c r="B13" s="168">
        <v>200</v>
      </c>
      <c r="C13" s="168">
        <v>400</v>
      </c>
      <c r="D13" s="168" t="s">
        <v>218</v>
      </c>
      <c r="E13" s="169"/>
    </row>
    <row r="14" spans="1:5" x14ac:dyDescent="0.3">
      <c r="A14" s="167" t="s">
        <v>31</v>
      </c>
      <c r="B14" s="168">
        <v>400</v>
      </c>
      <c r="C14" s="168">
        <v>418</v>
      </c>
      <c r="D14" s="168" t="s">
        <v>30</v>
      </c>
      <c r="E14" s="169">
        <v>-200</v>
      </c>
    </row>
    <row r="15" spans="1:5" x14ac:dyDescent="0.3">
      <c r="A15" s="167" t="s">
        <v>32</v>
      </c>
      <c r="B15" s="168">
        <v>700</v>
      </c>
      <c r="C15" s="168">
        <v>765</v>
      </c>
      <c r="D15" s="168" t="s">
        <v>219</v>
      </c>
      <c r="E15" s="169">
        <v>-40</v>
      </c>
    </row>
    <row r="16" spans="1:5" x14ac:dyDescent="0.3">
      <c r="A16" s="167" t="s">
        <v>207</v>
      </c>
      <c r="B16" s="168">
        <v>500</v>
      </c>
      <c r="C16" s="168">
        <v>450</v>
      </c>
      <c r="D16" s="168" t="s">
        <v>227</v>
      </c>
      <c r="E16" s="169">
        <v>-120</v>
      </c>
    </row>
    <row r="17" spans="1:5" x14ac:dyDescent="0.3">
      <c r="A17" s="167" t="s">
        <v>121</v>
      </c>
      <c r="B17" s="168">
        <v>1800</v>
      </c>
      <c r="C17" s="168">
        <v>2033</v>
      </c>
      <c r="D17" s="168" t="s">
        <v>220</v>
      </c>
      <c r="E17" s="169">
        <v>-50</v>
      </c>
    </row>
    <row r="18" spans="1:5" x14ac:dyDescent="0.3">
      <c r="A18" s="167" t="s">
        <v>119</v>
      </c>
      <c r="B18" s="168">
        <v>2020</v>
      </c>
      <c r="C18" s="168">
        <v>2458</v>
      </c>
      <c r="D18" s="168" t="s">
        <v>104</v>
      </c>
      <c r="E18" s="169">
        <v>-12</v>
      </c>
    </row>
    <row r="19" spans="1:5" x14ac:dyDescent="0.3">
      <c r="A19" s="167"/>
      <c r="B19" s="168"/>
      <c r="C19" s="168"/>
      <c r="D19" s="168" t="s">
        <v>221</v>
      </c>
      <c r="E19" s="169">
        <v>47</v>
      </c>
    </row>
    <row r="20" spans="1:5" x14ac:dyDescent="0.3">
      <c r="A20" s="167" t="s">
        <v>23</v>
      </c>
      <c r="B20" s="168"/>
      <c r="C20" s="168"/>
      <c r="D20" s="168" t="s">
        <v>223</v>
      </c>
      <c r="E20" s="169">
        <v>-15</v>
      </c>
    </row>
    <row r="21" spans="1:5" x14ac:dyDescent="0.3">
      <c r="A21" s="167" t="s">
        <v>122</v>
      </c>
      <c r="B21" s="168"/>
      <c r="C21" s="168"/>
      <c r="D21" s="168"/>
      <c r="E21" s="169">
        <v>-390</v>
      </c>
    </row>
    <row r="22" spans="1:5" x14ac:dyDescent="0.3">
      <c r="A22" s="167" t="s">
        <v>24</v>
      </c>
      <c r="B22" s="168">
        <v>638</v>
      </c>
      <c r="C22" s="168">
        <v>838</v>
      </c>
      <c r="D22" s="168" t="s">
        <v>224</v>
      </c>
      <c r="E22" s="169"/>
    </row>
    <row r="23" spans="1:5" x14ac:dyDescent="0.3">
      <c r="A23" s="167" t="s">
        <v>148</v>
      </c>
      <c r="B23" s="168">
        <v>575</v>
      </c>
      <c r="C23" s="168">
        <v>660</v>
      </c>
      <c r="D23" s="168" t="s">
        <v>174</v>
      </c>
      <c r="E23" s="169">
        <v>200</v>
      </c>
    </row>
    <row r="24" spans="1:5" x14ac:dyDescent="0.3">
      <c r="A24" s="167" t="s">
        <v>125</v>
      </c>
      <c r="B24" s="168">
        <v>1213</v>
      </c>
      <c r="C24" s="168">
        <v>1498</v>
      </c>
      <c r="D24" s="168" t="s">
        <v>225</v>
      </c>
      <c r="E24" s="169">
        <v>-5</v>
      </c>
    </row>
    <row r="25" spans="1:5" x14ac:dyDescent="0.3">
      <c r="A25" s="167"/>
      <c r="B25" s="168"/>
      <c r="C25" s="168"/>
      <c r="D25" s="168" t="s">
        <v>228</v>
      </c>
      <c r="E25" s="169">
        <v>50</v>
      </c>
    </row>
    <row r="26" spans="1:5" x14ac:dyDescent="0.3">
      <c r="A26" s="167" t="s">
        <v>123</v>
      </c>
      <c r="B26" s="168"/>
      <c r="C26" s="168"/>
      <c r="D26" s="168" t="s">
        <v>226</v>
      </c>
      <c r="E26" s="169">
        <v>100</v>
      </c>
    </row>
    <row r="27" spans="1:5" x14ac:dyDescent="0.3">
      <c r="A27" s="167" t="s">
        <v>28</v>
      </c>
      <c r="B27" s="168">
        <v>97</v>
      </c>
      <c r="C27" s="168">
        <v>105</v>
      </c>
      <c r="D27" s="168" t="s">
        <v>42</v>
      </c>
      <c r="E27" s="169">
        <v>-20</v>
      </c>
    </row>
    <row r="28" spans="1:5" x14ac:dyDescent="0.3">
      <c r="A28" s="167" t="s">
        <v>27</v>
      </c>
      <c r="B28" s="168">
        <v>150</v>
      </c>
      <c r="C28" s="168">
        <v>250</v>
      </c>
      <c r="D28" s="168"/>
      <c r="E28" s="169">
        <v>325</v>
      </c>
    </row>
    <row r="29" spans="1:5" x14ac:dyDescent="0.3">
      <c r="A29" s="167" t="s">
        <v>70</v>
      </c>
      <c r="B29" s="168">
        <v>247</v>
      </c>
      <c r="C29" s="168">
        <v>355</v>
      </c>
      <c r="D29" s="168"/>
      <c r="E29" s="169"/>
    </row>
    <row r="30" spans="1:5" x14ac:dyDescent="0.3">
      <c r="A30" s="167" t="s">
        <v>124</v>
      </c>
      <c r="B30" s="168"/>
      <c r="C30" s="168"/>
      <c r="D30" s="168" t="s">
        <v>138</v>
      </c>
      <c r="E30" s="169">
        <v>185</v>
      </c>
    </row>
    <row r="31" spans="1:5" x14ac:dyDescent="0.3">
      <c r="A31" s="167" t="s">
        <v>26</v>
      </c>
      <c r="B31" s="168">
        <v>560</v>
      </c>
      <c r="C31" s="168">
        <v>605</v>
      </c>
      <c r="D31" s="168"/>
      <c r="E31" s="169">
        <v>270</v>
      </c>
    </row>
    <row r="32" spans="1:5" x14ac:dyDescent="0.3">
      <c r="A32" s="167" t="s">
        <v>127</v>
      </c>
      <c r="B32" s="168">
        <v>807</v>
      </c>
      <c r="C32" s="168">
        <v>960</v>
      </c>
      <c r="D32" s="168"/>
      <c r="E32" s="169"/>
    </row>
    <row r="33" spans="1:5" x14ac:dyDescent="0.3">
      <c r="A33" s="170" t="s">
        <v>126</v>
      </c>
      <c r="B33" s="171">
        <v>2020</v>
      </c>
      <c r="C33" s="171">
        <v>2458</v>
      </c>
      <c r="D33" s="171"/>
      <c r="E33" s="17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B22" workbookViewId="0">
      <selection activeCell="J43" sqref="J43"/>
    </sheetView>
  </sheetViews>
  <sheetFormatPr defaultRowHeight="14.4" x14ac:dyDescent="0.3"/>
  <cols>
    <col min="1" max="1" width="34.44140625" customWidth="1"/>
    <col min="2" max="2" width="13.21875" customWidth="1"/>
    <col min="4" max="4" width="49.5546875" customWidth="1"/>
    <col min="10" max="10" width="15.77734375" customWidth="1"/>
  </cols>
  <sheetData>
    <row r="1" spans="1:14" x14ac:dyDescent="0.3">
      <c r="A1" t="s">
        <v>0</v>
      </c>
      <c r="B1">
        <v>6000</v>
      </c>
    </row>
    <row r="2" spans="1:14" x14ac:dyDescent="0.3">
      <c r="A2" t="s">
        <v>1</v>
      </c>
      <c r="B2">
        <v>3000</v>
      </c>
      <c r="D2" t="s">
        <v>105</v>
      </c>
      <c r="E2">
        <v>1120</v>
      </c>
      <c r="J2" t="s">
        <v>105</v>
      </c>
      <c r="K2">
        <v>1500</v>
      </c>
    </row>
    <row r="3" spans="1:14" x14ac:dyDescent="0.3">
      <c r="A3" s="205" t="s">
        <v>2</v>
      </c>
      <c r="B3" s="205">
        <v>12000</v>
      </c>
      <c r="D3" s="205" t="s">
        <v>2</v>
      </c>
      <c r="E3" s="206">
        <v>500</v>
      </c>
      <c r="J3" t="s">
        <v>2</v>
      </c>
      <c r="K3">
        <v>700</v>
      </c>
    </row>
    <row r="4" spans="1:14" x14ac:dyDescent="0.3">
      <c r="A4" s="205" t="s">
        <v>3</v>
      </c>
      <c r="B4" s="205">
        <v>36000</v>
      </c>
      <c r="D4" s="205" t="s">
        <v>3</v>
      </c>
      <c r="E4" s="205">
        <v>600</v>
      </c>
      <c r="J4" t="s">
        <v>3</v>
      </c>
      <c r="K4">
        <v>700</v>
      </c>
    </row>
    <row r="5" spans="1:14" x14ac:dyDescent="0.3">
      <c r="A5" t="s">
        <v>4</v>
      </c>
      <c r="B5">
        <v>15400</v>
      </c>
      <c r="D5" s="205" t="s">
        <v>6</v>
      </c>
      <c r="E5" s="205">
        <v>50</v>
      </c>
      <c r="J5" t="s">
        <v>6</v>
      </c>
      <c r="K5">
        <v>100</v>
      </c>
    </row>
    <row r="6" spans="1:14" x14ac:dyDescent="0.3">
      <c r="A6" t="s">
        <v>5</v>
      </c>
      <c r="B6">
        <v>3600</v>
      </c>
      <c r="D6" s="205" t="s">
        <v>46</v>
      </c>
      <c r="E6" s="206">
        <v>300</v>
      </c>
      <c r="J6" t="s">
        <v>46</v>
      </c>
      <c r="K6">
        <v>400</v>
      </c>
    </row>
    <row r="7" spans="1:14" x14ac:dyDescent="0.3">
      <c r="A7" s="205" t="s">
        <v>6</v>
      </c>
      <c r="B7" s="205">
        <v>2500</v>
      </c>
      <c r="D7" s="205" t="s">
        <v>9</v>
      </c>
      <c r="E7" s="206">
        <v>160</v>
      </c>
      <c r="J7" t="s">
        <v>9</v>
      </c>
      <c r="K7">
        <v>200</v>
      </c>
    </row>
    <row r="8" spans="1:14" x14ac:dyDescent="0.3">
      <c r="A8" t="s">
        <v>7</v>
      </c>
      <c r="B8">
        <v>500</v>
      </c>
      <c r="D8" s="205" t="s">
        <v>11</v>
      </c>
      <c r="E8" s="205">
        <v>20</v>
      </c>
      <c r="J8" t="s">
        <v>11</v>
      </c>
      <c r="K8">
        <v>50</v>
      </c>
    </row>
    <row r="9" spans="1:14" x14ac:dyDescent="0.3">
      <c r="A9" t="s">
        <v>8</v>
      </c>
      <c r="B9">
        <v>85000</v>
      </c>
      <c r="D9" s="205" t="s">
        <v>50</v>
      </c>
      <c r="E9" s="206">
        <v>30</v>
      </c>
      <c r="F9" t="s">
        <v>245</v>
      </c>
      <c r="G9" t="s">
        <v>212</v>
      </c>
      <c r="H9" t="s">
        <v>246</v>
      </c>
      <c r="J9" t="s">
        <v>50</v>
      </c>
      <c r="K9">
        <v>20</v>
      </c>
      <c r="L9" t="s">
        <v>245</v>
      </c>
      <c r="M9" t="s">
        <v>212</v>
      </c>
      <c r="N9" t="s">
        <v>246</v>
      </c>
    </row>
    <row r="10" spans="1:14" x14ac:dyDescent="0.3">
      <c r="A10" s="205" t="s">
        <v>46</v>
      </c>
      <c r="B10" s="205">
        <v>300</v>
      </c>
      <c r="D10" s="205" t="s">
        <v>244</v>
      </c>
      <c r="E10" s="206">
        <v>150</v>
      </c>
      <c r="F10">
        <f>E4+E5+E8</f>
        <v>670</v>
      </c>
      <c r="G10">
        <f>E2-F15</f>
        <v>300</v>
      </c>
      <c r="H10">
        <f>G10-E11-E12</f>
        <v>200</v>
      </c>
      <c r="J10" t="s">
        <v>244</v>
      </c>
      <c r="K10">
        <v>100</v>
      </c>
      <c r="L10">
        <f>K4+K5+K8</f>
        <v>850</v>
      </c>
      <c r="M10">
        <f>K2-L15</f>
        <v>550</v>
      </c>
      <c r="N10">
        <f>M10-K11-K12</f>
        <v>430</v>
      </c>
    </row>
    <row r="11" spans="1:14" x14ac:dyDescent="0.3">
      <c r="A11" t="s">
        <v>47</v>
      </c>
      <c r="B11">
        <v>2500</v>
      </c>
      <c r="D11" s="205" t="s">
        <v>260</v>
      </c>
      <c r="E11" s="206">
        <v>50</v>
      </c>
      <c r="F11">
        <f>E4+E5+E7+E8+E10</f>
        <v>980</v>
      </c>
      <c r="G11">
        <f>E2-F10</f>
        <v>450</v>
      </c>
      <c r="H11">
        <f>G11-E11-E12</f>
        <v>350</v>
      </c>
      <c r="J11" t="s">
        <v>260</v>
      </c>
      <c r="K11">
        <v>70</v>
      </c>
      <c r="L11">
        <f>K4+K5+K7+K8+K10</f>
        <v>1150</v>
      </c>
      <c r="M11">
        <f>K2-L10</f>
        <v>650</v>
      </c>
      <c r="N11">
        <f>M11-K11-K12</f>
        <v>530</v>
      </c>
    </row>
    <row r="12" spans="1:14" x14ac:dyDescent="0.3">
      <c r="A12" t="s">
        <v>112</v>
      </c>
      <c r="B12">
        <v>300</v>
      </c>
      <c r="D12" s="205" t="s">
        <v>42</v>
      </c>
      <c r="E12" s="206">
        <v>50</v>
      </c>
      <c r="F12">
        <f>SUM(E3:E11)</f>
        <v>1860</v>
      </c>
      <c r="G12">
        <f>E2-F12</f>
        <v>-740</v>
      </c>
      <c r="H12">
        <f>G12-E11-E12</f>
        <v>-840</v>
      </c>
      <c r="J12" t="s">
        <v>42</v>
      </c>
      <c r="K12">
        <v>50</v>
      </c>
      <c r="L12">
        <f>SUM(K3:K11)</f>
        <v>2340</v>
      </c>
      <c r="M12">
        <f>K2-L12</f>
        <v>-840</v>
      </c>
      <c r="N12">
        <f>M12-K11-K12</f>
        <v>-960</v>
      </c>
    </row>
    <row r="13" spans="1:14" x14ac:dyDescent="0.3">
      <c r="A13" t="s">
        <v>49</v>
      </c>
      <c r="B13">
        <v>200</v>
      </c>
      <c r="F13">
        <f>E4+E5+E7+E8+E9+E10</f>
        <v>1010</v>
      </c>
      <c r="G13">
        <f>E2-F13</f>
        <v>110</v>
      </c>
      <c r="H13">
        <f>G13-E11-E12</f>
        <v>10</v>
      </c>
      <c r="L13">
        <f>K4+K5+K7+K8+K9+K10</f>
        <v>1170</v>
      </c>
      <c r="M13">
        <f>K2-L13</f>
        <v>330</v>
      </c>
      <c r="N13">
        <f>M13-K11-K12</f>
        <v>210</v>
      </c>
    </row>
    <row r="14" spans="1:14" x14ac:dyDescent="0.3">
      <c r="A14" s="205" t="s">
        <v>9</v>
      </c>
      <c r="B14" s="205">
        <v>1600</v>
      </c>
    </row>
    <row r="15" spans="1:14" x14ac:dyDescent="0.3">
      <c r="A15" t="s">
        <v>10</v>
      </c>
      <c r="B15">
        <v>8100</v>
      </c>
      <c r="F15">
        <f>E4+E5+E8+E10</f>
        <v>820</v>
      </c>
      <c r="L15">
        <f>K4+K5+K8+K10</f>
        <v>950</v>
      </c>
    </row>
    <row r="16" spans="1:14" x14ac:dyDescent="0.3">
      <c r="A16" s="205" t="s">
        <v>11</v>
      </c>
      <c r="B16" s="205">
        <v>350</v>
      </c>
      <c r="D16" t="s">
        <v>248</v>
      </c>
      <c r="E16">
        <v>250</v>
      </c>
    </row>
    <row r="17" spans="1:14" x14ac:dyDescent="0.3">
      <c r="A17" s="205" t="s">
        <v>50</v>
      </c>
      <c r="B17" s="205">
        <v>20</v>
      </c>
      <c r="D17" t="s">
        <v>249</v>
      </c>
      <c r="E17">
        <v>1000</v>
      </c>
      <c r="J17" t="s">
        <v>105</v>
      </c>
      <c r="K17">
        <v>1120</v>
      </c>
    </row>
    <row r="18" spans="1:14" x14ac:dyDescent="0.3">
      <c r="A18" t="s">
        <v>12</v>
      </c>
      <c r="B18">
        <v>1250</v>
      </c>
      <c r="D18" t="s">
        <v>250</v>
      </c>
      <c r="E18" s="207" t="s">
        <v>247</v>
      </c>
      <c r="J18" t="s">
        <v>2</v>
      </c>
      <c r="K18">
        <v>500</v>
      </c>
      <c r="L18">
        <f>K19+K20+K23+K24</f>
        <v>770</v>
      </c>
      <c r="M18" t="s">
        <v>272</v>
      </c>
    </row>
    <row r="19" spans="1:14" x14ac:dyDescent="0.3">
      <c r="A19" t="s">
        <v>243</v>
      </c>
      <c r="B19">
        <v>2400</v>
      </c>
      <c r="D19" t="s">
        <v>251</v>
      </c>
      <c r="E19">
        <v>3000</v>
      </c>
      <c r="J19" t="s">
        <v>3</v>
      </c>
      <c r="K19">
        <v>600</v>
      </c>
      <c r="L19">
        <f>K17-L18</f>
        <v>350</v>
      </c>
      <c r="M19" t="s">
        <v>273</v>
      </c>
    </row>
    <row r="20" spans="1:14" x14ac:dyDescent="0.3">
      <c r="A20" t="s">
        <v>13</v>
      </c>
      <c r="B20">
        <v>1020</v>
      </c>
      <c r="D20" t="s">
        <v>252</v>
      </c>
      <c r="E20">
        <f>E16+E17+E19-2000</f>
        <v>2250</v>
      </c>
      <c r="J20" t="s">
        <v>6</v>
      </c>
      <c r="K20">
        <v>30</v>
      </c>
      <c r="L20">
        <f>L19-K26-K27-K28</f>
        <v>100</v>
      </c>
    </row>
    <row r="21" spans="1:14" x14ac:dyDescent="0.3">
      <c r="A21" t="s">
        <v>14</v>
      </c>
      <c r="B21">
        <v>150000</v>
      </c>
      <c r="E21">
        <f>E16+E17+E19+2000</f>
        <v>6250</v>
      </c>
      <c r="J21" t="s">
        <v>46</v>
      </c>
      <c r="K21">
        <v>300</v>
      </c>
    </row>
    <row r="22" spans="1:14" x14ac:dyDescent="0.3">
      <c r="A22" t="s">
        <v>15</v>
      </c>
      <c r="B22">
        <v>985</v>
      </c>
      <c r="E22">
        <f>E17+E19-2000</f>
        <v>2000</v>
      </c>
      <c r="J22" t="s">
        <v>9</v>
      </c>
      <c r="K22">
        <v>160</v>
      </c>
    </row>
    <row r="23" spans="1:14" x14ac:dyDescent="0.3">
      <c r="A23" t="s">
        <v>16</v>
      </c>
      <c r="B23">
        <v>2450</v>
      </c>
      <c r="J23" t="s">
        <v>271</v>
      </c>
      <c r="K23">
        <v>120</v>
      </c>
    </row>
    <row r="24" spans="1:14" x14ac:dyDescent="0.3">
      <c r="A24" t="s">
        <v>17</v>
      </c>
      <c r="B24">
        <v>750</v>
      </c>
      <c r="J24" t="s">
        <v>11</v>
      </c>
      <c r="K24">
        <v>20</v>
      </c>
    </row>
    <row r="25" spans="1:14" x14ac:dyDescent="0.3">
      <c r="A25" t="s">
        <v>18</v>
      </c>
      <c r="B25">
        <v>9000</v>
      </c>
      <c r="D25" t="s">
        <v>248</v>
      </c>
      <c r="E25">
        <v>250</v>
      </c>
      <c r="J25" t="s">
        <v>50</v>
      </c>
      <c r="K25">
        <v>30</v>
      </c>
      <c r="L25" t="s">
        <v>245</v>
      </c>
      <c r="M25" t="s">
        <v>212</v>
      </c>
      <c r="N25" t="s">
        <v>246</v>
      </c>
    </row>
    <row r="26" spans="1:14" x14ac:dyDescent="0.3">
      <c r="A26" t="s">
        <v>19</v>
      </c>
      <c r="B26">
        <v>8717</v>
      </c>
      <c r="J26" t="s">
        <v>244</v>
      </c>
      <c r="K26">
        <v>150</v>
      </c>
      <c r="L26">
        <f>K19+K20+K24</f>
        <v>650</v>
      </c>
      <c r="M26">
        <f>K17-L31</f>
        <v>320</v>
      </c>
      <c r="N26">
        <f>M26-K27-K28</f>
        <v>220</v>
      </c>
    </row>
    <row r="27" spans="1:14" x14ac:dyDescent="0.3">
      <c r="A27" t="s">
        <v>20</v>
      </c>
      <c r="B27">
        <v>250</v>
      </c>
      <c r="J27" t="s">
        <v>260</v>
      </c>
      <c r="K27">
        <v>50</v>
      </c>
      <c r="L27">
        <f>K19+K20+K22+K24+K26</f>
        <v>960</v>
      </c>
      <c r="M27">
        <f>K17-L26</f>
        <v>470</v>
      </c>
      <c r="N27">
        <f>M27-K27-K28</f>
        <v>370</v>
      </c>
    </row>
    <row r="28" spans="1:14" x14ac:dyDescent="0.3">
      <c r="A28" t="s">
        <v>21</v>
      </c>
      <c r="B28">
        <v>50</v>
      </c>
      <c r="J28" t="s">
        <v>42</v>
      </c>
      <c r="K28">
        <v>50</v>
      </c>
      <c r="L28">
        <f>SUM(K18:K27)</f>
        <v>1960</v>
      </c>
      <c r="M28">
        <f>K17-L28</f>
        <v>-840</v>
      </c>
      <c r="N28">
        <f>M28-K27-K28</f>
        <v>-940</v>
      </c>
    </row>
    <row r="29" spans="1:14" x14ac:dyDescent="0.3">
      <c r="A29" t="s">
        <v>98</v>
      </c>
      <c r="B29">
        <v>1000</v>
      </c>
      <c r="L29">
        <f>K19+K20+K22+K24+K25+K26</f>
        <v>990</v>
      </c>
      <c r="M29">
        <f>K17-L29</f>
        <v>130</v>
      </c>
      <c r="N29">
        <f>M29-K27-K28</f>
        <v>30</v>
      </c>
    </row>
    <row r="30" spans="1:14" x14ac:dyDescent="0.3">
      <c r="A30" t="s">
        <v>113</v>
      </c>
      <c r="B30">
        <v>1000</v>
      </c>
      <c r="D30" t="s">
        <v>249</v>
      </c>
      <c r="E30">
        <v>1000</v>
      </c>
    </row>
    <row r="31" spans="1:14" x14ac:dyDescent="0.3">
      <c r="A31" t="s">
        <v>164</v>
      </c>
      <c r="D31" t="s">
        <v>250</v>
      </c>
      <c r="E31" s="207" t="s">
        <v>247</v>
      </c>
      <c r="L31">
        <f>K19+K20+K24+K26</f>
        <v>800</v>
      </c>
    </row>
    <row r="32" spans="1:14" x14ac:dyDescent="0.3">
      <c r="A32" t="s">
        <v>22</v>
      </c>
      <c r="B32">
        <v>9900</v>
      </c>
      <c r="D32" t="s">
        <v>251</v>
      </c>
      <c r="E32">
        <v>3000</v>
      </c>
    </row>
    <row r="33" spans="4:11" x14ac:dyDescent="0.3">
      <c r="D33" t="s">
        <v>252</v>
      </c>
      <c r="E33">
        <f>E25+E30+E32-2000</f>
        <v>2250</v>
      </c>
    </row>
    <row r="34" spans="4:11" x14ac:dyDescent="0.3">
      <c r="E34">
        <f>E25+E30+E32+2000</f>
        <v>6250</v>
      </c>
    </row>
    <row r="35" spans="4:11" x14ac:dyDescent="0.3">
      <c r="E35">
        <f>E30+E32-2000</f>
        <v>2000</v>
      </c>
    </row>
    <row r="38" spans="4:11" x14ac:dyDescent="0.3">
      <c r="D38" t="s">
        <v>254</v>
      </c>
    </row>
    <row r="39" spans="4:11" x14ac:dyDescent="0.3">
      <c r="D39" t="s">
        <v>30</v>
      </c>
      <c r="E39">
        <v>200</v>
      </c>
      <c r="F39">
        <f>E39</f>
        <v>200</v>
      </c>
      <c r="G39">
        <f>E39</f>
        <v>200</v>
      </c>
      <c r="H39">
        <f>E39</f>
        <v>200</v>
      </c>
    </row>
    <row r="40" spans="4:11" x14ac:dyDescent="0.3">
      <c r="D40" t="s">
        <v>31</v>
      </c>
      <c r="E40">
        <v>100</v>
      </c>
      <c r="F40">
        <f>E40*0.95</f>
        <v>95</v>
      </c>
      <c r="G40">
        <f>E40*0.9</f>
        <v>90</v>
      </c>
      <c r="H40">
        <f>E40</f>
        <v>100</v>
      </c>
    </row>
    <row r="41" spans="4:11" ht="45.6" customHeight="1" x14ac:dyDescent="0.3">
      <c r="D41" t="s">
        <v>188</v>
      </c>
      <c r="E41">
        <v>300</v>
      </c>
      <c r="F41">
        <f>E41*0.9</f>
        <v>270</v>
      </c>
      <c r="G41">
        <f>E41*0.9</f>
        <v>270</v>
      </c>
      <c r="H41">
        <f>E41*0.9</f>
        <v>270</v>
      </c>
    </row>
    <row r="42" spans="4:11" x14ac:dyDescent="0.3">
      <c r="D42" t="s">
        <v>253</v>
      </c>
      <c r="E42">
        <v>250</v>
      </c>
      <c r="F42">
        <v>200</v>
      </c>
      <c r="G42">
        <v>200</v>
      </c>
      <c r="H42">
        <f>F42</f>
        <v>200</v>
      </c>
    </row>
    <row r="43" spans="4:11" ht="57.6" x14ac:dyDescent="0.3">
      <c r="D43" s="208" t="s">
        <v>255</v>
      </c>
      <c r="F43">
        <f>SUM(F39:F42)</f>
        <v>765</v>
      </c>
      <c r="G43">
        <f>SUM(G39:G42)</f>
        <v>760</v>
      </c>
      <c r="H43">
        <f>SUM(H39:H42)</f>
        <v>770</v>
      </c>
    </row>
    <row r="45" spans="4:11" x14ac:dyDescent="0.3">
      <c r="J45">
        <v>200</v>
      </c>
      <c r="K45">
        <f>J45/0.8</f>
        <v>250</v>
      </c>
    </row>
    <row r="46" spans="4:11" x14ac:dyDescent="0.3">
      <c r="D46" t="s">
        <v>91</v>
      </c>
      <c r="E46">
        <v>310</v>
      </c>
    </row>
    <row r="47" spans="4:11" x14ac:dyDescent="0.3">
      <c r="D47" t="s">
        <v>244</v>
      </c>
      <c r="E47">
        <v>60</v>
      </c>
    </row>
    <row r="48" spans="4:11" x14ac:dyDescent="0.3">
      <c r="D48" t="s">
        <v>258</v>
      </c>
      <c r="E48" s="209">
        <v>0.2</v>
      </c>
    </row>
    <row r="49" spans="4:5" x14ac:dyDescent="0.3">
      <c r="D49" t="s">
        <v>257</v>
      </c>
      <c r="E49">
        <v>50</v>
      </c>
    </row>
    <row r="50" spans="4:5" x14ac:dyDescent="0.3">
      <c r="D50" t="s">
        <v>256</v>
      </c>
      <c r="E50">
        <v>250</v>
      </c>
    </row>
    <row r="51" spans="4:5" x14ac:dyDescent="0.3">
      <c r="D51" t="s">
        <v>259</v>
      </c>
    </row>
    <row r="53" spans="4:5" x14ac:dyDescent="0.3">
      <c r="D53" t="s">
        <v>261</v>
      </c>
    </row>
    <row r="54" spans="4:5" x14ac:dyDescent="0.3">
      <c r="D54" t="s">
        <v>262</v>
      </c>
    </row>
    <row r="55" spans="4:5" x14ac:dyDescent="0.3">
      <c r="D55" t="s">
        <v>263</v>
      </c>
    </row>
    <row r="56" spans="4:5" x14ac:dyDescent="0.3">
      <c r="D56" t="s">
        <v>264</v>
      </c>
    </row>
    <row r="59" spans="4:5" x14ac:dyDescent="0.3">
      <c r="D59" t="s">
        <v>39</v>
      </c>
      <c r="E59">
        <v>4000</v>
      </c>
    </row>
    <row r="60" spans="4:5" x14ac:dyDescent="0.3">
      <c r="D60" t="s">
        <v>265</v>
      </c>
      <c r="E60">
        <v>800</v>
      </c>
    </row>
    <row r="61" spans="4:5" x14ac:dyDescent="0.3">
      <c r="D61" t="s">
        <v>4</v>
      </c>
      <c r="E61">
        <v>900</v>
      </c>
    </row>
    <row r="62" spans="4:5" x14ac:dyDescent="0.3">
      <c r="D62" t="s">
        <v>266</v>
      </c>
      <c r="E62">
        <v>2500</v>
      </c>
    </row>
    <row r="63" spans="4:5" x14ac:dyDescent="0.3">
      <c r="D63" t="s">
        <v>2</v>
      </c>
      <c r="E63">
        <v>700</v>
      </c>
    </row>
    <row r="64" spans="4:5" x14ac:dyDescent="0.3">
      <c r="D64" t="s">
        <v>3</v>
      </c>
      <c r="E64" s="206">
        <v>650</v>
      </c>
    </row>
    <row r="65" spans="4:7" x14ac:dyDescent="0.3">
      <c r="D65" t="s">
        <v>6</v>
      </c>
      <c r="E65" s="206">
        <v>100</v>
      </c>
    </row>
    <row r="66" spans="4:7" x14ac:dyDescent="0.3">
      <c r="D66" t="s">
        <v>46</v>
      </c>
      <c r="E66">
        <v>400</v>
      </c>
    </row>
    <row r="67" spans="4:7" x14ac:dyDescent="0.3">
      <c r="D67" t="s">
        <v>9</v>
      </c>
      <c r="E67">
        <v>200</v>
      </c>
    </row>
    <row r="68" spans="4:7" x14ac:dyDescent="0.3">
      <c r="D68" t="s">
        <v>11</v>
      </c>
      <c r="E68" s="206">
        <v>50</v>
      </c>
    </row>
    <row r="69" spans="4:7" x14ac:dyDescent="0.3">
      <c r="D69" t="s">
        <v>50</v>
      </c>
      <c r="E69">
        <v>20</v>
      </c>
    </row>
    <row r="70" spans="4:7" x14ac:dyDescent="0.3">
      <c r="D70" t="s">
        <v>244</v>
      </c>
      <c r="E70">
        <v>100</v>
      </c>
    </row>
    <row r="71" spans="4:7" x14ac:dyDescent="0.3">
      <c r="D71" t="s">
        <v>260</v>
      </c>
      <c r="E71">
        <v>70</v>
      </c>
    </row>
    <row r="72" spans="4:7" x14ac:dyDescent="0.3">
      <c r="D72" t="s">
        <v>42</v>
      </c>
      <c r="E72">
        <v>50</v>
      </c>
    </row>
    <row r="74" spans="4:7" x14ac:dyDescent="0.3">
      <c r="D74" t="s">
        <v>267</v>
      </c>
    </row>
    <row r="75" spans="4:7" x14ac:dyDescent="0.3">
      <c r="G75">
        <v>4000</v>
      </c>
    </row>
    <row r="76" spans="4:7" x14ac:dyDescent="0.3">
      <c r="D76" t="s">
        <v>268</v>
      </c>
      <c r="E76">
        <f>E59-(E60+E62-E61)</f>
        <v>1600</v>
      </c>
      <c r="G76">
        <v>800</v>
      </c>
    </row>
    <row r="77" spans="4:7" x14ac:dyDescent="0.3">
      <c r="D77" t="s">
        <v>245</v>
      </c>
      <c r="E77">
        <f>E64+E65+E68</f>
        <v>800</v>
      </c>
      <c r="F77">
        <v>900</v>
      </c>
      <c r="G77">
        <f>G76/G75</f>
        <v>0.2</v>
      </c>
    </row>
    <row r="78" spans="4:7" x14ac:dyDescent="0.3">
      <c r="D78" t="s">
        <v>269</v>
      </c>
      <c r="E78">
        <f>E76-E77</f>
        <v>800</v>
      </c>
      <c r="F78">
        <f>E76-F77</f>
        <v>700</v>
      </c>
    </row>
    <row r="79" spans="4:7" x14ac:dyDescent="0.3">
      <c r="D79" t="s">
        <v>270</v>
      </c>
      <c r="E79">
        <f>E78/E59</f>
        <v>0.2</v>
      </c>
      <c r="F79">
        <f>F78/E59</f>
        <v>0.17499999999999999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B13" workbookViewId="0">
      <selection activeCell="H40" sqref="H40"/>
    </sheetView>
  </sheetViews>
  <sheetFormatPr defaultRowHeight="14.4" x14ac:dyDescent="0.3"/>
  <cols>
    <col min="1" max="1" width="30.77734375" customWidth="1"/>
    <col min="4" max="4" width="19.5546875" customWidth="1"/>
    <col min="5" max="5" width="7.6640625" customWidth="1"/>
    <col min="6" max="6" width="20" customWidth="1"/>
    <col min="7" max="7" width="34.6640625" customWidth="1"/>
    <col min="11" max="11" width="19.109375" customWidth="1"/>
    <col min="15" max="15" width="9.5546875" bestFit="1" customWidth="1"/>
  </cols>
  <sheetData>
    <row r="1" spans="1:12" x14ac:dyDescent="0.3">
      <c r="A1" t="s">
        <v>232</v>
      </c>
    </row>
    <row r="2" spans="1:12" x14ac:dyDescent="0.3">
      <c r="A2" t="s">
        <v>231</v>
      </c>
    </row>
    <row r="3" spans="1:12" ht="15.6" x14ac:dyDescent="0.3">
      <c r="A3" s="235" t="s">
        <v>0</v>
      </c>
      <c r="B3" s="235">
        <v>60</v>
      </c>
      <c r="G3" t="s">
        <v>233</v>
      </c>
      <c r="H3" t="s">
        <v>314</v>
      </c>
      <c r="I3" t="s">
        <v>315</v>
      </c>
    </row>
    <row r="4" spans="1:12" ht="15.6" x14ac:dyDescent="0.3">
      <c r="A4" s="235" t="s">
        <v>1</v>
      </c>
      <c r="B4" s="235">
        <v>30</v>
      </c>
      <c r="D4" t="s">
        <v>85</v>
      </c>
      <c r="G4" t="s">
        <v>29</v>
      </c>
      <c r="K4" t="s">
        <v>329</v>
      </c>
    </row>
    <row r="5" spans="1:12" ht="15.6" x14ac:dyDescent="0.3">
      <c r="A5" s="233" t="s">
        <v>2</v>
      </c>
      <c r="B5" s="233">
        <v>120</v>
      </c>
      <c r="D5" t="s">
        <v>312</v>
      </c>
      <c r="E5">
        <f>B27</f>
        <v>5000</v>
      </c>
      <c r="G5" t="s">
        <v>33</v>
      </c>
      <c r="K5" t="s">
        <v>330</v>
      </c>
    </row>
    <row r="6" spans="1:12" ht="15.6" x14ac:dyDescent="0.3">
      <c r="A6" s="235" t="s">
        <v>3</v>
      </c>
      <c r="B6" s="235">
        <v>100</v>
      </c>
      <c r="G6" t="s">
        <v>36</v>
      </c>
      <c r="H6">
        <v>85</v>
      </c>
      <c r="I6">
        <f>L33</f>
        <v>815.8</v>
      </c>
      <c r="K6" t="s">
        <v>109</v>
      </c>
      <c r="L6">
        <f>E43</f>
        <v>1260.8</v>
      </c>
    </row>
    <row r="7" spans="1:12" ht="15.6" x14ac:dyDescent="0.3">
      <c r="A7" s="235" t="s">
        <v>197</v>
      </c>
      <c r="B7" s="235">
        <v>40</v>
      </c>
      <c r="D7" t="s">
        <v>80</v>
      </c>
      <c r="E7">
        <f>H7</f>
        <v>60</v>
      </c>
      <c r="G7" t="s">
        <v>206</v>
      </c>
      <c r="H7">
        <v>60</v>
      </c>
      <c r="I7">
        <f>B11</f>
        <v>70</v>
      </c>
      <c r="J7">
        <v>10</v>
      </c>
      <c r="K7" t="s">
        <v>331</v>
      </c>
      <c r="L7">
        <f>E34</f>
        <v>107</v>
      </c>
    </row>
    <row r="8" spans="1:12" ht="15.6" x14ac:dyDescent="0.3">
      <c r="A8" s="235" t="s">
        <v>198</v>
      </c>
      <c r="B8" s="235">
        <v>38</v>
      </c>
      <c r="D8" t="s">
        <v>135</v>
      </c>
      <c r="E8">
        <f>B15</f>
        <v>2400</v>
      </c>
      <c r="G8" t="s">
        <v>35</v>
      </c>
      <c r="H8">
        <v>75</v>
      </c>
      <c r="I8">
        <f>B21</f>
        <v>85</v>
      </c>
      <c r="J8">
        <v>10</v>
      </c>
      <c r="K8" t="s">
        <v>93</v>
      </c>
      <c r="L8">
        <f>B19+B52+B54</f>
        <v>120</v>
      </c>
    </row>
    <row r="9" spans="1:12" ht="15.6" x14ac:dyDescent="0.3">
      <c r="A9" s="235" t="s">
        <v>199</v>
      </c>
      <c r="B9" s="235">
        <v>30</v>
      </c>
      <c r="D9" t="s">
        <v>70</v>
      </c>
      <c r="E9">
        <f>E7+E8</f>
        <v>2460</v>
      </c>
      <c r="G9" t="s">
        <v>120</v>
      </c>
      <c r="H9">
        <f>SUM(H6:H8)</f>
        <v>220</v>
      </c>
      <c r="I9">
        <f>SUM(I6:I8)</f>
        <v>970.8</v>
      </c>
      <c r="K9" t="s">
        <v>332</v>
      </c>
      <c r="L9">
        <v>-10</v>
      </c>
    </row>
    <row r="10" spans="1:12" ht="15.6" x14ac:dyDescent="0.3">
      <c r="A10" s="233" t="s">
        <v>200</v>
      </c>
      <c r="B10" s="233">
        <v>200</v>
      </c>
      <c r="D10" t="s">
        <v>4</v>
      </c>
      <c r="E10">
        <f>B11</f>
        <v>70</v>
      </c>
      <c r="K10" t="s">
        <v>333</v>
      </c>
      <c r="L10">
        <v>-10</v>
      </c>
    </row>
    <row r="11" spans="1:12" ht="15.6" x14ac:dyDescent="0.3">
      <c r="A11" s="236" t="s">
        <v>4</v>
      </c>
      <c r="B11" s="236">
        <v>70</v>
      </c>
      <c r="D11" t="s">
        <v>83</v>
      </c>
      <c r="E11">
        <f>E9-E10</f>
        <v>2390</v>
      </c>
      <c r="G11" t="s">
        <v>45</v>
      </c>
      <c r="K11" t="s">
        <v>334</v>
      </c>
      <c r="L11">
        <v>8</v>
      </c>
    </row>
    <row r="12" spans="1:12" ht="15.6" x14ac:dyDescent="0.3">
      <c r="A12" s="235" t="s">
        <v>5</v>
      </c>
      <c r="B12" s="235">
        <v>6</v>
      </c>
      <c r="G12" t="s">
        <v>30</v>
      </c>
      <c r="H12">
        <v>200</v>
      </c>
      <c r="I12">
        <f>H12+B10</f>
        <v>400</v>
      </c>
      <c r="K12" t="s">
        <v>335</v>
      </c>
      <c r="L12">
        <f>SUM(L6:L11)</f>
        <v>1475.8</v>
      </c>
    </row>
    <row r="13" spans="1:12" ht="15.6" x14ac:dyDescent="0.3">
      <c r="A13" s="235" t="s">
        <v>6</v>
      </c>
      <c r="B13" s="235">
        <v>5</v>
      </c>
      <c r="D13" s="234" t="s">
        <v>85</v>
      </c>
      <c r="E13" s="234">
        <f>E5-E11</f>
        <v>2610</v>
      </c>
      <c r="G13" t="s">
        <v>31</v>
      </c>
      <c r="H13">
        <v>400</v>
      </c>
      <c r="I13">
        <f>E22</f>
        <v>418</v>
      </c>
    </row>
    <row r="14" spans="1:12" ht="15.6" x14ac:dyDescent="0.3">
      <c r="A14" s="235" t="s">
        <v>7</v>
      </c>
      <c r="B14" s="235">
        <v>1</v>
      </c>
      <c r="G14" t="s">
        <v>32</v>
      </c>
      <c r="H14">
        <v>700</v>
      </c>
      <c r="I14">
        <f>E32</f>
        <v>765</v>
      </c>
      <c r="K14" t="s">
        <v>336</v>
      </c>
    </row>
    <row r="15" spans="1:12" ht="15.6" x14ac:dyDescent="0.3">
      <c r="A15" s="236" t="s">
        <v>8</v>
      </c>
      <c r="B15" s="236">
        <v>2400</v>
      </c>
      <c r="D15" t="s">
        <v>313</v>
      </c>
      <c r="G15" s="237" t="s">
        <v>207</v>
      </c>
      <c r="H15" s="237">
        <v>500</v>
      </c>
      <c r="I15" s="237">
        <f>H15-B19</f>
        <v>450</v>
      </c>
      <c r="K15" t="s">
        <v>30</v>
      </c>
      <c r="L15">
        <f>-B10</f>
        <v>-200</v>
      </c>
    </row>
    <row r="16" spans="1:12" ht="15.6" x14ac:dyDescent="0.3">
      <c r="A16" s="233" t="s">
        <v>46</v>
      </c>
      <c r="B16" s="233">
        <v>40</v>
      </c>
      <c r="D16" t="s">
        <v>31</v>
      </c>
      <c r="G16" s="237" t="s">
        <v>324</v>
      </c>
      <c r="H16" s="237">
        <v>0</v>
      </c>
      <c r="I16" s="237">
        <f>300-30</f>
        <v>270</v>
      </c>
      <c r="K16" t="s">
        <v>337</v>
      </c>
      <c r="L16">
        <f>-B16</f>
        <v>-40</v>
      </c>
    </row>
    <row r="17" spans="1:18" ht="15.6" x14ac:dyDescent="0.3">
      <c r="A17" s="233" t="s">
        <v>201</v>
      </c>
      <c r="B17" s="233">
        <v>50</v>
      </c>
      <c r="D17" t="s">
        <v>316</v>
      </c>
      <c r="E17">
        <f>H13</f>
        <v>400</v>
      </c>
      <c r="G17" s="237" t="s">
        <v>325</v>
      </c>
      <c r="H17" s="237">
        <v>0</v>
      </c>
      <c r="I17" s="237">
        <f>200-40</f>
        <v>160</v>
      </c>
      <c r="K17" t="s">
        <v>338</v>
      </c>
      <c r="L17">
        <f>-B5-B17-B23-B28</f>
        <v>-197</v>
      </c>
    </row>
    <row r="18" spans="1:18" ht="15.6" x14ac:dyDescent="0.3">
      <c r="A18" s="235" t="s">
        <v>202</v>
      </c>
      <c r="B18" s="235">
        <v>15</v>
      </c>
      <c r="D18" t="s">
        <v>135</v>
      </c>
      <c r="E18">
        <f>B16</f>
        <v>40</v>
      </c>
      <c r="G18" t="s">
        <v>121</v>
      </c>
      <c r="H18">
        <f>SUM(H12:H17)</f>
        <v>1800</v>
      </c>
      <c r="I18">
        <f>SUM(I12:I17)</f>
        <v>2463</v>
      </c>
      <c r="K18" t="s">
        <v>339</v>
      </c>
      <c r="L18">
        <f>B25</f>
        <v>47</v>
      </c>
    </row>
    <row r="19" spans="1:18" ht="15.6" x14ac:dyDescent="0.3">
      <c r="A19" s="235" t="s">
        <v>203</v>
      </c>
      <c r="B19" s="235">
        <v>50</v>
      </c>
      <c r="D19" t="s">
        <v>70</v>
      </c>
      <c r="E19">
        <v>440</v>
      </c>
      <c r="G19" t="s">
        <v>119</v>
      </c>
      <c r="H19">
        <f>H9+H18</f>
        <v>2020</v>
      </c>
      <c r="I19">
        <f>I9+I18</f>
        <v>3433.8</v>
      </c>
      <c r="K19" t="s">
        <v>300</v>
      </c>
      <c r="L19">
        <f>-B53</f>
        <v>-200</v>
      </c>
    </row>
    <row r="20" spans="1:18" ht="15.6" x14ac:dyDescent="0.3">
      <c r="A20" s="233" t="s">
        <v>9</v>
      </c>
      <c r="B20" s="233">
        <v>5</v>
      </c>
      <c r="D20" t="s">
        <v>317</v>
      </c>
      <c r="E20">
        <f>E19*0.05</f>
        <v>22</v>
      </c>
      <c r="K20" t="s">
        <v>299</v>
      </c>
      <c r="L20">
        <f>-B51</f>
        <v>-300</v>
      </c>
    </row>
    <row r="21" spans="1:18" ht="15.6" x14ac:dyDescent="0.3">
      <c r="A21" s="233" t="s">
        <v>10</v>
      </c>
      <c r="B21" s="233">
        <v>85</v>
      </c>
      <c r="G21" t="s">
        <v>23</v>
      </c>
      <c r="K21" t="s">
        <v>346</v>
      </c>
      <c r="L21">
        <f>SUM(L15:L20)</f>
        <v>-890</v>
      </c>
    </row>
    <row r="22" spans="1:18" ht="15.6" x14ac:dyDescent="0.3">
      <c r="A22" s="235" t="s">
        <v>11</v>
      </c>
      <c r="B22" s="235">
        <v>3</v>
      </c>
      <c r="D22" t="s">
        <v>75</v>
      </c>
      <c r="E22">
        <f>E19-E20</f>
        <v>418</v>
      </c>
      <c r="G22" t="s">
        <v>122</v>
      </c>
    </row>
    <row r="23" spans="1:18" ht="33.6" customHeight="1" x14ac:dyDescent="0.3">
      <c r="A23" s="233" t="s">
        <v>50</v>
      </c>
      <c r="B23" s="233">
        <v>12</v>
      </c>
      <c r="G23" s="208" t="s">
        <v>350</v>
      </c>
      <c r="H23">
        <v>638</v>
      </c>
      <c r="I23">
        <f>H23+B36</f>
        <v>838</v>
      </c>
      <c r="P23" s="24">
        <v>20000</v>
      </c>
      <c r="Q23" s="24"/>
      <c r="R23">
        <v>200000</v>
      </c>
    </row>
    <row r="24" spans="1:18" ht="15.6" x14ac:dyDescent="0.3">
      <c r="A24" s="235" t="s">
        <v>12</v>
      </c>
      <c r="B24" s="235">
        <v>6</v>
      </c>
      <c r="D24" t="s">
        <v>319</v>
      </c>
      <c r="G24" t="s">
        <v>148</v>
      </c>
      <c r="H24">
        <v>575</v>
      </c>
      <c r="I24">
        <f>H24+E47</f>
        <v>1635.8</v>
      </c>
      <c r="K24" t="s">
        <v>340</v>
      </c>
      <c r="N24" t="s">
        <v>347</v>
      </c>
      <c r="O24">
        <v>0.45</v>
      </c>
      <c r="P24">
        <f>O24*P23</f>
        <v>9000</v>
      </c>
      <c r="Q24">
        <v>90000</v>
      </c>
      <c r="R24">
        <v>5000</v>
      </c>
    </row>
    <row r="25" spans="1:18" ht="15.6" x14ac:dyDescent="0.3">
      <c r="A25" s="233" t="s">
        <v>222</v>
      </c>
      <c r="B25" s="233">
        <v>47</v>
      </c>
      <c r="D25" t="s">
        <v>318</v>
      </c>
      <c r="E25">
        <f>H14</f>
        <v>700</v>
      </c>
      <c r="G25" t="s">
        <v>125</v>
      </c>
      <c r="H25">
        <f>H23+H24</f>
        <v>1213</v>
      </c>
      <c r="I25">
        <f>I23+I24</f>
        <v>2473.8000000000002</v>
      </c>
      <c r="K25" t="s">
        <v>238</v>
      </c>
      <c r="L25">
        <f>B36</f>
        <v>200</v>
      </c>
      <c r="N25" t="s">
        <v>348</v>
      </c>
      <c r="O25">
        <v>0.35</v>
      </c>
      <c r="P25">
        <f>P23*O25</f>
        <v>7000</v>
      </c>
      <c r="Q25">
        <v>70000</v>
      </c>
      <c r="R25">
        <v>100000</v>
      </c>
    </row>
    <row r="26" spans="1:18" ht="15.6" x14ac:dyDescent="0.3">
      <c r="A26" s="233" t="s">
        <v>13</v>
      </c>
      <c r="B26" s="233">
        <v>50</v>
      </c>
      <c r="D26" t="s">
        <v>135</v>
      </c>
      <c r="E26">
        <f>B5+B17+B23+B28</f>
        <v>197</v>
      </c>
      <c r="K26" t="s">
        <v>341</v>
      </c>
      <c r="L26">
        <f>B31-B20</f>
        <v>45</v>
      </c>
      <c r="N26" t="s">
        <v>349</v>
      </c>
      <c r="O26">
        <v>0.2</v>
      </c>
      <c r="P26">
        <f>P23*O26</f>
        <v>4000</v>
      </c>
      <c r="Q26">
        <v>40000</v>
      </c>
      <c r="R26">
        <v>95000</v>
      </c>
    </row>
    <row r="27" spans="1:18" ht="15.6" x14ac:dyDescent="0.3">
      <c r="A27" s="236" t="s">
        <v>14</v>
      </c>
      <c r="B27" s="236">
        <v>5000</v>
      </c>
      <c r="D27" t="s">
        <v>136</v>
      </c>
      <c r="E27">
        <f>E25+E26</f>
        <v>897</v>
      </c>
      <c r="G27" t="s">
        <v>123</v>
      </c>
      <c r="K27" t="s">
        <v>42</v>
      </c>
      <c r="L27">
        <f>-B35</f>
        <v>-200</v>
      </c>
      <c r="O27">
        <f>SUM(O24:O26)</f>
        <v>1</v>
      </c>
      <c r="P27">
        <f>SUM(P24:P26)</f>
        <v>20000</v>
      </c>
      <c r="Q27">
        <f>SUM(Q24:Q26)</f>
        <v>200000</v>
      </c>
      <c r="R27">
        <f>SUM(R24:R26)</f>
        <v>200000</v>
      </c>
    </row>
    <row r="28" spans="1:18" ht="15.6" x14ac:dyDescent="0.3">
      <c r="A28" s="233" t="s">
        <v>204</v>
      </c>
      <c r="B28" s="233">
        <v>15</v>
      </c>
      <c r="D28" t="s">
        <v>320</v>
      </c>
      <c r="E28">
        <f>B25</f>
        <v>47</v>
      </c>
      <c r="G28" t="s">
        <v>28</v>
      </c>
      <c r="H28">
        <v>97</v>
      </c>
      <c r="I28">
        <f>B32</f>
        <v>105</v>
      </c>
      <c r="J28">
        <f>I28-H28</f>
        <v>8</v>
      </c>
      <c r="K28" t="s">
        <v>342</v>
      </c>
      <c r="L28">
        <f>I29-H29</f>
        <v>100</v>
      </c>
    </row>
    <row r="29" spans="1:18" ht="15.6" x14ac:dyDescent="0.3">
      <c r="A29" s="233"/>
      <c r="B29" s="233"/>
      <c r="D29" t="s">
        <v>136</v>
      </c>
      <c r="E29">
        <f>E27-E28</f>
        <v>850</v>
      </c>
      <c r="G29" t="s">
        <v>27</v>
      </c>
      <c r="H29">
        <v>150</v>
      </c>
      <c r="I29">
        <f>B38</f>
        <v>250</v>
      </c>
      <c r="K29" t="s">
        <v>343</v>
      </c>
      <c r="L29">
        <f>SUM(L25:L28)</f>
        <v>145</v>
      </c>
      <c r="N29" t="s">
        <v>349</v>
      </c>
      <c r="P29">
        <v>4000</v>
      </c>
      <c r="Q29">
        <v>40000</v>
      </c>
    </row>
    <row r="30" spans="1:18" ht="15.6" x14ac:dyDescent="0.3">
      <c r="A30" s="235" t="s">
        <v>17</v>
      </c>
      <c r="B30" s="235">
        <v>5</v>
      </c>
      <c r="D30" t="s">
        <v>133</v>
      </c>
      <c r="E30">
        <f>E29*0.1</f>
        <v>85</v>
      </c>
      <c r="G30" t="s">
        <v>70</v>
      </c>
      <c r="H30">
        <f>H28+H29</f>
        <v>247</v>
      </c>
      <c r="I30">
        <f>I28+I29</f>
        <v>355</v>
      </c>
    </row>
    <row r="31" spans="1:18" ht="15.6" x14ac:dyDescent="0.3">
      <c r="A31" s="233" t="s">
        <v>18</v>
      </c>
      <c r="B31" s="233">
        <v>50</v>
      </c>
      <c r="G31" t="s">
        <v>124</v>
      </c>
      <c r="K31" t="s">
        <v>196</v>
      </c>
      <c r="L31">
        <f>L29+L21+L12</f>
        <v>730.8</v>
      </c>
      <c r="Q31">
        <f>Q27+Q29</f>
        <v>240000</v>
      </c>
    </row>
    <row r="32" spans="1:18" ht="15.6" x14ac:dyDescent="0.3">
      <c r="A32" s="233" t="s">
        <v>19</v>
      </c>
      <c r="B32" s="233">
        <v>105</v>
      </c>
      <c r="D32" t="s">
        <v>321</v>
      </c>
      <c r="E32">
        <f>E29-E30</f>
        <v>765</v>
      </c>
      <c r="G32" t="s">
        <v>26</v>
      </c>
      <c r="H32">
        <v>560</v>
      </c>
      <c r="I32">
        <f>H32-B20+B31</f>
        <v>605</v>
      </c>
      <c r="K32" t="s">
        <v>344</v>
      </c>
      <c r="L32">
        <f>H6</f>
        <v>85</v>
      </c>
    </row>
    <row r="33" spans="1:17" ht="15.6" x14ac:dyDescent="0.3">
      <c r="A33" s="235" t="s">
        <v>20</v>
      </c>
      <c r="B33" s="235">
        <v>2</v>
      </c>
      <c r="G33" t="s">
        <v>127</v>
      </c>
      <c r="H33">
        <f>H30+H32</f>
        <v>807</v>
      </c>
      <c r="I33">
        <f>I30+I32</f>
        <v>960</v>
      </c>
      <c r="K33" t="s">
        <v>345</v>
      </c>
      <c r="L33">
        <f>L32+L31</f>
        <v>815.8</v>
      </c>
      <c r="N33" t="s">
        <v>347</v>
      </c>
      <c r="O33">
        <f>P33/P37*100</f>
        <v>30</v>
      </c>
      <c r="P33">
        <v>9000</v>
      </c>
      <c r="Q33">
        <v>90000</v>
      </c>
    </row>
    <row r="34" spans="1:17" ht="15.6" x14ac:dyDescent="0.3">
      <c r="A34" s="235" t="s">
        <v>21</v>
      </c>
      <c r="B34" s="235">
        <v>1</v>
      </c>
      <c r="D34" s="235" t="s">
        <v>145</v>
      </c>
      <c r="E34" s="235">
        <f>E30+E20</f>
        <v>107</v>
      </c>
      <c r="G34" t="s">
        <v>126</v>
      </c>
      <c r="H34">
        <f>H33+H25</f>
        <v>2020</v>
      </c>
      <c r="I34">
        <f>I25+I33</f>
        <v>3433.8</v>
      </c>
      <c r="N34" t="s">
        <v>348</v>
      </c>
      <c r="O34" s="239">
        <f>P34/P37*100</f>
        <v>23.333333333333332</v>
      </c>
      <c r="P34">
        <v>7000</v>
      </c>
      <c r="Q34">
        <v>70000</v>
      </c>
    </row>
    <row r="35" spans="1:17" ht="15.6" x14ac:dyDescent="0.3">
      <c r="A35" s="233" t="s">
        <v>98</v>
      </c>
      <c r="B35" s="233">
        <v>200</v>
      </c>
      <c r="N35" t="s">
        <v>349</v>
      </c>
      <c r="O35" s="239">
        <f>P35/P37*100</f>
        <v>26.666666666666668</v>
      </c>
      <c r="P35">
        <v>8000</v>
      </c>
      <c r="Q35">
        <v>80000</v>
      </c>
    </row>
    <row r="36" spans="1:17" ht="15.6" x14ac:dyDescent="0.3">
      <c r="A36" s="233" t="s">
        <v>113</v>
      </c>
      <c r="B36" s="233">
        <v>200</v>
      </c>
      <c r="D36" t="s">
        <v>107</v>
      </c>
      <c r="E36">
        <f>E34+B3+B4+B6+B7+B8+B9+B12+B13+B14+B18+B22++B19+B24+B30+B33+B34+B39+B40+B41+B42+B43+B44+B45+B46+B47+B48+B49+B50+B55+B56+B57+B58+B59+B60+B52+B54</f>
        <v>984</v>
      </c>
      <c r="N36" t="s">
        <v>351</v>
      </c>
      <c r="O36" s="209">
        <v>0.2</v>
      </c>
      <c r="P36">
        <f>0.2*P37</f>
        <v>6000</v>
      </c>
      <c r="Q36" s="207" t="s">
        <v>352</v>
      </c>
    </row>
    <row r="37" spans="1:17" ht="15.6" x14ac:dyDescent="0.3">
      <c r="A37" s="233" t="s">
        <v>234</v>
      </c>
      <c r="B37" s="233"/>
      <c r="H37">
        <v>10000000</v>
      </c>
      <c r="P37">
        <v>30000</v>
      </c>
    </row>
    <row r="38" spans="1:17" ht="15.6" x14ac:dyDescent="0.3">
      <c r="A38" s="233" t="s">
        <v>22</v>
      </c>
      <c r="B38" s="233">
        <v>250</v>
      </c>
      <c r="D38" s="238" t="s">
        <v>91</v>
      </c>
      <c r="E38" s="238">
        <f>E13-E36</f>
        <v>1626</v>
      </c>
      <c r="H38">
        <f>H37/6000</f>
        <v>1666.6666666666667</v>
      </c>
    </row>
    <row r="39" spans="1:17" ht="15.6" x14ac:dyDescent="0.3">
      <c r="A39" s="235" t="s">
        <v>205</v>
      </c>
      <c r="B39" s="235">
        <v>1</v>
      </c>
      <c r="D39" t="s">
        <v>328</v>
      </c>
      <c r="E39">
        <f>B26</f>
        <v>50</v>
      </c>
      <c r="H39">
        <f>H38*100</f>
        <v>166666.66666666669</v>
      </c>
    </row>
    <row r="40" spans="1:17" ht="15.6" x14ac:dyDescent="0.3">
      <c r="A40" s="235" t="s">
        <v>280</v>
      </c>
      <c r="B40" s="235">
        <v>12</v>
      </c>
      <c r="D40" s="238" t="s">
        <v>41</v>
      </c>
      <c r="E40" s="238">
        <f>E38-E39</f>
        <v>1576</v>
      </c>
    </row>
    <row r="41" spans="1:17" ht="15.6" x14ac:dyDescent="0.3">
      <c r="A41" s="235" t="s">
        <v>281</v>
      </c>
      <c r="B41" s="235">
        <v>20</v>
      </c>
      <c r="D41" t="s">
        <v>306</v>
      </c>
      <c r="E41">
        <f>E40*0.2</f>
        <v>315.20000000000005</v>
      </c>
    </row>
    <row r="42" spans="1:17" ht="15.6" x14ac:dyDescent="0.3">
      <c r="A42" s="235" t="s">
        <v>282</v>
      </c>
      <c r="B42" s="235">
        <v>100</v>
      </c>
    </row>
    <row r="43" spans="1:17" ht="15.6" x14ac:dyDescent="0.3">
      <c r="A43" s="235" t="s">
        <v>284</v>
      </c>
      <c r="B43" s="235">
        <v>10</v>
      </c>
      <c r="D43" s="238" t="s">
        <v>109</v>
      </c>
      <c r="E43" s="238">
        <f>E40-E41</f>
        <v>1260.8</v>
      </c>
    </row>
    <row r="44" spans="1:17" ht="15.6" x14ac:dyDescent="0.3">
      <c r="A44" s="235" t="s">
        <v>285</v>
      </c>
      <c r="B44" s="235">
        <v>15</v>
      </c>
    </row>
    <row r="45" spans="1:17" ht="15.6" x14ac:dyDescent="0.3">
      <c r="A45" s="235" t="s">
        <v>286</v>
      </c>
      <c r="B45" s="235">
        <v>5</v>
      </c>
      <c r="D45" t="s">
        <v>42</v>
      </c>
      <c r="E45">
        <f>B35</f>
        <v>200</v>
      </c>
    </row>
    <row r="46" spans="1:17" ht="15.6" x14ac:dyDescent="0.3">
      <c r="A46" s="235" t="s">
        <v>288</v>
      </c>
      <c r="B46" s="235">
        <v>25</v>
      </c>
    </row>
    <row r="47" spans="1:17" ht="15.6" x14ac:dyDescent="0.3">
      <c r="A47" s="235" t="s">
        <v>289</v>
      </c>
      <c r="B47" s="235">
        <v>15</v>
      </c>
      <c r="D47" s="238" t="s">
        <v>43</v>
      </c>
      <c r="E47" s="238">
        <f>E43-E45</f>
        <v>1060.8</v>
      </c>
    </row>
    <row r="48" spans="1:17" ht="15.6" x14ac:dyDescent="0.3">
      <c r="A48" s="235" t="s">
        <v>294</v>
      </c>
      <c r="B48" s="235">
        <v>30</v>
      </c>
    </row>
    <row r="49" spans="1:3" ht="15.6" x14ac:dyDescent="0.3">
      <c r="A49" s="235" t="s">
        <v>295</v>
      </c>
      <c r="B49" s="235">
        <v>40</v>
      </c>
    </row>
    <row r="50" spans="1:3" ht="15.6" x14ac:dyDescent="0.3">
      <c r="A50" s="235" t="s">
        <v>297</v>
      </c>
      <c r="B50" s="235">
        <v>10</v>
      </c>
    </row>
    <row r="51" spans="1:3" ht="15.6" x14ac:dyDescent="0.3">
      <c r="A51" s="140" t="s">
        <v>299</v>
      </c>
      <c r="B51" s="233">
        <v>300</v>
      </c>
      <c r="C51" t="s">
        <v>322</v>
      </c>
    </row>
    <row r="52" spans="1:3" ht="15.6" x14ac:dyDescent="0.3">
      <c r="A52" s="138" t="s">
        <v>326</v>
      </c>
      <c r="B52" s="235">
        <f>B51/10</f>
        <v>30</v>
      </c>
    </row>
    <row r="53" spans="1:3" ht="15.6" x14ac:dyDescent="0.3">
      <c r="A53" s="140" t="s">
        <v>300</v>
      </c>
      <c r="B53" s="233">
        <v>200</v>
      </c>
      <c r="C53" t="s">
        <v>323</v>
      </c>
    </row>
    <row r="54" spans="1:3" ht="15.6" x14ac:dyDescent="0.3">
      <c r="A54" s="138" t="s">
        <v>327</v>
      </c>
      <c r="B54" s="235">
        <f>B53/5</f>
        <v>40</v>
      </c>
    </row>
    <row r="55" spans="1:3" ht="15.6" x14ac:dyDescent="0.3">
      <c r="A55" s="138" t="s">
        <v>284</v>
      </c>
      <c r="B55" s="235">
        <v>5</v>
      </c>
    </row>
    <row r="56" spans="1:3" ht="15.6" x14ac:dyDescent="0.3">
      <c r="A56" s="138" t="s">
        <v>301</v>
      </c>
      <c r="B56" s="235">
        <v>20</v>
      </c>
    </row>
    <row r="57" spans="1:3" ht="15.6" x14ac:dyDescent="0.3">
      <c r="A57" s="138" t="s">
        <v>302</v>
      </c>
      <c r="B57" s="235">
        <v>45</v>
      </c>
    </row>
    <row r="58" spans="1:3" ht="15.6" x14ac:dyDescent="0.3">
      <c r="A58" s="138" t="s">
        <v>303</v>
      </c>
      <c r="B58" s="235">
        <v>10</v>
      </c>
    </row>
    <row r="59" spans="1:3" ht="15.6" x14ac:dyDescent="0.3">
      <c r="A59" s="138" t="s">
        <v>304</v>
      </c>
      <c r="B59" s="235">
        <v>40</v>
      </c>
    </row>
    <row r="60" spans="1:3" ht="15.6" x14ac:dyDescent="0.3">
      <c r="A60" s="138" t="s">
        <v>311</v>
      </c>
      <c r="B60" s="235">
        <v>12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FB6E876435ED43AFB8AA2248BC650A" ma:contentTypeVersion="2" ma:contentTypeDescription="Create a new document." ma:contentTypeScope="" ma:versionID="01d51368a05ccc3d3312a79397be1cba">
  <xsd:schema xmlns:xsd="http://www.w3.org/2001/XMLSchema" xmlns:xs="http://www.w3.org/2001/XMLSchema" xmlns:p="http://schemas.microsoft.com/office/2006/metadata/properties" xmlns:ns2="4189cdde-1163-4dd8-9def-f39090821744" targetNamespace="http://schemas.microsoft.com/office/2006/metadata/properties" ma:root="true" ma:fieldsID="9c198185bc01979b91a10ccfa5813065" ns2:_="">
    <xsd:import namespace="4189cdde-1163-4dd8-9def-f390908217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89cdde-1163-4dd8-9def-f39090821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4306CA-3BD5-4044-B7B1-50E3550656F7}"/>
</file>

<file path=customXml/itemProps2.xml><?xml version="1.0" encoding="utf-8"?>
<ds:datastoreItem xmlns:ds="http://schemas.openxmlformats.org/officeDocument/2006/customXml" ds:itemID="{CBE37DC2-4A9E-4699-9E04-15D835C5D651}"/>
</file>

<file path=customXml/itemProps3.xml><?xml version="1.0" encoding="utf-8"?>
<ds:datastoreItem xmlns:ds="http://schemas.openxmlformats.org/officeDocument/2006/customXml" ds:itemID="{DC2C4DFE-9E7E-49D0-AB3F-724EFC4841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NPTEL</vt:lpstr>
      <vt:lpstr>Sheet1</vt:lpstr>
      <vt:lpstr>Sheet2</vt:lpstr>
      <vt:lpstr>Sheet3</vt:lpstr>
      <vt:lpstr>Sheet4</vt:lpstr>
      <vt:lpstr>Sheet5</vt:lpstr>
      <vt:lpstr>Sheet6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Prof. Manoj Mondal</cp:lastModifiedBy>
  <cp:lastPrinted>2019-09-07T03:17:27Z</cp:lastPrinted>
  <dcterms:created xsi:type="dcterms:W3CDTF">2017-09-06T08:02:06Z</dcterms:created>
  <dcterms:modified xsi:type="dcterms:W3CDTF">2021-01-31T14:26:26Z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0x0101008AFB6E876435ED43AFB8AA2248BC650A</vt:lpwstr>
  </property>
</Properties>
</file>