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a\Desktop\ICESI\4to semestre\Inferencia Estadística\proyecto final\"/>
    </mc:Choice>
  </mc:AlternateContent>
  <xr:revisionPtr revIDLastSave="0" documentId="13_ncr:1_{A40BBFBD-A9D4-41B0-9875-36159F87DC2A}" xr6:coauthVersionLast="46" xr6:coauthVersionMax="46" xr10:uidLastSave="{00000000-0000-0000-0000-000000000000}"/>
  <bookViews>
    <workbookView xWindow="-108" yWindow="-108" windowWidth="23256" windowHeight="12576" firstSheet="8" activeTab="10" xr2:uid="{7B6E2FDE-EF57-469F-B6BB-0FEEEB476A7E}"/>
  </bookViews>
  <sheets>
    <sheet name="Respuestas de formulario 1" sheetId="1" r:id="rId1"/>
    <sheet name="Tamaño de Muestra" sheetId="12" r:id="rId2"/>
    <sheet name="1. Genero y estrato" sheetId="2" r:id="rId3"/>
    <sheet name="2. Edad" sheetId="3" r:id="rId4"/>
    <sheet name="3. Cantidad streaming" sheetId="4" r:id="rId5"/>
    <sheet name="4.Metodos de pago" sheetId="5" r:id="rId6"/>
    <sheet name="5. Cantidad pedidos" sheetId="6" r:id="rId7"/>
    <sheet name="6. Gasto promedio" sheetId="7" r:id="rId8"/>
    <sheet name="7. Satisfacción envios" sheetId="8" r:id="rId9"/>
    <sheet name="8. Satisfacción productos" sheetId="9" r:id="rId10"/>
    <sheet name="9. Consumo productos" sheetId="10" r:id="rId11"/>
    <sheet name="10. Establecimientos" sheetId="11" r:id="rId12"/>
  </sheets>
  <definedNames>
    <definedName name="_xlnm._FilterDatabase" localSheetId="3" hidden="1">'2. Edad'!$E$1:$E$61</definedName>
    <definedName name="_xlnm._FilterDatabase" localSheetId="4" hidden="1">'3. Cantidad streaming'!$D$1:$E$61</definedName>
    <definedName name="_xlnm._FilterDatabase" localSheetId="5" hidden="1">'4.Metodos de pago'!$D$1:$D$61</definedName>
    <definedName name="_xlnm._FilterDatabase" localSheetId="0" hidden="1">'Respuestas de formulario 1'!$A$1:$T$61</definedName>
    <definedName name="_xlchart.v1.0" hidden="1">'5. Cantidad pedidos'!$F$2:$F$61</definedName>
    <definedName name="_xlchart.v1.1" hidden="1">'5. Cantidad pedidos'!$E$2:$E$61</definedName>
    <definedName name="_xlchart.v1.2" hidden="1">'6. Gasto promedio'!$E$2:$E$61</definedName>
    <definedName name="_xlchart.v1.3" hidden="1">'6. Gasto promedio'!$F$2:$F$61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4" i="5" l="1"/>
  <c r="S63" i="2"/>
  <c r="J63" i="2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2" i="4"/>
  <c r="W58" i="2"/>
  <c r="U58" i="2"/>
  <c r="V48" i="2"/>
  <c r="U45" i="2"/>
  <c r="U40" i="2"/>
  <c r="U41" i="2"/>
  <c r="U42" i="2"/>
  <c r="U43" i="2"/>
  <c r="U44" i="2"/>
  <c r="U39" i="2"/>
  <c r="T40" i="2"/>
  <c r="T41" i="2"/>
  <c r="T42" i="2"/>
  <c r="T43" i="2"/>
  <c r="T44" i="2"/>
  <c r="T39" i="2"/>
  <c r="S45" i="2"/>
  <c r="S40" i="2"/>
  <c r="S41" i="2"/>
  <c r="S42" i="2"/>
  <c r="S43" i="2"/>
  <c r="S44" i="2"/>
  <c r="S39" i="2"/>
  <c r="U38" i="2"/>
  <c r="O57" i="2"/>
  <c r="M57" i="2"/>
  <c r="N46" i="2"/>
  <c r="M44" i="2"/>
  <c r="M43" i="2"/>
  <c r="M42" i="2"/>
  <c r="L43" i="2"/>
  <c r="L42" i="2"/>
  <c r="K44" i="2"/>
  <c r="K43" i="2"/>
  <c r="K42" i="2"/>
  <c r="H32" i="12"/>
  <c r="F31" i="12"/>
  <c r="H31" i="12" s="1"/>
  <c r="C30" i="12" s="1"/>
  <c r="C24" i="12" s="1"/>
  <c r="F24" i="12" s="1"/>
  <c r="N13" i="4"/>
  <c r="I90" i="11"/>
  <c r="I91" i="11" s="1"/>
  <c r="I105" i="11" s="1"/>
  <c r="I94" i="11"/>
  <c r="I95" i="11" s="1"/>
  <c r="G105" i="11" s="1"/>
  <c r="H86" i="11"/>
  <c r="H87" i="11"/>
  <c r="H88" i="11"/>
  <c r="H89" i="11"/>
  <c r="I89" i="11" s="1"/>
  <c r="H90" i="11"/>
  <c r="H85" i="11"/>
  <c r="I85" i="11" s="1"/>
  <c r="G86" i="11"/>
  <c r="G87" i="11"/>
  <c r="G88" i="11"/>
  <c r="G89" i="11"/>
  <c r="G90" i="11"/>
  <c r="F91" i="11"/>
  <c r="G85" i="11"/>
  <c r="I88" i="11"/>
  <c r="I87" i="11"/>
  <c r="I86" i="11"/>
  <c r="K85" i="10"/>
  <c r="K86" i="10" s="1"/>
  <c r="I97" i="10" s="1"/>
  <c r="H82" i="10"/>
  <c r="I78" i="10" s="1"/>
  <c r="J78" i="10" s="1"/>
  <c r="I81" i="10" l="1"/>
  <c r="J81" i="10" s="1"/>
  <c r="I80" i="10"/>
  <c r="J80" i="10" s="1"/>
  <c r="I79" i="10"/>
  <c r="J79" i="10" s="1"/>
  <c r="I77" i="10"/>
  <c r="J77" i="10" s="1"/>
  <c r="J82" i="10" l="1"/>
  <c r="K97" i="10" s="1"/>
  <c r="Q62" i="4" l="1"/>
  <c r="Q63" i="4"/>
  <c r="Q64" i="4"/>
  <c r="Q65" i="4"/>
  <c r="Q61" i="4"/>
  <c r="N62" i="11" l="1"/>
  <c r="N61" i="11"/>
  <c r="N60" i="11"/>
  <c r="N59" i="11"/>
  <c r="N58" i="11"/>
  <c r="N57" i="11"/>
  <c r="N56" i="11"/>
  <c r="T16" i="11"/>
  <c r="T17" i="11" s="1"/>
  <c r="T18" i="11" s="1"/>
  <c r="T19" i="11" s="1"/>
  <c r="T20" i="11" s="1"/>
  <c r="T21" i="11" s="1"/>
  <c r="T22" i="11" s="1"/>
  <c r="O10" i="11"/>
  <c r="N10" i="11"/>
  <c r="K10" i="11"/>
  <c r="J10" i="11"/>
  <c r="O9" i="11"/>
  <c r="N9" i="11"/>
  <c r="L9" i="11"/>
  <c r="K9" i="11"/>
  <c r="T6" i="11"/>
  <c r="T7" i="11" s="1"/>
  <c r="T8" i="11" s="1"/>
  <c r="T9" i="11" s="1"/>
  <c r="T10" i="11" s="1"/>
  <c r="T11" i="11" s="1"/>
  <c r="T12" i="11" s="1"/>
  <c r="T13" i="11" s="1"/>
  <c r="R85" i="10"/>
  <c r="R83" i="10"/>
  <c r="N63" i="10"/>
  <c r="M63" i="10"/>
  <c r="O62" i="10"/>
  <c r="O61" i="10"/>
  <c r="O60" i="10"/>
  <c r="O59" i="10"/>
  <c r="O58" i="10"/>
  <c r="O57" i="10"/>
  <c r="O56" i="10"/>
  <c r="AG23" i="10"/>
  <c r="Z23" i="10"/>
  <c r="AG18" i="10"/>
  <c r="Z18" i="10"/>
  <c r="AG17" i="10"/>
  <c r="Z17" i="10"/>
  <c r="AG16" i="10"/>
  <c r="Z16" i="10"/>
  <c r="AG15" i="10"/>
  <c r="Z15" i="10"/>
  <c r="AG14" i="10"/>
  <c r="Z14" i="10"/>
  <c r="S8" i="10"/>
  <c r="S9" i="10" s="1"/>
  <c r="S10" i="10" s="1"/>
  <c r="S11" i="10" s="1"/>
  <c r="S12" i="10" s="1"/>
  <c r="S13" i="10" s="1"/>
  <c r="S14" i="10" s="1"/>
  <c r="M8" i="10"/>
  <c r="M9" i="10" s="1"/>
  <c r="M10" i="10" s="1"/>
  <c r="M11" i="10" s="1"/>
  <c r="M12" i="10" s="1"/>
  <c r="M13" i="10" s="1"/>
  <c r="M14" i="10" s="1"/>
  <c r="Q5" i="10"/>
  <c r="P5" i="10"/>
  <c r="O5" i="10"/>
  <c r="N5" i="10"/>
  <c r="L5" i="10"/>
  <c r="Q4" i="10"/>
  <c r="P4" i="10"/>
  <c r="O4" i="10"/>
  <c r="N4" i="10"/>
  <c r="L4" i="10"/>
  <c r="U43" i="9"/>
  <c r="T20" i="9"/>
  <c r="M20" i="9"/>
  <c r="T15" i="9"/>
  <c r="M15" i="9"/>
  <c r="T14" i="9"/>
  <c r="M14" i="9"/>
  <c r="T13" i="9"/>
  <c r="M13" i="9"/>
  <c r="T12" i="9"/>
  <c r="M12" i="9"/>
  <c r="T11" i="9"/>
  <c r="T16" i="9" s="1"/>
  <c r="M11" i="9"/>
  <c r="N54" i="8"/>
  <c r="S24" i="8"/>
  <c r="L24" i="8"/>
  <c r="S19" i="8"/>
  <c r="L19" i="8"/>
  <c r="S18" i="8"/>
  <c r="L18" i="8"/>
  <c r="S17" i="8"/>
  <c r="L17" i="8"/>
  <c r="S16" i="8"/>
  <c r="L16" i="8"/>
  <c r="S15" i="8"/>
  <c r="L15" i="8"/>
  <c r="P89" i="7"/>
  <c r="L89" i="7"/>
  <c r="P27" i="7"/>
  <c r="L27" i="7"/>
  <c r="P26" i="7"/>
  <c r="P28" i="7" s="1"/>
  <c r="P30" i="7" s="1"/>
  <c r="L26" i="7"/>
  <c r="L28" i="7" s="1"/>
  <c r="L30" i="7" s="1"/>
  <c r="P25" i="7"/>
  <c r="L25" i="7"/>
  <c r="U90" i="6"/>
  <c r="P89" i="6"/>
  <c r="P88" i="6"/>
  <c r="P87" i="6"/>
  <c r="K87" i="6"/>
  <c r="P43" i="6"/>
  <c r="K43" i="6"/>
  <c r="P42" i="6"/>
  <c r="K42" i="6"/>
  <c r="K44" i="6" s="1"/>
  <c r="K46" i="6" s="1"/>
  <c r="P41" i="6"/>
  <c r="K41" i="6"/>
  <c r="L59" i="5"/>
  <c r="M64" i="5" s="1"/>
  <c r="N46" i="5"/>
  <c r="K46" i="5"/>
  <c r="N45" i="5"/>
  <c r="K45" i="5"/>
  <c r="N44" i="5"/>
  <c r="K44" i="5"/>
  <c r="N43" i="5"/>
  <c r="N47" i="5" s="1"/>
  <c r="K43" i="5"/>
  <c r="P14" i="5"/>
  <c r="J14" i="5"/>
  <c r="P13" i="5"/>
  <c r="J13" i="5"/>
  <c r="P12" i="5"/>
  <c r="J12" i="5"/>
  <c r="P11" i="5"/>
  <c r="P15" i="5" s="1"/>
  <c r="J11" i="5"/>
  <c r="Z19" i="10" l="1"/>
  <c r="R5" i="10"/>
  <c r="R4" i="10"/>
  <c r="U21" i="11"/>
  <c r="U17" i="11"/>
  <c r="U22" i="11"/>
  <c r="U18" i="11"/>
  <c r="U20" i="11"/>
  <c r="U19" i="11"/>
  <c r="U23" i="11"/>
  <c r="U16" i="11"/>
  <c r="V16" i="11" s="1"/>
  <c r="V17" i="11" s="1"/>
  <c r="V18" i="11" s="1"/>
  <c r="V19" i="11" s="1"/>
  <c r="V20" i="11" s="1"/>
  <c r="V21" i="11" s="1"/>
  <c r="V22" i="11" s="1"/>
  <c r="V41" i="9"/>
  <c r="Y48" i="9" s="1"/>
  <c r="N11" i="9"/>
  <c r="N15" i="9"/>
  <c r="T13" i="10"/>
  <c r="T11" i="10"/>
  <c r="T9" i="10"/>
  <c r="T14" i="10"/>
  <c r="T12" i="10"/>
  <c r="T10" i="10"/>
  <c r="T8" i="10"/>
  <c r="U8" i="10" s="1"/>
  <c r="N12" i="9"/>
  <c r="N14" i="9"/>
  <c r="U15" i="9"/>
  <c r="U14" i="9"/>
  <c r="U13" i="9"/>
  <c r="U12" i="9"/>
  <c r="U11" i="9"/>
  <c r="U16" i="9" s="1"/>
  <c r="N9" i="10"/>
  <c r="N14" i="10"/>
  <c r="N12" i="10"/>
  <c r="N10" i="10"/>
  <c r="N8" i="10"/>
  <c r="O8" i="10" s="1"/>
  <c r="N13" i="10"/>
  <c r="N11" i="10"/>
  <c r="U12" i="11"/>
  <c r="U8" i="11"/>
  <c r="U9" i="11"/>
  <c r="U10" i="11"/>
  <c r="U6" i="11"/>
  <c r="U11" i="11"/>
  <c r="U7" i="11"/>
  <c r="M16" i="9"/>
  <c r="N13" i="9" s="1"/>
  <c r="AG19" i="10"/>
  <c r="P91" i="6"/>
  <c r="M51" i="5"/>
  <c r="K45" i="6"/>
  <c r="P90" i="6"/>
  <c r="P92" i="6" s="1"/>
  <c r="L29" i="7"/>
  <c r="S20" i="8"/>
  <c r="N49" i="8" s="1"/>
  <c r="M49" i="8"/>
  <c r="P29" i="7"/>
  <c r="P49" i="8"/>
  <c r="J15" i="5"/>
  <c r="K11" i="5" s="1"/>
  <c r="K47" i="5"/>
  <c r="J51" i="5" s="1"/>
  <c r="K53" i="5"/>
  <c r="L20" i="8"/>
  <c r="T17" i="8" s="1"/>
  <c r="P44" i="6"/>
  <c r="P45" i="6" s="1"/>
  <c r="N16" i="9" l="1"/>
  <c r="U13" i="11"/>
  <c r="V6" i="11"/>
  <c r="V7" i="11" s="1"/>
  <c r="V8" i="11" s="1"/>
  <c r="V9" i="11" s="1"/>
  <c r="V10" i="11" s="1"/>
  <c r="V11" i="11" s="1"/>
  <c r="V12" i="11" s="1"/>
  <c r="O9" i="10"/>
  <c r="O10" i="10" s="1"/>
  <c r="O11" i="10" s="1"/>
  <c r="O12" i="10" s="1"/>
  <c r="O13" i="10" s="1"/>
  <c r="O14" i="10" s="1"/>
  <c r="U9" i="10"/>
  <c r="U10" i="10" s="1"/>
  <c r="U11" i="10" s="1"/>
  <c r="U12" i="10" s="1"/>
  <c r="U13" i="10" s="1"/>
  <c r="U14" i="10" s="1"/>
  <c r="M17" i="8"/>
  <c r="Q14" i="5"/>
  <c r="M18" i="8"/>
  <c r="K14" i="5"/>
  <c r="T15" i="8"/>
  <c r="Q12" i="5"/>
  <c r="M16" i="8"/>
  <c r="K12" i="5"/>
  <c r="K15" i="5" s="1"/>
  <c r="M15" i="8"/>
  <c r="T18" i="8"/>
  <c r="Q11" i="5"/>
  <c r="Q15" i="5" s="1"/>
  <c r="K13" i="5"/>
  <c r="T19" i="8"/>
  <c r="Q13" i="5"/>
  <c r="M19" i="8"/>
  <c r="T16" i="8"/>
  <c r="P46" i="6"/>
  <c r="M20" i="8" l="1"/>
  <c r="T20" i="8"/>
  <c r="Q68" i="4" l="1"/>
  <c r="AC47" i="4"/>
  <c r="AD46" i="4"/>
  <c r="AE44" i="4"/>
  <c r="AE45" i="4" s="1"/>
  <c r="AE46" i="4" s="1"/>
  <c r="AE43" i="4"/>
  <c r="AD43" i="4"/>
  <c r="AE42" i="4"/>
  <c r="AD42" i="4"/>
  <c r="AF42" i="4" s="1"/>
  <c r="AF43" i="4" s="1"/>
  <c r="AF44" i="4" s="1"/>
  <c r="AA38" i="4"/>
  <c r="N31" i="4"/>
  <c r="AD44" i="4" s="1"/>
  <c r="O30" i="4"/>
  <c r="O29" i="4"/>
  <c r="O28" i="4"/>
  <c r="Q27" i="4"/>
  <c r="Q28" i="4" s="1"/>
  <c r="Q29" i="4" s="1"/>
  <c r="Q30" i="4" s="1"/>
  <c r="O27" i="4"/>
  <c r="Q26" i="4"/>
  <c r="P26" i="4"/>
  <c r="P27" i="4" s="1"/>
  <c r="P28" i="4" s="1"/>
  <c r="P29" i="4" s="1"/>
  <c r="P30" i="4" s="1"/>
  <c r="O26" i="4"/>
  <c r="O31" i="4" s="1"/>
  <c r="J22" i="3"/>
  <c r="J23" i="3" s="1"/>
  <c r="J21" i="3"/>
  <c r="Q19" i="3"/>
  <c r="R18" i="3"/>
  <c r="R17" i="3"/>
  <c r="R16" i="3"/>
  <c r="R15" i="3"/>
  <c r="S14" i="3"/>
  <c r="S15" i="3" s="1"/>
  <c r="S16" i="3" s="1"/>
  <c r="S17" i="3" s="1"/>
  <c r="S18" i="3" s="1"/>
  <c r="R14" i="3"/>
  <c r="T14" i="3" s="1"/>
  <c r="T15" i="3" s="1"/>
  <c r="T16" i="3" s="1"/>
  <c r="T17" i="3" s="1"/>
  <c r="T18" i="3" s="1"/>
  <c r="N8" i="3"/>
  <c r="O7" i="3"/>
  <c r="O14" i="3" s="1"/>
  <c r="M15" i="3" s="1"/>
  <c r="O15" i="3" s="1"/>
  <c r="M16" i="3" s="1"/>
  <c r="O16" i="3" s="1"/>
  <c r="M17" i="3" s="1"/>
  <c r="O17" i="3" s="1"/>
  <c r="M18" i="3" s="1"/>
  <c r="O18" i="3" s="1"/>
  <c r="R12" i="2"/>
  <c r="R11" i="2"/>
  <c r="R10" i="2"/>
  <c r="L10" i="2"/>
  <c r="R9" i="2"/>
  <c r="L9" i="2"/>
  <c r="R8" i="2"/>
  <c r="L8" i="2"/>
  <c r="R7" i="2"/>
  <c r="L7" i="2"/>
  <c r="J24" i="3" l="1"/>
  <c r="J25" i="3"/>
  <c r="AD47" i="4"/>
  <c r="R19" i="3"/>
  <c r="AD45" i="4"/>
  <c r="AF45" i="4" s="1"/>
  <c r="AF46" i="4" s="1"/>
  <c r="L11" i="2"/>
  <c r="M8" i="2" s="1"/>
  <c r="R13" i="2"/>
  <c r="S9" i="2" s="1"/>
  <c r="S7" i="2" l="1"/>
  <c r="S10" i="2"/>
  <c r="S11" i="2"/>
  <c r="S8" i="2"/>
  <c r="S12" i="2"/>
  <c r="M9" i="2"/>
  <c r="M10" i="2"/>
  <c r="M7" i="2"/>
  <c r="M11" i="2" s="1"/>
  <c r="S13" i="2" l="1"/>
  <c r="AA16" i="10"/>
  <c r="AA18" i="10"/>
  <c r="AA15" i="10"/>
  <c r="AH15" i="10"/>
  <c r="AA17" i="10"/>
  <c r="AH16" i="10"/>
  <c r="AH18" i="10"/>
  <c r="AH17" i="10"/>
  <c r="AA14" i="10"/>
  <c r="AA19" i="10"/>
  <c r="AH14" i="10"/>
  <c r="AH19" i="10"/>
</calcChain>
</file>

<file path=xl/sharedStrings.xml><?xml version="1.0" encoding="utf-8"?>
<sst xmlns="http://schemas.openxmlformats.org/spreadsheetml/2006/main" count="1764" uniqueCount="286">
  <si>
    <t>Marca temporal</t>
  </si>
  <si>
    <t>¿Cuál es su género?</t>
  </si>
  <si>
    <t>¿Cuál es tu edad? (Ej: 21)</t>
  </si>
  <si>
    <t>¿Cuál es tu estrato socio-económico?</t>
  </si>
  <si>
    <t>¿Cuántos servicios de streaming (por ejemplo: Netflix, Spotify) consumía ANTES de que empezara la pandemia en Colombia?</t>
  </si>
  <si>
    <t>¿Cuántos servicios de streaming (por ejemplo: Netflix, Spotify) consumía DESPUÉS de que empezara la pandemia en Colombia?</t>
  </si>
  <si>
    <t xml:space="preserve">¿Cuál método de pago usaba más ANTES de que empezara la pandemia en Colombia? </t>
  </si>
  <si>
    <t xml:space="preserve">¿Cuál método de pago usa más DESPUÉS de que empezara la pandemia en Colombia? </t>
  </si>
  <si>
    <t>¿Cuántos pedidos de cualquier tipo de producto (a domicilio o por internet) eran realizados en su hogar al mes ANTES de que empezara la pandemia?</t>
  </si>
  <si>
    <t>¿Cuántos pedidos de cualquier tipo de producto (a domicilio o por internet) eran realizados en su hogar al mes DESPUÉS de que empezara la pandemia?</t>
  </si>
  <si>
    <t>¿Cuánto dinero en promedio gastaba al mes en pedidos por internet o domicilios ANTES de que empezara la pandemia?</t>
  </si>
  <si>
    <t>¿Cuánto dinero en promedio gastaba al mes en pedidos por internet o domicilios DESPUÉS de que empezara la pandemia?</t>
  </si>
  <si>
    <t xml:space="preserve">¿Cuál es su nivel de satisfacción respecto a los ENVÍOS de sus pedidos en línea o domicilios ANTES de que empezara la pandemia? </t>
  </si>
  <si>
    <t xml:space="preserve">¿Cuál es su nivel de satisfacción respecto a los ENVÍOS de sus pedidos en línea o domicilios DESPUÉS de que empezara la pandemia? </t>
  </si>
  <si>
    <t xml:space="preserve">¿Cuál es su nivel de satisfacción respecto a los PRODUCTOS de sus pedidos en línea o domicilios ANTES de que empezara la pandemia? </t>
  </si>
  <si>
    <t xml:space="preserve">¿Cuál es su nivel de satisfacción respecto a los PRODUCTOS de sus pedidos en línea o domicilios DESPUÉS de que empezara la pandemia? </t>
  </si>
  <si>
    <t>¿Qué productos consumía ANTES que empezara la pandemia que YA NO consume?</t>
  </si>
  <si>
    <t>¿Qué productos consume AHORA que NO consumía antes que empezara la pandemia?</t>
  </si>
  <si>
    <t>¿Qué establecimientos de consumo frecuentaba ANTES  que empezara la pandemia? (Ej: La 14, Adidas, Cosechas)</t>
  </si>
  <si>
    <t>¿Qué establecimientos de consumo frecuentaba DESPUÉS  que empezara la pandemia? (Ej: La 14, Adidas, Cosechas)</t>
  </si>
  <si>
    <t>Femenino</t>
  </si>
  <si>
    <t>Tarjeta crédito</t>
  </si>
  <si>
    <t>Comida</t>
  </si>
  <si>
    <t>Varios</t>
  </si>
  <si>
    <t>Supermercados, Restaurantes, Centros comerciales</t>
  </si>
  <si>
    <t xml:space="preserve">Supermercados </t>
  </si>
  <si>
    <t>Efectivo</t>
  </si>
  <si>
    <t>Transferencias vía Nequi, Daviplata, etc</t>
  </si>
  <si>
    <t xml:space="preserve">Supermercados, Entretenimiento </t>
  </si>
  <si>
    <t>Servicios de streaming</t>
  </si>
  <si>
    <t>Restaurantes</t>
  </si>
  <si>
    <t>Otro</t>
  </si>
  <si>
    <t>Tarjeta débito</t>
  </si>
  <si>
    <t>Ninguno</t>
  </si>
  <si>
    <t>Centros comerciales</t>
  </si>
  <si>
    <t>Insumos bioseguridad</t>
  </si>
  <si>
    <t>Supermercados, Restaurantes</t>
  </si>
  <si>
    <t xml:space="preserve">Transporte </t>
  </si>
  <si>
    <t>Masculino</t>
  </si>
  <si>
    <t>Entretenimiento</t>
  </si>
  <si>
    <t>Otros</t>
  </si>
  <si>
    <t>Comida, Varios</t>
  </si>
  <si>
    <t>Supermercados, Centros comerciales, bancos</t>
  </si>
  <si>
    <t>Restaurantes, Otros</t>
  </si>
  <si>
    <t>Comida, Varios, Insumos bioseguridad</t>
  </si>
  <si>
    <t>Categorias productos</t>
  </si>
  <si>
    <t>Categorias establecimientos</t>
  </si>
  <si>
    <t>Supermercados, Restaurantes, Entretenimiento</t>
  </si>
  <si>
    <t xml:space="preserve">Unicentro, la 14, jardin plaza, puerto 125, carulla </t>
  </si>
  <si>
    <t xml:space="preserve">Ninguno </t>
  </si>
  <si>
    <t>Transporte</t>
  </si>
  <si>
    <t>Supermercados</t>
  </si>
  <si>
    <t>Vida nocturna</t>
  </si>
  <si>
    <t>Varios (medicamentos/tecnología)</t>
  </si>
  <si>
    <t>Bancos</t>
  </si>
  <si>
    <t>Supermercados, Centros comerciales</t>
  </si>
  <si>
    <t>Comida, Entretenimiento</t>
  </si>
  <si>
    <t>Supermercados, Restaurantes, Entretenimiento, Otros</t>
  </si>
  <si>
    <t xml:space="preserve">Alcohol </t>
  </si>
  <si>
    <t>Supermercados, Otros</t>
  </si>
  <si>
    <t xml:space="preserve">Supermercados cañaveral </t>
  </si>
  <si>
    <t>Centros comerciales, Restaurantes</t>
  </si>
  <si>
    <t>Transporte, Varios</t>
  </si>
  <si>
    <t>Restaurantes, Vida nocturna</t>
  </si>
  <si>
    <t>Ropa</t>
  </si>
  <si>
    <t xml:space="preserve">Comida </t>
  </si>
  <si>
    <t>Supermercados, Restaurantes, Vida nocturna</t>
  </si>
  <si>
    <t>Género</t>
  </si>
  <si>
    <t>fi</t>
  </si>
  <si>
    <t>fr</t>
  </si>
  <si>
    <t>Estrato</t>
  </si>
  <si>
    <t>No Binario</t>
  </si>
  <si>
    <t>Total</t>
  </si>
  <si>
    <t>Edad</t>
  </si>
  <si>
    <t>Rango</t>
  </si>
  <si>
    <t>Max-Min</t>
  </si>
  <si>
    <t>No.Intervalos</t>
  </si>
  <si>
    <t>2^k &gt;= n</t>
  </si>
  <si>
    <t>k=</t>
  </si>
  <si>
    <t>Media</t>
  </si>
  <si>
    <t>Ancho</t>
  </si>
  <si>
    <t>Rango/K</t>
  </si>
  <si>
    <t>Error típico</t>
  </si>
  <si>
    <t xml:space="preserve">n </t>
  </si>
  <si>
    <t>Mediana</t>
  </si>
  <si>
    <t>Moda</t>
  </si>
  <si>
    <t>Desviación estándar</t>
  </si>
  <si>
    <t>Varianza de la muestra</t>
  </si>
  <si>
    <t>Curtosis</t>
  </si>
  <si>
    <t>Clases</t>
  </si>
  <si>
    <t>Frecuencias</t>
  </si>
  <si>
    <t>Frec. Relativa</t>
  </si>
  <si>
    <t>Frec. Abs. Acum</t>
  </si>
  <si>
    <t>Frec. Rel. Acum</t>
  </si>
  <si>
    <t>Coeficiente de asimetría</t>
  </si>
  <si>
    <t>[</t>
  </si>
  <si>
    <t>-</t>
  </si>
  <si>
    <t>)</t>
  </si>
  <si>
    <t>Mínimo</t>
  </si>
  <si>
    <t>Máximo</t>
  </si>
  <si>
    <t>Suma</t>
  </si>
  <si>
    <t>]</t>
  </si>
  <si>
    <t>Cuenta</t>
  </si>
  <si>
    <t>Q1</t>
  </si>
  <si>
    <t>Q3</t>
  </si>
  <si>
    <t>RIC</t>
  </si>
  <si>
    <t>Lim inf</t>
  </si>
  <si>
    <t>Lim sup</t>
  </si>
  <si>
    <t>¿Cuántos servicios de streaming (por ejemplo: Netflix, Spotify)
 consumía ANTES de que empezara la pandemia en Colombia?</t>
  </si>
  <si>
    <t>¿Cuántos servicios de streaming (por ejemplo: Netflix, Spotify)
 consumía DESPUES de que empezara la pandemia en Colombia?</t>
  </si>
  <si>
    <t>Cantidad de servicios de Streaming antes de la pandemia</t>
  </si>
  <si>
    <t>0,8≈</t>
  </si>
  <si>
    <t>Cantidad de servicios de Streaming después de la pandemia</t>
  </si>
  <si>
    <t>Cantidad
Streaming</t>
  </si>
  <si>
    <t>ANTES</t>
  </si>
  <si>
    <t>DESPUES</t>
  </si>
  <si>
    <t>Diferencia</t>
  </si>
  <si>
    <t>alfa</t>
  </si>
  <si>
    <t>Ho</t>
  </si>
  <si>
    <t>ud&gt;=0</t>
  </si>
  <si>
    <t>H1</t>
  </si>
  <si>
    <t>ud&lt;0</t>
  </si>
  <si>
    <t xml:space="preserve">¿Cuál método de pago usaba más ANTES
 de que empezara la pandemia en Colombia? </t>
  </si>
  <si>
    <t xml:space="preserve">¿Cuál método de pago usa más DESPUÉS
 de que empezara la pandemia en Colombia? </t>
  </si>
  <si>
    <t>Método antes</t>
  </si>
  <si>
    <t>Método después</t>
  </si>
  <si>
    <t>P1</t>
  </si>
  <si>
    <t>P2</t>
  </si>
  <si>
    <t>PC</t>
  </si>
  <si>
    <r>
      <t xml:space="preserve">Hipótesis: La proporción de las personas que no pagan con </t>
    </r>
    <r>
      <rPr>
        <sz val="12"/>
        <rFont val="Arial"/>
        <family val="2"/>
      </rPr>
      <t>efectivo aumentó después de la pandemia</t>
    </r>
  </si>
  <si>
    <t>Z=</t>
  </si>
  <si>
    <t>a</t>
  </si>
  <si>
    <t xml:space="preserve">           -4,4835                    -1,6448</t>
  </si>
  <si>
    <t>Ho: P1 ≥ P2</t>
  </si>
  <si>
    <t>H1: P1 &lt; P2</t>
  </si>
  <si>
    <t>Como Zcalculado está dentro de la zona de rechazo, entonces se rechaza Ho, la proporción de personas que no pagan con efectivo aumentó después de la pandemia.</t>
  </si>
  <si>
    <t>copia antes</t>
  </si>
  <si>
    <t>¿Cuántos pedidos de cualquier tipo de producto (a domicilio o por internet)
 eran realizados en su hogar al mes ANTES de que empezara la pandemia?</t>
  </si>
  <si>
    <t>¿Cuántos pedidos de cualquier tipo de producto (a domicilio o por internet)
 eran realizados en su hogar al mes DESPUÉS de que empezara la pandemia?</t>
  </si>
  <si>
    <t>copia despues</t>
  </si>
  <si>
    <t>Antes</t>
  </si>
  <si>
    <t>Después</t>
  </si>
  <si>
    <t>Durante</t>
  </si>
  <si>
    <t>Nivel de confianza(95,0%)</t>
  </si>
  <si>
    <t>CV</t>
  </si>
  <si>
    <t>LI</t>
  </si>
  <si>
    <t>LS</t>
  </si>
  <si>
    <t>Ho: μ ≤ 4</t>
  </si>
  <si>
    <t>H1: μ &gt; 4</t>
  </si>
  <si>
    <t xml:space="preserve">                                                    0,4801            … 2,1668</t>
  </si>
  <si>
    <t>Se rechaza Ho, la media es mayor a 4.</t>
  </si>
  <si>
    <t>Copia antes</t>
  </si>
  <si>
    <t>¿Cuánto dinero en promedio gastaba al mes en pedidos por
 internet o domicilios ANTES de que empezara la pandemia?</t>
  </si>
  <si>
    <t>¿Cuánto dinero en promedio gastaba al mes en pedidos por 
internet o domicilios DESPUÉS de que empezara la pandemia?</t>
  </si>
  <si>
    <t>Copia depués</t>
  </si>
  <si>
    <t>Ho: 1 ≤ varianza</t>
  </si>
  <si>
    <t>H1: 1 &gt; varianza</t>
  </si>
  <si>
    <t>PC= 55,7585</t>
  </si>
  <si>
    <t>55,7585                                             1,09097561E11</t>
  </si>
  <si>
    <t>Se rechaza Ho, la varianza poblacional es mayor a 1</t>
  </si>
  <si>
    <t xml:space="preserve">¿Cuál es su nivel de satisfacción respecto a los ENVÍOS de
 sus pedidos en línea o domicilios ANTES de que empezara la pandemia? </t>
  </si>
  <si>
    <t xml:space="preserve">¿Cuál es su nivel de satisfacción respecto a los ENVÍOS de sus
 pedidos en línea o domicilios DESPUÉS de que empezara la pandemia? </t>
  </si>
  <si>
    <t>Satisfacción
envios antes</t>
  </si>
  <si>
    <t>Satisfacción
envios despues</t>
  </si>
  <si>
    <t>Z</t>
  </si>
  <si>
    <t>alpha</t>
  </si>
  <si>
    <t>Se rechaza Ho, la satisfacción general aumentó.</t>
  </si>
  <si>
    <t xml:space="preserve">¿Cuál es su nivel de satisfacción respecto a los PRODUCTOS de
 sus pedidos en línea o domicilios ANTES de que empezara la pandemia? </t>
  </si>
  <si>
    <t xml:space="preserve">¿Cuál es su nivel de satisfacción respecto a los PRODUCTOS de sus
 pedidos en línea o domicilios DESPUÉS de que empezara la pandemia? </t>
  </si>
  <si>
    <t>Satisfacción
productos antes</t>
  </si>
  <si>
    <t>Satisfacción
productos  despues</t>
  </si>
  <si>
    <t>p</t>
  </si>
  <si>
    <t>pi</t>
  </si>
  <si>
    <t>n</t>
  </si>
  <si>
    <t>Se quiere determinar si más del 40% de los encuestados se 
sienten satisfechos (en el nivel 4 de satisfacción)</t>
  </si>
  <si>
    <t>p&lt;=0,4</t>
  </si>
  <si>
    <t>p&gt;0,4</t>
  </si>
  <si>
    <t>z</t>
  </si>
  <si>
    <t xml:space="preserve">No se rechaza Ho, es decir que no hay suficiente información
 para afirmar que más del 40% de los encuestados se 
sienten satisfechos (en el nivel 4 de satisfacción)
 </t>
  </si>
  <si>
    <t>¿Qué productos consumía ANTES que 
empezara la pandemia que YA NO consume?</t>
  </si>
  <si>
    <t>¿Qué productos consume AHORA que 
NO consumía antes que empezara la pandemia?</t>
  </si>
  <si>
    <t>Antes ya no</t>
  </si>
  <si>
    <t>Ahora antes no</t>
  </si>
  <si>
    <t>Serviciosdestreaming</t>
  </si>
  <si>
    <t>Productos más consumidos antes de la pandemia</t>
  </si>
  <si>
    <t>Productos más consumidos durante de la pandemia</t>
  </si>
  <si>
    <t>Producto</t>
  </si>
  <si>
    <t>F abs</t>
  </si>
  <si>
    <t>F abs acum</t>
  </si>
  <si>
    <t>F rel</t>
  </si>
  <si>
    <t>F rel acum</t>
  </si>
  <si>
    <t>Insumosbioseguridad</t>
  </si>
  <si>
    <t>Productos antes que ya no</t>
  </si>
  <si>
    <t>Productos ahora que antes no</t>
  </si>
  <si>
    <t>Comida,Varios</t>
  </si>
  <si>
    <t>Despues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</si>
  <si>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</si>
  <si>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</si>
  <si>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</si>
  <si>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</si>
  <si>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</si>
  <si>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</si>
  <si>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</si>
  <si>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</si>
  <si>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</si>
  <si>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</si>
  <si>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</si>
  <si>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 xml:space="preserve">Se rechaza Ho, es decir que no hay suficiente información
 para afirmar que más del 40% de los encuestados se 
sienten satisfechos (en el nivel 4 de satisfacción)
 </t>
  </si>
  <si>
    <t>Qué establecimientos de consumo frecuentaba antes de la pandemia</t>
  </si>
  <si>
    <t>Centroscomerciales</t>
  </si>
  <si>
    <t>Supermercados,Restaurantes,Centroscomerciales</t>
  </si>
  <si>
    <t>Establecimientos</t>
  </si>
  <si>
    <t>Supermercados,Entretenimiento</t>
  </si>
  <si>
    <t>Supermercados,Restaurantes</t>
  </si>
  <si>
    <t>Vidanocturna</t>
  </si>
  <si>
    <t>Supermercados,Centroscomerciales,bancos</t>
  </si>
  <si>
    <t>Restaurantes,Otros</t>
  </si>
  <si>
    <t>Supermercados,Restaurantes,Entretenimiento</t>
  </si>
  <si>
    <t>Supermercados,Centroscomerciales</t>
  </si>
  <si>
    <t>Supermercados,Restaurantes,Entretenimiento,Otros</t>
  </si>
  <si>
    <t>Supermercados,Otros</t>
  </si>
  <si>
    <t>Supermercadoscañaveral</t>
  </si>
  <si>
    <t>Centroscomerciales,Restaurantes</t>
  </si>
  <si>
    <t>Restaurantes,Vidanocturna</t>
  </si>
  <si>
    <t>Supermercados,Restaurantes,Vidanocturna</t>
  </si>
  <si>
    <t>Queremos probar sí antes de la pandemia, la gente 
frecuentaba más los lugares mencionados que durante ella</t>
  </si>
  <si>
    <t>ud&lt;=0</t>
  </si>
  <si>
    <t>ud&gt;0</t>
  </si>
  <si>
    <t>No se rechaza Ho es decir que no hay evidencia para probar que antes de la pandemia, la gente 
frecuentaba más los lugares mencionados que durante ella</t>
  </si>
  <si>
    <t>bancos</t>
  </si>
  <si>
    <t xml:space="preserve">Queremos probar que  después de haber empezado la pandemia
la gente tiene más servicios de streaming a la vez
</t>
  </si>
  <si>
    <t>Rechazamos Ho, por tanto podemos afirmar que 
después de haber empezado la pandemia
la gente tiene más servicios de streaming a la vez</t>
  </si>
  <si>
    <t>fo</t>
  </si>
  <si>
    <t>fe</t>
  </si>
  <si>
    <t>(fo-fe)^2/fe</t>
  </si>
  <si>
    <t>= Estadístico de prueba</t>
  </si>
  <si>
    <t>gl</t>
  </si>
  <si>
    <t>Valor crítico</t>
  </si>
  <si>
    <t>Ho: No hay un producto consumido antes de la pandemia que sea predominante.</t>
  </si>
  <si>
    <t>H1: Hay un producto consumido antes de la pandemia que sea predominante.</t>
  </si>
  <si>
    <t>Se rechaza Ho, Sí hay un producto consumido antes de la pandemia predominante.</t>
  </si>
  <si>
    <t xml:space="preserve">La comida es el producto predominante consumido antes de la pandemia </t>
  </si>
  <si>
    <t>H1: La distribución de los establecimientos frecuentados durante la pandemia NO es la misma que antes de la pandemia.</t>
  </si>
  <si>
    <t>Ho: La distribución de los establecimientos frecuentados durante la pandemia es la misma que antes de la pandemia.</t>
  </si>
  <si>
    <t>Se rechaza Ho, La distribución de los establecimientos frecuentados durante la pandemia NO es la misma que antes de la pandemia.</t>
  </si>
  <si>
    <t>Estadístico de prueba</t>
  </si>
  <si>
    <t>= Z critico</t>
  </si>
  <si>
    <t>N=</t>
  </si>
  <si>
    <t>n=</t>
  </si>
  <si>
    <t>f=</t>
  </si>
  <si>
    <t>Por proporción</t>
  </si>
  <si>
    <t>Parámetro</t>
  </si>
  <si>
    <t>P</t>
  </si>
  <si>
    <t>Q</t>
  </si>
  <si>
    <t>e</t>
  </si>
  <si>
    <t xml:space="preserve">No se debe corregir por población finita </t>
  </si>
  <si>
    <t>&lt; 0,05</t>
  </si>
  <si>
    <t>Usar porcentajes en barras</t>
  </si>
  <si>
    <t>Chi 2 para nominal</t>
  </si>
  <si>
    <t>Posiblemente media</t>
  </si>
  <si>
    <t>Hacer diferencia para cada dato</t>
  </si>
  <si>
    <t>Podria ser chi2</t>
  </si>
  <si>
    <t>Distribucion normal estandar del z del estadístico de prueba</t>
  </si>
  <si>
    <t>En excel</t>
  </si>
  <si>
    <t>Sacar ninguno</t>
  </si>
  <si>
    <t>Chi2 con frecuencias iguales</t>
  </si>
  <si>
    <t>Incluir el antes, hacer lo mismo que la 10</t>
  </si>
  <si>
    <t>Edad y gastos en domicilios</t>
  </si>
  <si>
    <t>ANOVA</t>
  </si>
  <si>
    <t>Determinar si hay diferencia en los gastos por rangos de edad</t>
  </si>
  <si>
    <t>Ho: La misma cantidad de hombres y de mujeres respondieron la encuesta</t>
  </si>
  <si>
    <t>H1: La cantidad de hombre y mujeres que respondieron la encuesta fue diferente</t>
  </si>
  <si>
    <t>Rechazo Ho, La cantidad de hombres y mujeres que respondieron la encuesta fue diferente</t>
  </si>
  <si>
    <t>Ho: No hubo un estrato cuyas personas respondieron más la encuesta</t>
  </si>
  <si>
    <t>Más mujeres respondieron la encuesta</t>
  </si>
  <si>
    <t>Se rechaza Ho, Hubo un estrato cuyas personas respondieron más la encuesta</t>
  </si>
  <si>
    <t>H1: Hubo un estrato cuyas personas respondieron más la encuesta</t>
  </si>
  <si>
    <t>Más personas de estrato 5 respondieron la encuesta</t>
  </si>
  <si>
    <t>diferencia</t>
  </si>
  <si>
    <t>H1: Hubo un aumento de las personas que consumen servicios de Streaming</t>
  </si>
  <si>
    <t>H0: No hubo ningún cambio en el consumo de servicios de streaming</t>
  </si>
  <si>
    <t>p&lt;alfa</t>
  </si>
  <si>
    <t>Se rechaza H0, hubo un aumento de las personas que consumen servicios de streaming</t>
  </si>
  <si>
    <t>p=</t>
  </si>
  <si>
    <r>
      <t xml:space="preserve">Ho: </t>
    </r>
    <r>
      <rPr>
        <sz val="10"/>
        <color rgb="FF000000"/>
        <rFont val="Calibri"/>
        <family val="2"/>
      </rPr>
      <t>π</t>
    </r>
    <r>
      <rPr>
        <sz val="10"/>
        <color rgb="FF000000"/>
        <rFont val="Arial"/>
        <family val="2"/>
      </rPr>
      <t>1 ≥ π2</t>
    </r>
  </si>
  <si>
    <t>H1: π1 &lt; π2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</si>
</sst>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m/d/yyyy\ h:mm:ss"/>
    <numFmt numFmtId="165" formatCode="0.0000"/>
    <numFmt numFmtId="166" formatCode="0.000"/>
    <numFmt numFmtId="167" formatCode="0.000E+00"/>
    <numFmt numFmtId="168" formatCode="_-* #,##0_-;\-* #,##0_-;_-* &quot;-&quot;??_-;_-@_-"/>
  </numFmts>
  <fonts count="17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i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8"/>
      <color rgb="FF000000"/>
      <name val="Arial"/>
      <family val="2"/>
    </font>
    <font>
      <sz val="16"/>
      <color rgb="FF000000"/>
      <name val="Arial"/>
      <family val="2"/>
    </font>
    <font>
      <sz val="24"/>
      <color rgb="FF000000"/>
      <name val="Arial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4" fillId="0" borderId="0" xfId="0" applyFont="1"/>
    <xf numFmtId="0" fontId="2" fillId="0" borderId="1" xfId="0" applyFont="1" applyBorder="1"/>
    <xf numFmtId="0" fontId="5" fillId="0" borderId="2" xfId="0" applyFont="1" applyBorder="1"/>
    <xf numFmtId="0" fontId="2" fillId="0" borderId="2" xfId="0" applyFont="1" applyBorder="1"/>
    <xf numFmtId="0" fontId="4" fillId="0" borderId="2" xfId="0" applyFont="1" applyBorder="1"/>
    <xf numFmtId="0" fontId="6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7" fillId="0" borderId="2" xfId="0" applyFont="1" applyBorder="1" applyAlignment="1">
      <alignment horizontal="center" vertical="center"/>
    </xf>
    <xf numFmtId="10" fontId="7" fillId="0" borderId="2" xfId="1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Continuous"/>
    </xf>
    <xf numFmtId="0" fontId="0" fillId="0" borderId="2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/>
    <xf numFmtId="9" fontId="0" fillId="0" borderId="2" xfId="1" applyFont="1" applyBorder="1" applyAlignment="1"/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9" fontId="0" fillId="0" borderId="0" xfId="1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0" fillId="0" borderId="0" xfId="0" applyFont="1"/>
    <xf numFmtId="0" fontId="11" fillId="0" borderId="2" xfId="0" applyFont="1" applyBorder="1"/>
    <xf numFmtId="10" fontId="7" fillId="0" borderId="2" xfId="2" applyNumberFormat="1" applyFont="1" applyBorder="1" applyAlignment="1">
      <alignment horizontal="center" vertical="center"/>
    </xf>
    <xf numFmtId="165" fontId="0" fillId="0" borderId="0" xfId="0" applyNumberFormat="1"/>
    <xf numFmtId="165" fontId="0" fillId="0" borderId="0" xfId="2" applyNumberFormat="1" applyFont="1" applyAlignment="1"/>
    <xf numFmtId="9" fontId="0" fillId="0" borderId="0" xfId="2" applyFont="1" applyAlignment="1"/>
    <xf numFmtId="166" fontId="0" fillId="0" borderId="0" xfId="0" applyNumberFormat="1"/>
    <xf numFmtId="0" fontId="6" fillId="2" borderId="0" xfId="0" applyFont="1" applyFill="1"/>
    <xf numFmtId="165" fontId="0" fillId="2" borderId="0" xfId="0" applyNumberFormat="1" applyFill="1"/>
    <xf numFmtId="167" fontId="0" fillId="0" borderId="0" xfId="0" applyNumberFormat="1"/>
    <xf numFmtId="0" fontId="10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Continuous"/>
    </xf>
    <xf numFmtId="0" fontId="10" fillId="0" borderId="0" xfId="0" quotePrefix="1" applyFont="1" applyAlignment="1">
      <alignment horizontal="center" vertical="center"/>
    </xf>
    <xf numFmtId="0" fontId="0" fillId="0" borderId="13" xfId="0" applyBorder="1"/>
    <xf numFmtId="0" fontId="8" fillId="0" borderId="12" xfId="0" applyFont="1" applyBorder="1" applyAlignment="1">
      <alignment horizontal="centerContinuous" wrapText="1"/>
    </xf>
    <xf numFmtId="0" fontId="0" fillId="3" borderId="0" xfId="0" applyFill="1"/>
    <xf numFmtId="0" fontId="0" fillId="4" borderId="0" xfId="0" applyFill="1"/>
    <xf numFmtId="0" fontId="0" fillId="3" borderId="13" xfId="0" applyFill="1" applyBorder="1"/>
    <xf numFmtId="0" fontId="6" fillId="4" borderId="0" xfId="0" applyFont="1" applyFill="1"/>
    <xf numFmtId="0" fontId="6" fillId="3" borderId="0" xfId="0" applyFont="1" applyFill="1"/>
    <xf numFmtId="0" fontId="13" fillId="0" borderId="0" xfId="0" applyFont="1"/>
    <xf numFmtId="168" fontId="10" fillId="0" borderId="0" xfId="3" applyNumberFormat="1" applyFont="1" applyAlignment="1"/>
    <xf numFmtId="168" fontId="0" fillId="3" borderId="0" xfId="3" applyNumberFormat="1" applyFont="1" applyFill="1" applyAlignment="1"/>
    <xf numFmtId="0" fontId="14" fillId="0" borderId="0" xfId="0" applyFont="1"/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wrapText="1"/>
    </xf>
    <xf numFmtId="2" fontId="0" fillId="0" borderId="0" xfId="0" applyNumberFormat="1"/>
    <xf numFmtId="0" fontId="8" fillId="0" borderId="12" xfId="0" applyFont="1" applyBorder="1" applyAlignment="1">
      <alignment horizontal="center"/>
    </xf>
    <xf numFmtId="0" fontId="0" fillId="2" borderId="0" xfId="0" applyFill="1"/>
    <xf numFmtId="0" fontId="0" fillId="0" borderId="0" xfId="0" applyFill="1" applyBorder="1" applyAlignment="1"/>
    <xf numFmtId="0" fontId="0" fillId="0" borderId="13" xfId="0" applyFill="1" applyBorder="1" applyAlignment="1"/>
    <xf numFmtId="0" fontId="8" fillId="0" borderId="1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6" fillId="0" borderId="0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14" xfId="0" applyBorder="1"/>
    <xf numFmtId="0" fontId="0" fillId="0" borderId="15" xfId="0" applyBorder="1"/>
    <xf numFmtId="0" fontId="6" fillId="0" borderId="0" xfId="0" quotePrefix="1" applyFont="1" applyBorder="1"/>
    <xf numFmtId="0" fontId="8" fillId="0" borderId="14" xfId="0" applyFont="1" applyFill="1" applyBorder="1" applyAlignment="1">
      <alignment horizontal="center"/>
    </xf>
    <xf numFmtId="0" fontId="0" fillId="0" borderId="14" xfId="0" applyFill="1" applyBorder="1" applyAlignment="1"/>
    <xf numFmtId="2" fontId="0" fillId="0" borderId="0" xfId="0" applyNumberFormat="1" applyBorder="1"/>
    <xf numFmtId="0" fontId="6" fillId="0" borderId="14" xfId="0" applyFont="1" applyBorder="1"/>
    <xf numFmtId="0" fontId="6" fillId="0" borderId="9" xfId="0" applyFont="1" applyBorder="1"/>
    <xf numFmtId="0" fontId="1" fillId="0" borderId="0" xfId="0" applyFont="1" applyBorder="1"/>
    <xf numFmtId="0" fontId="1" fillId="0" borderId="14" xfId="0" applyFont="1" applyBorder="1"/>
    <xf numFmtId="0" fontId="0" fillId="0" borderId="3" xfId="0" applyBorder="1"/>
    <xf numFmtId="0" fontId="1" fillId="0" borderId="0" xfId="0" applyFont="1"/>
    <xf numFmtId="0" fontId="1" fillId="0" borderId="0" xfId="0" quotePrefix="1" applyFont="1"/>
    <xf numFmtId="9" fontId="0" fillId="0" borderId="0" xfId="0" applyNumberFormat="1"/>
    <xf numFmtId="1" fontId="0" fillId="0" borderId="0" xfId="0" applyNumberFormat="1"/>
    <xf numFmtId="165" fontId="15" fillId="0" borderId="0" xfId="0" applyNumberFormat="1" applyFont="1"/>
    <xf numFmtId="0" fontId="15" fillId="0" borderId="0" xfId="0" applyFont="1"/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8" fillId="0" borderId="12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4">
    <cellStyle name="Millares 2" xfId="3" xr:uid="{BEB23807-8651-487A-AF5F-72569D6FA46B}"/>
    <cellStyle name="Normal" xfId="0" builtinId="0"/>
    <cellStyle name="Porcentaje 2" xfId="1" xr:uid="{7C226187-484A-453A-B8EE-20F0F5A9AFE8}"/>
    <cellStyle name="Porcentaje 3" xfId="2" xr:uid="{5B5BFA68-E1C3-41C9-A3D0-278699B7A8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'1. Genero y estrato'!$K$6</c:f>
              <c:strCache>
                <c:ptCount val="1"/>
                <c:pt idx="0">
                  <c:v>Género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29-40E6-8438-654463ED96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29-40E6-8438-654463ED96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'1. Genero y estrato'!$K$7:$K$10</c15:sqref>
                  </c15:fullRef>
                </c:ext>
              </c:extLst>
              <c:f>'1. Genero y estrato'!$K$7:$K$8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 Genero y estrato'!$M$7:$M$10</c15:sqref>
                  </c15:fullRef>
                </c:ext>
              </c:extLst>
              <c:f>'1. Genero y estrato'!$M$7:$M$8</c:f>
              <c:numCache>
                <c:formatCode>0.00%</c:formatCode>
                <c:ptCount val="2"/>
                <c:pt idx="0">
                  <c:v>0.76666666666666672</c:v>
                </c:pt>
                <c:pt idx="1">
                  <c:v>0.21666666666666667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'1. Genero y estrato'!$M$9</c15:sqref>
                  <c15:spPr xmlns:c15="http://schemas.microsoft.com/office/drawing/2012/chart"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'1. Genero y estrato'!$M$10</c15:sqref>
                  <c15:spPr xmlns:c15="http://schemas.microsoft.com/office/drawing/2012/chart"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E829-40E6-8438-654463ED965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'8. Satisfacción productos'!$L$10</c:f>
              <c:strCache>
                <c:ptCount val="1"/>
                <c:pt idx="0">
                  <c:v>Satisfacción
productos antes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34-4E25-9855-73982842013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34-4E25-9855-73982842013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34-4E25-9855-73982842013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34-4E25-9855-73982842013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34-4E25-9855-7398284201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'8. Satisfacción productos'!$L$11:$L$15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'8. Satisfacción productos'!$M$11:$M$15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21</c:v>
                </c:pt>
                <c:pt idx="3">
                  <c:v>25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34-4E25-9855-739828420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63662063"/>
        <c:axId val="1363668719"/>
      </c:barChart>
      <c:catAx>
        <c:axId val="1363662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668719"/>
        <c:crosses val="autoZero"/>
        <c:auto val="1"/>
        <c:lblAlgn val="ctr"/>
        <c:lblOffset val="100"/>
        <c:noMultiLvlLbl val="0"/>
      </c:catAx>
      <c:valAx>
        <c:axId val="13636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66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Satisfacción
productos durante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'8. Satisfacción productos'!$S$10</c:f>
              <c:strCache>
                <c:ptCount val="1"/>
                <c:pt idx="0">
                  <c:v>Satisfacción
productos  despues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17-452F-B2CF-ED7FA04BC1E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17-452F-B2CF-ED7FA04BC1E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17-452F-B2CF-ED7FA04BC1E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17-452F-B2CF-ED7FA04BC1E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117-452F-B2CF-ED7FA04BC1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'8. Satisfacción productos'!$S$11:$S$15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'8. Satisfacción productos'!$T$11:$T$15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30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17-452F-B2CF-ED7FA04BC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3432287"/>
        <c:axId val="1083427295"/>
      </c:barChart>
      <c:catAx>
        <c:axId val="1083432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3427295"/>
        <c:crosses val="autoZero"/>
        <c:auto val="1"/>
        <c:lblAlgn val="ctr"/>
        <c:lblOffset val="100"/>
        <c:noMultiLvlLbl val="0"/>
      </c:catAx>
      <c:valAx>
        <c:axId val="10834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343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Productos más</a:t>
            </a:r>
            <a:r>
              <a:rPr lang="es-CO" baseline="0"/>
              <a:t> consumidos antes de la pandemia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A3-4F95-8261-342955C749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A3-4F95-8261-342955C749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A3-4F95-8261-342955C749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A3-4F95-8261-342955C749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A3-4F95-8261-342955C749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1A3-4F95-8261-342955C749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1A3-4F95-8261-342955C749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'9. Consumo productos'!$K$3:$Q$3</c:f>
              <c:strCache>
                <c:ptCount val="7"/>
                <c:pt idx="0">
                  <c:v>Comida</c:v>
                </c:pt>
                <c:pt idx="1">
                  <c:v>Insumos bioseguridad</c:v>
                </c:pt>
                <c:pt idx="2">
                  <c:v>Transporte</c:v>
                </c:pt>
                <c:pt idx="3">
                  <c:v>Servicios de streaming</c:v>
                </c:pt>
                <c:pt idx="4">
                  <c:v>Ninguno</c:v>
                </c:pt>
                <c:pt idx="5">
                  <c:v>Varios</c:v>
                </c:pt>
                <c:pt idx="6">
                  <c:v>Entretenimiento</c:v>
                </c:pt>
              </c:strCache>
            </c:strRef>
          </c:cat>
          <c:val>
            <c:numRef>
              <c:f>'9. Consumo productos'!$K$4:$Q$4</c:f>
              <c:numCache>
                <c:formatCode>General</c:formatCode>
                <c:ptCount val="7"/>
                <c:pt idx="0">
                  <c:v>27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23</c:v>
                </c:pt>
                <c:pt idx="5">
                  <c:v>3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1A3-4F95-8261-342955C7496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Productos más consumidos durante la pandemia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8E-4AC6-BBE8-1131660EE5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8E-4AC6-BBE8-1131660EE5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8E-4AC6-BBE8-1131660EE5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8E-4AC6-BBE8-1131660EE5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8E-4AC6-BBE8-1131660EE5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8E-4AC6-BBE8-1131660EE5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8E-4AC6-BBE8-1131660EE5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'9. Consumo productos'!$K$3:$Q$3</c:f>
              <c:strCache>
                <c:ptCount val="7"/>
                <c:pt idx="0">
                  <c:v>Comida</c:v>
                </c:pt>
                <c:pt idx="1">
                  <c:v>Insumos bioseguridad</c:v>
                </c:pt>
                <c:pt idx="2">
                  <c:v>Transporte</c:v>
                </c:pt>
                <c:pt idx="3">
                  <c:v>Servicios de streaming</c:v>
                </c:pt>
                <c:pt idx="4">
                  <c:v>Ninguno</c:v>
                </c:pt>
                <c:pt idx="5">
                  <c:v>Varios</c:v>
                </c:pt>
                <c:pt idx="6">
                  <c:v>Entretenimiento</c:v>
                </c:pt>
              </c:strCache>
            </c:strRef>
          </c:cat>
          <c:val>
            <c:numRef>
              <c:f>'9. Consumo productos'!$K$5:$Q$5</c:f>
              <c:numCache>
                <c:formatCode>General</c:formatCode>
                <c:ptCount val="7"/>
                <c:pt idx="0">
                  <c:v>20</c:v>
                </c:pt>
                <c:pt idx="1">
                  <c:v>11</c:v>
                </c:pt>
                <c:pt idx="2">
                  <c:v>0</c:v>
                </c:pt>
                <c:pt idx="3">
                  <c:v>9</c:v>
                </c:pt>
                <c:pt idx="4">
                  <c:v>18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38E-4AC6-BBE8-1131660EE5A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Qué establecimientos de consumo frecuentaba antes</a:t>
            </a:r>
            <a:r>
              <a:rPr lang="es-CO" baseline="0"/>
              <a:t> de la pandemia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0F-4FD1-895B-0948211A89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0F-4FD1-895B-0948211A89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0F-4FD1-895B-0948211A89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0F-4FD1-895B-0948211A89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0F-4FD1-895B-0948211A89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0F-4FD1-895B-0948211A89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40F-4FD1-895B-0948211A89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'10. Establecimientos'!$J$8:$P$8</c:f>
              <c:strCache>
                <c:ptCount val="7"/>
                <c:pt idx="0">
                  <c:v>Supermercados</c:v>
                </c:pt>
                <c:pt idx="1">
                  <c:v>Restaurantes</c:v>
                </c:pt>
                <c:pt idx="2">
                  <c:v>Centros comerciales</c:v>
                </c:pt>
                <c:pt idx="3">
                  <c:v>Otros</c:v>
                </c:pt>
                <c:pt idx="4">
                  <c:v>Vida nocturna</c:v>
                </c:pt>
                <c:pt idx="5">
                  <c:v>Entretenimiento</c:v>
                </c:pt>
                <c:pt idx="6">
                  <c:v>Ninguno</c:v>
                </c:pt>
              </c:strCache>
            </c:strRef>
          </c:cat>
          <c:val>
            <c:numRef>
              <c:f>'10. Establecimientos'!$J$9:$P$9</c:f>
              <c:numCache>
                <c:formatCode>General</c:formatCode>
                <c:ptCount val="7"/>
                <c:pt idx="0">
                  <c:v>36</c:v>
                </c:pt>
                <c:pt idx="1">
                  <c:v>27</c:v>
                </c:pt>
                <c:pt idx="2">
                  <c:v>20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40F-4FD1-895B-0948211A89A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Qué establecimientos de consumo frecuentaba durante </a:t>
            </a:r>
            <a:r>
              <a:rPr lang="es-CO" baseline="0"/>
              <a:t>de la pandemia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EF-4FC5-950B-3CEFF759FF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EF-4FC5-950B-3CEFF759FF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EF-4FC5-950B-3CEFF759FF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EF-4FC5-950B-3CEFF759FF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EF-4FC5-950B-3CEFF759FF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6EF-4FC5-950B-3CEFF759FF1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6EF-4FC5-950B-3CEFF759FF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'10. Establecimientos'!$J$8:$P$8</c:f>
              <c:strCache>
                <c:ptCount val="7"/>
                <c:pt idx="0">
                  <c:v>Supermercados</c:v>
                </c:pt>
                <c:pt idx="1">
                  <c:v>Restaurantes</c:v>
                </c:pt>
                <c:pt idx="2">
                  <c:v>Centros comerciales</c:v>
                </c:pt>
                <c:pt idx="3">
                  <c:v>Otros</c:v>
                </c:pt>
                <c:pt idx="4">
                  <c:v>Vida nocturna</c:v>
                </c:pt>
                <c:pt idx="5">
                  <c:v>Entretenimiento</c:v>
                </c:pt>
                <c:pt idx="6">
                  <c:v>Ninguno</c:v>
                </c:pt>
              </c:strCache>
            </c:strRef>
          </c:cat>
          <c:val>
            <c:numRef>
              <c:f>'10. Establecimientos'!$J$10:$P$10</c:f>
              <c:numCache>
                <c:formatCode>General</c:formatCode>
                <c:ptCount val="7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6EF-4FC5-950B-3CEFF759FF1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Genero y estrato'!$Q$6</c:f>
              <c:strCache>
                <c:ptCount val="1"/>
                <c:pt idx="0">
                  <c:v>Estrato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'1. Genero y estrato'!$Q$7:$Q$12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'1. Genero y estrato'!$S$7:$S$12</c:f>
              <c:numCache>
                <c:formatCode>0.00%</c:formatCode>
                <c:ptCount val="6"/>
                <c:pt idx="0">
                  <c:v>1.6666666666666666E-2</c:v>
                </c:pt>
                <c:pt idx="1">
                  <c:v>8.3333333333333329E-2</c:v>
                </c:pt>
                <c:pt idx="2">
                  <c:v>0.11666666666666667</c:v>
                </c:pt>
                <c:pt idx="3">
                  <c:v>0.28333333333333333</c:v>
                </c:pt>
                <c:pt idx="4">
                  <c:v>0.46666666666666667</c:v>
                </c:pt>
                <c:pt idx="5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37-49FF-B75F-70E9731489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03881376"/>
        <c:axId val="603892192"/>
      </c:barChart>
      <c:catAx>
        <c:axId val="60388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3892192"/>
        <c:crosses val="autoZero"/>
        <c:auto val="1"/>
        <c:lblAlgn val="ctr"/>
        <c:lblOffset val="100"/>
        <c:noMultiLvlLbl val="0"/>
      </c:catAx>
      <c:valAx>
        <c:axId val="6038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388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'2. Edad'!$I$5</c:f>
              <c:strCache>
                <c:ptCount val="1"/>
                <c:pt idx="0">
                  <c:v>Edad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9A-4BB3-B038-87398C03B2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9A-4BB3-B038-87398C03B2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9A-4BB3-B038-87398C03B2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9A-4BB3-B038-87398C03B2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9A-4BB3-B038-87398C03B2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'2. Edad'!$L$14:$P$18</c:f>
              <c:multiLvlStrCache>
                <c:ptCount val="5"/>
                <c:lvl>
                  <c:pt idx="0">
                    <c:v>)</c:v>
                  </c:pt>
                  <c:pt idx="1">
                    <c:v>)</c:v>
                  </c:pt>
                  <c:pt idx="2">
                    <c:v>)</c:v>
                  </c:pt>
                  <c:pt idx="3">
                    <c:v>)</c:v>
                  </c:pt>
                  <c:pt idx="4">
                    <c:v>]</c:v>
                  </c:pt>
                </c:lvl>
                <c:lvl>
                  <c:pt idx="0">
                    <c:v>18</c:v>
                  </c:pt>
                  <c:pt idx="1">
                    <c:v>21</c:v>
                  </c:pt>
                  <c:pt idx="2">
                    <c:v>24</c:v>
                  </c:pt>
                  <c:pt idx="3">
                    <c:v>27</c:v>
                  </c:pt>
                  <c:pt idx="4">
                    <c:v>30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</c:lvl>
                <c:lvl>
                  <c:pt idx="0">
                    <c:v>15</c:v>
                  </c:pt>
                  <c:pt idx="1">
                    <c:v>18</c:v>
                  </c:pt>
                  <c:pt idx="2">
                    <c:v>21</c:v>
                  </c:pt>
                  <c:pt idx="3">
                    <c:v>24</c:v>
                  </c:pt>
                  <c:pt idx="4">
                    <c:v>27</c:v>
                  </c:pt>
                </c:lvl>
                <c:lvl>
                  <c:pt idx="0">
                    <c:v>[</c:v>
                  </c:pt>
                  <c:pt idx="1">
                    <c:v>[</c:v>
                  </c:pt>
                  <c:pt idx="2">
                    <c:v>[</c:v>
                  </c:pt>
                  <c:pt idx="3">
                    <c:v>[</c:v>
                  </c:pt>
                  <c:pt idx="4">
                    <c:v>[</c:v>
                  </c:pt>
                </c:lvl>
              </c:multiLvlStrCache>
            </c:multiLvlStrRef>
          </c:cat>
          <c:val>
            <c:numRef>
              <c:f>'2. Edad'!$R$14:$R$18</c:f>
              <c:numCache>
                <c:formatCode>0%</c:formatCode>
                <c:ptCount val="5"/>
                <c:pt idx="0">
                  <c:v>6.6666666666666666E-2</c:v>
                </c:pt>
                <c:pt idx="1">
                  <c:v>0.48333333333333334</c:v>
                </c:pt>
                <c:pt idx="2">
                  <c:v>0.18333333333333332</c:v>
                </c:pt>
                <c:pt idx="3">
                  <c:v>8.3333333333333329E-2</c:v>
                </c:pt>
                <c:pt idx="4">
                  <c:v>0.18333333333333332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9A-4BB3-B038-87398C03B24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'3. Cantidad streaming'!$I$18:$Q$18</c:f>
              <c:strCache>
                <c:ptCount val="1"/>
                <c:pt idx="0">
                  <c:v>Cantidad de servicios de Streaming antes de la pandemia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C7-4FF4-8C38-57FC3BD3CE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C7-4FF4-8C38-57FC3BD3CE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C7-4FF4-8C38-57FC3BD3CE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C7-4FF4-8C38-57FC3BD3CE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C7-4FF4-8C38-57FC3BD3CE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'3. Cantidad streaming'!$I$26:$M$30</c:f>
              <c:multiLvlStrCache>
                <c:ptCount val="5"/>
                <c:lvl>
                  <c:pt idx="0">
                    <c:v>)</c:v>
                  </c:pt>
                  <c:pt idx="1">
                    <c:v>)</c:v>
                  </c:pt>
                  <c:pt idx="2">
                    <c:v>)</c:v>
                  </c:pt>
                  <c:pt idx="3">
                    <c:v>)</c:v>
                  </c:pt>
                  <c:pt idx="4">
                    <c:v>]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[</c:v>
                  </c:pt>
                  <c:pt idx="1">
                    <c:v>[</c:v>
                  </c:pt>
                  <c:pt idx="2">
                    <c:v>[</c:v>
                  </c:pt>
                  <c:pt idx="3">
                    <c:v>[</c:v>
                  </c:pt>
                  <c:pt idx="4">
                    <c:v>[</c:v>
                  </c:pt>
                </c:lvl>
              </c:multiLvlStrCache>
            </c:multiLvlStrRef>
          </c:cat>
          <c:val>
            <c:numRef>
              <c:f>'3. Cantidad streaming'!$O$26:$O$30</c:f>
              <c:numCache>
                <c:formatCode>0%</c:formatCode>
                <c:ptCount val="5"/>
                <c:pt idx="0">
                  <c:v>0.18333333333333332</c:v>
                </c:pt>
                <c:pt idx="1">
                  <c:v>0.3</c:v>
                </c:pt>
                <c:pt idx="2">
                  <c:v>0.36666666666666664</c:v>
                </c:pt>
                <c:pt idx="3">
                  <c:v>0.11666666666666667</c:v>
                </c:pt>
                <c:pt idx="4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C7-4FF4-8C38-57FC3BD3CE1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'3. Cantidad streaming'!$X$34:$AF$34</c:f>
              <c:strCache>
                <c:ptCount val="1"/>
                <c:pt idx="0">
                  <c:v>Cantidad de servicios de Streaming después de la pandemia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1A-4431-89AA-2CCD192E7B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1A-4431-89AA-2CCD192E7B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1A-4431-89AA-2CCD192E7B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1A-4431-89AA-2CCD192E7B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1A-4431-89AA-2CCD192E7B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'3. Cantidad streaming'!$X$42:$AB$46</c:f>
              <c:multiLvlStrCache>
                <c:ptCount val="5"/>
                <c:lvl>
                  <c:pt idx="0">
                    <c:v>)</c:v>
                  </c:pt>
                  <c:pt idx="1">
                    <c:v>)</c:v>
                  </c:pt>
                  <c:pt idx="2">
                    <c:v>)</c:v>
                  </c:pt>
                  <c:pt idx="3">
                    <c:v>)</c:v>
                  </c:pt>
                  <c:pt idx="4">
                    <c:v>]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[</c:v>
                  </c:pt>
                  <c:pt idx="1">
                    <c:v>[</c:v>
                  </c:pt>
                  <c:pt idx="2">
                    <c:v>[</c:v>
                  </c:pt>
                  <c:pt idx="3">
                    <c:v>[</c:v>
                  </c:pt>
                  <c:pt idx="4">
                    <c:v>[</c:v>
                  </c:pt>
                </c:lvl>
              </c:multiLvlStrCache>
            </c:multiLvlStrRef>
          </c:cat>
          <c:val>
            <c:numRef>
              <c:f>'3. Cantidad streaming'!$AD$42:$AD$46</c:f>
              <c:numCache>
                <c:formatCode>0%</c:formatCode>
                <c:ptCount val="5"/>
                <c:pt idx="0">
                  <c:v>6.6666666666666666E-2</c:v>
                </c:pt>
                <c:pt idx="1">
                  <c:v>0.1</c:v>
                </c:pt>
                <c:pt idx="2">
                  <c:v>0.35</c:v>
                </c:pt>
                <c:pt idx="3">
                  <c:v>0.2</c:v>
                </c:pt>
                <c:pt idx="4">
                  <c:v>0.28333333333333333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1A-4431-89AA-2CCD192E7BC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'4.Metodos de pago'!$I$10</c:f>
              <c:strCache>
                <c:ptCount val="1"/>
                <c:pt idx="0">
                  <c:v>Método antes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CA-4923-A84F-3E7F15D4F7F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CA-4923-A84F-3E7F15D4F7FC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CA-4923-A84F-3E7F15D4F7F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CA-4923-A84F-3E7F15D4F7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'4.Metodos de pago'!$I$11:$I$14</c:f>
              <c:strCache>
                <c:ptCount val="4"/>
                <c:pt idx="0">
                  <c:v>Tarjeta crédito</c:v>
                </c:pt>
                <c:pt idx="1">
                  <c:v>Efectivo</c:v>
                </c:pt>
                <c:pt idx="2">
                  <c:v>Tarjeta débito</c:v>
                </c:pt>
                <c:pt idx="3">
                  <c:v>Transferencias vía Nequi, Daviplata, etc</c:v>
                </c:pt>
              </c:strCache>
            </c:strRef>
          </c:cat>
          <c:val>
            <c:numRef>
              <c:f>'4.Metodos de pago'!$K$11:$K$14</c:f>
              <c:numCache>
                <c:formatCode>0.00%</c:formatCode>
                <c:ptCount val="4"/>
                <c:pt idx="0">
                  <c:v>0.15</c:v>
                </c:pt>
                <c:pt idx="1">
                  <c:v>0.51666666666666672</c:v>
                </c:pt>
                <c:pt idx="2">
                  <c:v>0.26666666666666666</c:v>
                </c:pt>
                <c:pt idx="3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CA-4923-A84F-3E7F15D4F7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'4.Metodos de pago'!$O$10</c:f>
              <c:strCache>
                <c:ptCount val="1"/>
                <c:pt idx="0">
                  <c:v>Método después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2-4138-B3BA-212E1AA1451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2-4138-B3BA-212E1AA1451D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2-4138-B3BA-212E1AA1451D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82-4138-B3BA-212E1AA145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'4.Metodos de pago'!$O$11:$O$14</c:f>
              <c:strCache>
                <c:ptCount val="4"/>
                <c:pt idx="0">
                  <c:v>Tarjeta crédito</c:v>
                </c:pt>
                <c:pt idx="1">
                  <c:v>Efectivo</c:v>
                </c:pt>
                <c:pt idx="2">
                  <c:v>Tarjeta débito</c:v>
                </c:pt>
                <c:pt idx="3">
                  <c:v>Transferencias vía Nequi, Daviplata, etc</c:v>
                </c:pt>
              </c:strCache>
            </c:strRef>
          </c:cat>
          <c:val>
            <c:numRef>
              <c:f>'4.Metodos de pago'!$Q$11:$Q$14</c:f>
              <c:numCache>
                <c:formatCode>0.00%</c:formatCode>
                <c:ptCount val="4"/>
                <c:pt idx="0">
                  <c:v>0.15</c:v>
                </c:pt>
                <c:pt idx="1">
                  <c:v>0.13333333333333333</c:v>
                </c:pt>
                <c:pt idx="2">
                  <c:v>0.28333333333333333</c:v>
                </c:pt>
                <c:pt idx="3">
                  <c:v>0.43333333333333335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82-4138-B3BA-212E1AA1451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 Satisfacción envios'!$K$14</c:f>
              <c:strCache>
                <c:ptCount val="1"/>
                <c:pt idx="0">
                  <c:v>Satisfacción
envios antes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FB-4F11-9D66-97F85C05B5A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FB-4F11-9D66-97F85C05B5A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FB-4F11-9D66-97F85C05B5A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FB-4F11-9D66-97F85C05B5A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FB-4F11-9D66-97F85C05B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'7. Satisfacción envios'!$K$15:$K$19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'7. Satisfacción envios'!$L$15:$L$19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24</c:v>
                </c:pt>
                <c:pt idx="3">
                  <c:v>26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FB-4F11-9D66-97F85C05B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56993216"/>
        <c:axId val="756998208"/>
      </c:barChart>
      <c:catAx>
        <c:axId val="75699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6998208"/>
        <c:crosses val="autoZero"/>
        <c:auto val="1"/>
        <c:lblAlgn val="ctr"/>
        <c:lblOffset val="100"/>
        <c:noMultiLvlLbl val="0"/>
      </c:catAx>
      <c:valAx>
        <c:axId val="7569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69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Satisfacción
envios durante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 Satisfacción envios'!$R$14</c:f>
              <c:strCache>
                <c:ptCount val="1"/>
                <c:pt idx="0">
                  <c:v>Satisfacción
envios despues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0F-4BD0-95C0-FAB7FF5CB85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0F-4BD0-95C0-FAB7FF5CB85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0F-4BD0-95C0-FAB7FF5CB85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0F-4BD0-95C0-FAB7FF5CB85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70F-4BD0-95C0-FAB7FF5CB8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'7. Satisfacción envios'!$R$15:$R$19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'7. Satisfacción envios'!$S$15:$S$19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24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0F-4BD0-95C0-FAB7FF5CB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00007023"/>
        <c:axId val="1306958127"/>
      </c:barChart>
      <c:catAx>
        <c:axId val="1000007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6958127"/>
        <c:crosses val="autoZero"/>
        <c:auto val="1"/>
        <c:lblAlgn val="ctr"/>
        <c:lblOffset val="100"/>
        <c:noMultiLvlLbl val="0"/>
      </c:catAx>
      <c:valAx>
        <c:axId val="13069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000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Gráfico de barras del número de pedidos antes de la Pandemia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Gráfico de barras del número de pedidos antes de la Pandemia</a:t>
          </a:r>
        </a:p>
      </cx:txPr>
    </cx:title>
    <cx:plotArea>
      <cx:plotAreaRegion>
        <cx:series layoutId="clusteredColumn" uniqueId="{40FF2B64-77EC-4074-879F-1849F310B59D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Gráfico de barras del número de pedidos durante la Pandemia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Gráfico de barras del número de pedidos durante la Pandemia</a:t>
          </a:r>
        </a:p>
      </cx:txPr>
    </cx:title>
    <cx:plotArea>
      <cx:plotAreaRegion>
        <cx:series layoutId="clusteredColumn" uniqueId="{40FF2B64-77EC-4074-879F-1849F310B59D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Dinero promedio gastado al mes en pedidos por internet antes de la pandemia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Dinero promedio gastado al mes en pedidos por internet antes de la pandemia</a:t>
          </a:r>
        </a:p>
      </cx:txPr>
    </cx:title>
    <cx:plotArea>
      <cx:plotAreaRegion>
        <cx:series layoutId="clusteredColumn" uniqueId="{C05963A9-87EA-40FD-8B1E-BAAD88810D92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Dinero promedio gastado al mes en pedidos por internet antes de la pandemia</a:t>
            </a:r>
            <a:endPara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clusteredColumn" uniqueId="{9A6F1330-73BD-4B84-9429-F44C9FC65D72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image" Target="../media/image11.jpeg"/><Relationship Id="rId4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image" Target="../media/image11.jpe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microsoft.com/office/2014/relationships/chartEx" Target="../charts/chartEx4.xml"/><Relationship Id="rId1" Type="http://schemas.microsoft.com/office/2014/relationships/chartEx" Target="../charts/chartEx3.xml"/><Relationship Id="rId5" Type="http://schemas.openxmlformats.org/officeDocument/2006/relationships/image" Target="../media/image3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17</xdr:row>
      <xdr:rowOff>15240</xdr:rowOff>
    </xdr:from>
    <xdr:to>
      <xdr:col>3</xdr:col>
      <xdr:colOff>198120</xdr:colOff>
      <xdr:row>22</xdr:row>
      <xdr:rowOff>30479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FE6811-9C8E-4ED8-B200-39C58CEBE1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9287" r="78448" b="866"/>
        <a:stretch/>
      </xdr:blipFill>
      <xdr:spPr>
        <a:xfrm>
          <a:off x="800100" y="2865120"/>
          <a:ext cx="1874520" cy="853439"/>
        </a:xfrm>
        <a:prstGeom prst="rect">
          <a:avLst/>
        </a:prstGeom>
      </xdr:spPr>
    </xdr:pic>
    <xdr:clientData/>
  </xdr:twoCellAnchor>
  <xdr:oneCellAnchor>
    <xdr:from>
      <xdr:col>7</xdr:col>
      <xdr:colOff>878497</xdr:colOff>
      <xdr:row>28</xdr:row>
      <xdr:rowOff>40298</xdr:rowOff>
    </xdr:from>
    <xdr:ext cx="2733675" cy="971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A31EE37-2110-4E37-973A-9149B1E906C1}"/>
                </a:ext>
              </a:extLst>
            </xdr:cNvPr>
            <xdr:cNvSpPr txBox="1"/>
          </xdr:nvSpPr>
          <xdr:spPr>
            <a:xfrm>
              <a:off x="6315074" y="4553683"/>
              <a:ext cx="2733675" cy="971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2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O" sz="2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CO" sz="2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O" sz="2400" b="0" i="1">
                                    <a:latin typeface="Cambria Math" panose="02040503050406030204" pitchFamily="18" charset="0"/>
                                  </a:rPr>
                                  <m:t>𝑍</m:t>
                                </m:r>
                                <m:f>
                                  <m:fPr>
                                    <m:ctrlPr>
                                      <a:rPr lang="es-CO" sz="2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2400" b="0" i="1">
                                        <a:latin typeface="Cambria Math" panose="02040503050406030204" pitchFamily="18" charset="0"/>
                                      </a:rPr>
                                      <m:t>𝛼</m:t>
                                    </m:r>
                                  </m:num>
                                  <m:den>
                                    <m:r>
                                      <a:rPr lang="es-CO" sz="2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s-CO" sz="2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O" sz="24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CO" sz="2400" b="0" i="1">
                            <a:latin typeface="Cambria Math" panose="02040503050406030204" pitchFamily="18" charset="0"/>
                          </a:rPr>
                          <m:t>(1−</m:t>
                        </m:r>
                        <m:r>
                          <a:rPr lang="es-CO" sz="24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CO" sz="24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s-CO" sz="2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2400" b="0" i="1">
                                <a:latin typeface="Cambria Math" panose="02040503050406030204" pitchFamily="18" charset="0"/>
                              </a:rPr>
                              <m:t>𝐸𝑟𝑟𝑜𝑟</m:t>
                            </m:r>
                          </m:e>
                          <m:sup>
                            <m:r>
                              <a:rPr lang="es-CO" sz="2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CO" sz="24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A31EE37-2110-4E37-973A-9149B1E906C1}"/>
                </a:ext>
              </a:extLst>
            </xdr:cNvPr>
            <xdr:cNvSpPr txBox="1"/>
          </xdr:nvSpPr>
          <xdr:spPr>
            <a:xfrm>
              <a:off x="6315074" y="4553683"/>
              <a:ext cx="2733675" cy="971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2400" i="0">
                  <a:latin typeface="Cambria Math" panose="02040503050406030204" pitchFamily="18" charset="0"/>
                </a:rPr>
                <a:t>(</a:t>
              </a:r>
              <a:r>
                <a:rPr lang="es-CO" sz="2400" b="0" i="0">
                  <a:latin typeface="Cambria Math" panose="02040503050406030204" pitchFamily="18" charset="0"/>
                </a:rPr>
                <a:t>(𝑍</a:t>
              </a:r>
              <a:r>
                <a:rPr lang="en-US" sz="2400" b="0" i="0">
                  <a:latin typeface="Cambria Math" panose="02040503050406030204" pitchFamily="18" charset="0"/>
                </a:rPr>
                <a:t> 𝛼</a:t>
              </a:r>
              <a:r>
                <a:rPr lang="es-CO" sz="2400" b="0" i="0">
                  <a:latin typeface="Cambria Math" panose="02040503050406030204" pitchFamily="18" charset="0"/>
                </a:rPr>
                <a:t>/2)^2 𝑃(1−𝑃))/〖𝐸𝑟𝑟𝑜𝑟〗^2 </a:t>
              </a:r>
              <a:endParaRPr lang="es-CO" sz="24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22</xdr:row>
      <xdr:rowOff>11430</xdr:rowOff>
    </xdr:from>
    <xdr:to>
      <xdr:col>13</xdr:col>
      <xdr:colOff>1021080</xdr:colOff>
      <xdr:row>43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8E93B0-FEAA-4D56-9744-6633057C7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60960</xdr:colOff>
      <xdr:row>22</xdr:row>
      <xdr:rowOff>114300</xdr:rowOff>
    </xdr:from>
    <xdr:to>
      <xdr:col>21</xdr:col>
      <xdr:colOff>38100</xdr:colOff>
      <xdr:row>44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9BFF07-435D-4437-A43D-A926E339E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245207</xdr:colOff>
      <xdr:row>71</xdr:row>
      <xdr:rowOff>17584</xdr:rowOff>
    </xdr:from>
    <xdr:to>
      <xdr:col>16</xdr:col>
      <xdr:colOff>829407</xdr:colOff>
      <xdr:row>77</xdr:row>
      <xdr:rowOff>4470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B3599E8-75E8-4BB2-A493-5948B31959E8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6867" y="12628684"/>
          <a:ext cx="3449320" cy="992726"/>
        </a:xfrm>
        <a:prstGeom prst="rect">
          <a:avLst/>
        </a:prstGeom>
      </xdr:spPr>
    </xdr:pic>
    <xdr:clientData/>
  </xdr:twoCellAnchor>
  <xdr:twoCellAnchor editAs="oneCell">
    <xdr:from>
      <xdr:col>11</xdr:col>
      <xdr:colOff>1329267</xdr:colOff>
      <xdr:row>79</xdr:row>
      <xdr:rowOff>84667</xdr:rowOff>
    </xdr:from>
    <xdr:to>
      <xdr:col>16</xdr:col>
      <xdr:colOff>93135</xdr:colOff>
      <xdr:row>81</xdr:row>
      <xdr:rowOff>166054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8361619-705F-4C63-8C50-0AF36A69CE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636" t="58291" r="763" b="25829"/>
        <a:stretch/>
      </xdr:blipFill>
      <xdr:spPr>
        <a:xfrm>
          <a:off x="12492567" y="14204527"/>
          <a:ext cx="3747348" cy="416668"/>
        </a:xfrm>
        <a:prstGeom prst="rect">
          <a:avLst/>
        </a:prstGeom>
      </xdr:spPr>
    </xdr:pic>
    <xdr:clientData/>
  </xdr:twoCellAnchor>
  <xdr:twoCellAnchor editAs="oneCell">
    <xdr:from>
      <xdr:col>6</xdr:col>
      <xdr:colOff>349623</xdr:colOff>
      <xdr:row>87</xdr:row>
      <xdr:rowOff>107577</xdr:rowOff>
    </xdr:from>
    <xdr:to>
      <xdr:col>10</xdr:col>
      <xdr:colOff>878541</xdr:colOff>
      <xdr:row>95</xdr:row>
      <xdr:rowOff>143435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9FF38E7-FB67-43BD-A427-19B962416362}"/>
            </a:ext>
          </a:extLst>
        </xdr:cNvPr>
        <xdr:cNvPicPr/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700"/>
        <a:stretch/>
      </xdr:blipFill>
      <xdr:spPr bwMode="auto">
        <a:xfrm>
          <a:off x="6167717" y="15607553"/>
          <a:ext cx="5253318" cy="1398494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632460</xdr:colOff>
      <xdr:row>21</xdr:row>
      <xdr:rowOff>57150</xdr:rowOff>
    </xdr:from>
    <xdr:to>
      <xdr:col>15</xdr:col>
      <xdr:colOff>228600</xdr:colOff>
      <xdr:row>43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022AAE-3943-48D1-AD2D-894337E1E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693420</xdr:colOff>
      <xdr:row>26</xdr:row>
      <xdr:rowOff>7620</xdr:rowOff>
    </xdr:from>
    <xdr:to>
      <xdr:col>23</xdr:col>
      <xdr:colOff>693420</xdr:colOff>
      <xdr:row>48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C23AE8-17CD-4A93-B785-8D7449E55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120952</xdr:colOff>
      <xdr:row>72</xdr:row>
      <xdr:rowOff>166309</xdr:rowOff>
    </xdr:from>
    <xdr:to>
      <xdr:col>14</xdr:col>
      <xdr:colOff>1110</xdr:colOff>
      <xdr:row>77</xdr:row>
      <xdr:rowOff>139312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EDBDD9B-28DB-4DCD-91F7-3CA427AF6183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2672" y="12259249"/>
          <a:ext cx="3842558" cy="971223"/>
        </a:xfrm>
        <a:prstGeom prst="rect">
          <a:avLst/>
        </a:prstGeom>
      </xdr:spPr>
    </xdr:pic>
    <xdr:clientData/>
  </xdr:twoCellAnchor>
  <xdr:twoCellAnchor editAs="oneCell">
    <xdr:from>
      <xdr:col>9</xdr:col>
      <xdr:colOff>90714</xdr:colOff>
      <xdr:row>79</xdr:row>
      <xdr:rowOff>85675</xdr:rowOff>
    </xdr:from>
    <xdr:to>
      <xdr:col>14</xdr:col>
      <xdr:colOff>30643</xdr:colOff>
      <xdr:row>82</xdr:row>
      <xdr:rowOff>6800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8544EEF-6395-4F33-BBCB-535D59C058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636" t="58291" r="763" b="25829"/>
        <a:stretch/>
      </xdr:blipFill>
      <xdr:spPr>
        <a:xfrm>
          <a:off x="10042434" y="13512115"/>
          <a:ext cx="3902329" cy="424045"/>
        </a:xfrm>
        <a:prstGeom prst="rect">
          <a:avLst/>
        </a:prstGeom>
      </xdr:spPr>
    </xdr:pic>
    <xdr:clientData/>
  </xdr:twoCellAnchor>
  <xdr:twoCellAnchor editAs="oneCell">
    <xdr:from>
      <xdr:col>4</xdr:col>
      <xdr:colOff>1599303</xdr:colOff>
      <xdr:row>95</xdr:row>
      <xdr:rowOff>107577</xdr:rowOff>
    </xdr:from>
    <xdr:to>
      <xdr:col>9</xdr:col>
      <xdr:colOff>70821</xdr:colOff>
      <xdr:row>103</xdr:row>
      <xdr:rowOff>143435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62F75F2-A5D1-4781-9CCB-C12B76CA5075}"/>
            </a:ext>
          </a:extLst>
        </xdr:cNvPr>
        <xdr:cNvPicPr/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700"/>
        <a:stretch/>
      </xdr:blipFill>
      <xdr:spPr bwMode="auto">
        <a:xfrm>
          <a:off x="4769223" y="16216257"/>
          <a:ext cx="5253318" cy="137697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615949</xdr:colOff>
      <xdr:row>12</xdr:row>
      <xdr:rowOff>7937</xdr:rowOff>
    </xdr:from>
    <xdr:to>
      <xdr:col>13</xdr:col>
      <xdr:colOff>342899</xdr:colOff>
      <xdr:row>28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623EDB-ECDA-4F2D-B5C2-252EDFFD1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685800</xdr:colOff>
      <xdr:row>14</xdr:row>
      <xdr:rowOff>95250</xdr:rowOff>
    </xdr:from>
    <xdr:to>
      <xdr:col>20</xdr:col>
      <xdr:colOff>15875</xdr:colOff>
      <xdr:row>30</xdr:row>
      <xdr:rowOff>150813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1853FD-0173-4FA5-A0B3-1A7F72A9C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79375</xdr:colOff>
      <xdr:row>36</xdr:row>
      <xdr:rowOff>95250</xdr:rowOff>
    </xdr:from>
    <xdr:to>
      <xdr:col>11</xdr:col>
      <xdr:colOff>600075</xdr:colOff>
      <xdr:row>38</xdr:row>
      <xdr:rowOff>140970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0E19938-B6BD-424A-B373-67387FB13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6286500"/>
          <a:ext cx="2044700" cy="3790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754064</xdr:colOff>
      <xdr:row>50</xdr:row>
      <xdr:rowOff>0</xdr:rowOff>
    </xdr:from>
    <xdr:to>
      <xdr:col>14</xdr:col>
      <xdr:colOff>533056</xdr:colOff>
      <xdr:row>55</xdr:row>
      <xdr:rowOff>137422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54DA7B5-4398-40F8-9D08-CD01700051CF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7189" y="8524875"/>
          <a:ext cx="3763617" cy="970860"/>
        </a:xfrm>
        <a:prstGeom prst="rect">
          <a:avLst/>
        </a:prstGeom>
      </xdr:spPr>
    </xdr:pic>
    <xdr:clientData/>
  </xdr:twoCellAnchor>
  <xdr:twoCellAnchor editAs="oneCell">
    <xdr:from>
      <xdr:col>17</xdr:col>
      <xdr:colOff>722312</xdr:colOff>
      <xdr:row>51</xdr:row>
      <xdr:rowOff>7937</xdr:rowOff>
    </xdr:from>
    <xdr:to>
      <xdr:col>22</xdr:col>
      <xdr:colOff>406054</xdr:colOff>
      <xdr:row>56</xdr:row>
      <xdr:rowOff>145360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22FE26D-5088-40B2-B997-1021FC6ACEC2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01937" y="8699500"/>
          <a:ext cx="3763617" cy="970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332083</xdr:colOff>
      <xdr:row>19</xdr:row>
      <xdr:rowOff>93519</xdr:rowOff>
    </xdr:from>
    <xdr:to>
      <xdr:col>19</xdr:col>
      <xdr:colOff>230229</xdr:colOff>
      <xdr:row>36</xdr:row>
      <xdr:rowOff>69041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30DB7-DD71-49A0-B50D-CB688043C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12568</xdr:colOff>
      <xdr:row>33</xdr:row>
      <xdr:rowOff>17461</xdr:rowOff>
    </xdr:from>
    <xdr:to>
      <xdr:col>13</xdr:col>
      <xdr:colOff>760677</xdr:colOff>
      <xdr:row>49</xdr:row>
      <xdr:rowOff>114828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110F3F-36EB-422F-A338-1C44E29C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145761</xdr:colOff>
      <xdr:row>50</xdr:row>
      <xdr:rowOff>64365</xdr:rowOff>
    </xdr:from>
    <xdr:to>
      <xdr:col>28</xdr:col>
      <xdr:colOff>435429</xdr:colOff>
      <xdr:row>67</xdr:row>
      <xdr:rowOff>108815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66AAD8-C9FA-4C98-9A22-ECF2A6F76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11546</xdr:colOff>
      <xdr:row>84</xdr:row>
      <xdr:rowOff>150090</xdr:rowOff>
    </xdr:from>
    <xdr:to>
      <xdr:col>17</xdr:col>
      <xdr:colOff>311439</xdr:colOff>
      <xdr:row>90</xdr:row>
      <xdr:rowOff>110547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279F299-4A1B-594C-9CA9-17DC0785A282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1273" y="14743545"/>
          <a:ext cx="4537075" cy="930275"/>
        </a:xfrm>
        <a:prstGeom prst="rect">
          <a:avLst/>
        </a:prstGeom>
      </xdr:spPr>
    </xdr:pic>
    <xdr:clientData/>
  </xdr:twoCellAnchor>
  <xdr:twoCellAnchor editAs="oneCell">
    <xdr:from>
      <xdr:col>13</xdr:col>
      <xdr:colOff>69274</xdr:colOff>
      <xdr:row>79</xdr:row>
      <xdr:rowOff>23091</xdr:rowOff>
    </xdr:from>
    <xdr:to>
      <xdr:col>17</xdr:col>
      <xdr:colOff>3718</xdr:colOff>
      <xdr:row>81</xdr:row>
      <xdr:rowOff>97194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CF34486-B114-F440-8D59-336BCF49DD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636" t="58291" r="763" b="25829"/>
        <a:stretch/>
      </xdr:blipFill>
      <xdr:spPr>
        <a:xfrm>
          <a:off x="16129001" y="13808364"/>
          <a:ext cx="4067429" cy="397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20</xdr:row>
      <xdr:rowOff>88900</xdr:rowOff>
    </xdr:from>
    <xdr:to>
      <xdr:col>10</xdr:col>
      <xdr:colOff>660400</xdr:colOff>
      <xdr:row>37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3522FD-E0DD-4877-B05B-04686B11D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20</xdr:row>
      <xdr:rowOff>50800</xdr:rowOff>
    </xdr:from>
    <xdr:to>
      <xdr:col>16</xdr:col>
      <xdr:colOff>444500</xdr:colOff>
      <xdr:row>36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D1B0A9-28EF-4397-AC28-4CBD0F4C0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585107</xdr:colOff>
      <xdr:row>41</xdr:row>
      <xdr:rowOff>13608</xdr:rowOff>
    </xdr:from>
    <xdr:to>
      <xdr:col>14</xdr:col>
      <xdr:colOff>4238169</xdr:colOff>
      <xdr:row>46</xdr:row>
      <xdr:rowOff>165870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CB4E186-32EC-47E8-A94D-FD42CB080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96067" y="7526928"/>
          <a:ext cx="3653062" cy="11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678808</xdr:colOff>
      <xdr:row>53</xdr:row>
      <xdr:rowOff>119270</xdr:rowOff>
    </xdr:from>
    <xdr:to>
      <xdr:col>14</xdr:col>
      <xdr:colOff>478783</xdr:colOff>
      <xdr:row>57</xdr:row>
      <xdr:rowOff>142047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5D9D3E5-EE6A-4CBB-BD92-9486263CF26A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35984" y="9863905"/>
          <a:ext cx="2901764" cy="7040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574675</xdr:colOff>
      <xdr:row>53</xdr:row>
      <xdr:rowOff>0</xdr:rowOff>
    </xdr:from>
    <xdr:to>
      <xdr:col>13</xdr:col>
      <xdr:colOff>696595</xdr:colOff>
      <xdr:row>69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C47AE0D-F184-4211-A826-ED9448F537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73795" y="9418320"/>
              <a:ext cx="6332220" cy="2697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13</xdr:col>
      <xdr:colOff>744682</xdr:colOff>
      <xdr:row>52</xdr:row>
      <xdr:rowOff>148937</xdr:rowOff>
    </xdr:from>
    <xdr:to>
      <xdr:col>21</xdr:col>
      <xdr:colOff>89593</xdr:colOff>
      <xdr:row>69</xdr:row>
      <xdr:rowOff>9352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58CE336-589C-41DD-8C99-C3E4721319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54102" y="9399617"/>
              <a:ext cx="7688811" cy="2710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712974</xdr:colOff>
      <xdr:row>71</xdr:row>
      <xdr:rowOff>21850</xdr:rowOff>
    </xdr:from>
    <xdr:to>
      <xdr:col>20</xdr:col>
      <xdr:colOff>685799</xdr:colOff>
      <xdr:row>75</xdr:row>
      <xdr:rowOff>82451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E6E5B43-DE36-40C2-80F5-4B95C2458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1154" y="12625330"/>
          <a:ext cx="1557785" cy="9826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171450</xdr:colOff>
      <xdr:row>78</xdr:row>
      <xdr:rowOff>28575</xdr:rowOff>
    </xdr:from>
    <xdr:ext cx="2657475" cy="8253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BE0DCBE-2EFB-4FDF-8495-263D8C99484F}"/>
                </a:ext>
              </a:extLst>
            </xdr:cNvPr>
            <xdr:cNvSpPr txBox="1"/>
          </xdr:nvSpPr>
          <xdr:spPr>
            <a:xfrm>
              <a:off x="18459450" y="14056995"/>
              <a:ext cx="2657475" cy="8253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800" b="0" i="1">
                            <a:latin typeface="Cambria Math" panose="02040503050406030204" pitchFamily="18" charset="0"/>
                          </a:rPr>
                          <m:t>4,9245−4</m:t>
                        </m:r>
                      </m:num>
                      <m:den>
                        <m:f>
                          <m:fPr>
                            <m:ctrlPr>
                              <a:rPr lang="es-CO" sz="18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800" b="0" i="1">
                                <a:latin typeface="Cambria Math" panose="02040503050406030204" pitchFamily="18" charset="0"/>
                              </a:rPr>
                              <m:t>3,1061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s-CO" sz="18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s-CO" sz="1800" b="0" i="1">
                                    <a:latin typeface="Cambria Math" panose="02040503050406030204" pitchFamily="18" charset="0"/>
                                  </a:rPr>
                                  <m:t>53</m:t>
                                </m:r>
                              </m:e>
                            </m:rad>
                          </m:den>
                        </m:f>
                      </m:den>
                    </m:f>
                    <m:r>
                      <a:rPr lang="es-CO" sz="1800" b="0" i="0">
                        <a:latin typeface="Cambria Math" panose="02040503050406030204" pitchFamily="18" charset="0"/>
                      </a:rPr>
                      <m:t>=2,1668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BE0DCBE-2EFB-4FDF-8495-263D8C99484F}"/>
                </a:ext>
              </a:extLst>
            </xdr:cNvPr>
            <xdr:cNvSpPr txBox="1"/>
          </xdr:nvSpPr>
          <xdr:spPr>
            <a:xfrm>
              <a:off x="18459450" y="14056995"/>
              <a:ext cx="2657475" cy="8253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800" i="0">
                  <a:latin typeface="Cambria Math" panose="02040503050406030204" pitchFamily="18" charset="0"/>
                </a:rPr>
                <a:t>(</a:t>
              </a:r>
              <a:r>
                <a:rPr lang="es-CO" sz="1800" b="0" i="0">
                  <a:latin typeface="Cambria Math" panose="02040503050406030204" pitchFamily="18" charset="0"/>
                </a:rPr>
                <a:t>4,9245−4)/(3,1061/√53)=2,1668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20</xdr:col>
      <xdr:colOff>2485</xdr:colOff>
      <xdr:row>78</xdr:row>
      <xdr:rowOff>15324</xdr:rowOff>
    </xdr:from>
    <xdr:to>
      <xdr:col>23</xdr:col>
      <xdr:colOff>756202</xdr:colOff>
      <xdr:row>83</xdr:row>
      <xdr:rowOff>160684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8E7CEF4-BA0E-49B7-9EE2-73ABB02C80DE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15625" y="14043744"/>
          <a:ext cx="3778857" cy="9835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771525</xdr:colOff>
      <xdr:row>32</xdr:row>
      <xdr:rowOff>0</xdr:rowOff>
    </xdr:from>
    <xdr:to>
      <xdr:col>15</xdr:col>
      <xdr:colOff>209550</xdr:colOff>
      <xdr:row>50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43CC87D-0913-4CDD-9206-06883F7066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67085" y="5882640"/>
              <a:ext cx="6692265" cy="3055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10886</xdr:colOff>
      <xdr:row>50</xdr:row>
      <xdr:rowOff>157843</xdr:rowOff>
    </xdr:from>
    <xdr:to>
      <xdr:col>15</xdr:col>
      <xdr:colOff>185057</xdr:colOff>
      <xdr:row>71</xdr:row>
      <xdr:rowOff>97971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CE493F8-5275-469A-A408-7A46CA38DC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98926" y="9058003"/>
              <a:ext cx="6635931" cy="34605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10583</xdr:colOff>
      <xdr:row>72</xdr:row>
      <xdr:rowOff>148165</xdr:rowOff>
    </xdr:from>
    <xdr:to>
      <xdr:col>20</xdr:col>
      <xdr:colOff>222249</xdr:colOff>
      <xdr:row>84</xdr:row>
      <xdr:rowOff>1913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BB350DF-0151-45EC-B9E3-840A7E9F4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45343" y="12736405"/>
          <a:ext cx="3404446" cy="1873048"/>
        </a:xfrm>
        <a:prstGeom prst="rect">
          <a:avLst/>
        </a:prstGeom>
      </xdr:spPr>
    </xdr:pic>
    <xdr:clientData/>
  </xdr:twoCellAnchor>
  <xdr:oneCellAnchor>
    <xdr:from>
      <xdr:col>19</xdr:col>
      <xdr:colOff>438149</xdr:colOff>
      <xdr:row>84</xdr:row>
      <xdr:rowOff>152399</xdr:rowOff>
    </xdr:from>
    <xdr:ext cx="4676776" cy="4570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9CBE47A-44B7-48C4-97E5-525B4C68D3FD}"/>
                </a:ext>
              </a:extLst>
            </xdr:cNvPr>
            <xdr:cNvSpPr txBox="1"/>
          </xdr:nvSpPr>
          <xdr:spPr>
            <a:xfrm>
              <a:off x="21873209" y="14759939"/>
              <a:ext cx="4676776" cy="457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O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O" sz="20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p>
                      <m:r>
                        <a:rPr lang="es-CO" sz="20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es-CO" sz="20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s-CO" sz="2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s-CO" sz="20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s-CO" sz="2000" b="0" i="1">
                              <a:latin typeface="Cambria Math" panose="02040503050406030204" pitchFamily="18" charset="0"/>
                            </a:rPr>
                            <m:t>41−1</m:t>
                          </m:r>
                        </m:e>
                      </m:d>
                      <m:r>
                        <a:rPr lang="es-CO" sz="2000" b="0" i="1">
                          <a:latin typeface="Cambria Math" panose="02040503050406030204" pitchFamily="18" charset="0"/>
                        </a:rPr>
                        <m:t>∗2727439024</m:t>
                      </m:r>
                    </m:num>
                    <m:den>
                      <m:r>
                        <a:rPr lang="es-CO" sz="2000" b="0" i="1">
                          <a:latin typeface="Cambria Math" panose="02040503050406030204" pitchFamily="18" charset="0"/>
                        </a:rPr>
                        <m:t>1</m:t>
                      </m:r>
                    </m:den>
                  </m:f>
                  <m:r>
                    <a:rPr lang="es-CO" sz="2000" b="0" i="0">
                      <a:latin typeface="Cambria Math" panose="02040503050406030204" pitchFamily="18" charset="0"/>
                    </a:rPr>
                    <m:t>=1,09097561</m:t>
                  </m:r>
                  <m:r>
                    <m:rPr>
                      <m:sty m:val="p"/>
                    </m:rPr>
                    <a:rPr lang="es-CO" sz="2000" b="0" i="0">
                      <a:latin typeface="Cambria Math" panose="02040503050406030204" pitchFamily="18" charset="0"/>
                    </a:rPr>
                    <m:t>E</m:t>
                  </m:r>
                  <m:r>
                    <a:rPr lang="es-CO" sz="2000" b="0" i="0">
                      <a:latin typeface="Cambria Math" panose="02040503050406030204" pitchFamily="18" charset="0"/>
                    </a:rPr>
                    <m:t>11</m:t>
                  </m:r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9CBE47A-44B7-48C4-97E5-525B4C68D3FD}"/>
                </a:ext>
              </a:extLst>
            </xdr:cNvPr>
            <xdr:cNvSpPr txBox="1"/>
          </xdr:nvSpPr>
          <xdr:spPr>
            <a:xfrm>
              <a:off x="21873209" y="14759939"/>
              <a:ext cx="4676776" cy="457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2000" b="0" i="0">
                  <a:latin typeface="Cambria Math" panose="02040503050406030204" pitchFamily="18" charset="0"/>
                </a:rPr>
                <a:t>𝑋^2</a:t>
              </a:r>
              <a:r>
                <a:rPr lang="es-CO" sz="2000"/>
                <a:t>=</a:t>
              </a:r>
              <a:r>
                <a:rPr lang="es-CO" sz="2000" i="0">
                  <a:latin typeface="Cambria Math" panose="02040503050406030204" pitchFamily="18" charset="0"/>
                </a:rPr>
                <a:t>(</a:t>
              </a:r>
              <a:r>
                <a:rPr lang="es-CO" sz="2000" b="0" i="0">
                  <a:latin typeface="Cambria Math" panose="02040503050406030204" pitchFamily="18" charset="0"/>
                </a:rPr>
                <a:t>(41−1)∗2727439024)/1=1,09097561E11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20</xdr:col>
      <xdr:colOff>412297</xdr:colOff>
      <xdr:row>66</xdr:row>
      <xdr:rowOff>74838</xdr:rowOff>
    </xdr:from>
    <xdr:to>
      <xdr:col>26</xdr:col>
      <xdr:colOff>726201</xdr:colOff>
      <xdr:row>83</xdr:row>
      <xdr:rowOff>123825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B3008D4-7F4C-4A54-BD02-44079CA4E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39837" y="11657238"/>
          <a:ext cx="5068784" cy="2906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342899</xdr:colOff>
      <xdr:row>91</xdr:row>
      <xdr:rowOff>19050</xdr:rowOff>
    </xdr:from>
    <xdr:to>
      <xdr:col>25</xdr:col>
      <xdr:colOff>295275</xdr:colOff>
      <xdr:row>98</xdr:row>
      <xdr:rowOff>133350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B39ADCF-29D5-49FA-BC3F-4A0F1783111A}"/>
            </a:ext>
          </a:extLst>
        </xdr:cNvPr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5479" y="15982950"/>
          <a:ext cx="5499736" cy="12877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11872</xdr:colOff>
      <xdr:row>25</xdr:row>
      <xdr:rowOff>6626</xdr:rowOff>
    </xdr:from>
    <xdr:to>
      <xdr:col>14</xdr:col>
      <xdr:colOff>737152</xdr:colOff>
      <xdr:row>42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E89156-5746-4146-A213-2B3B68056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785192</xdr:colOff>
      <xdr:row>24</xdr:row>
      <xdr:rowOff>147062</xdr:rowOff>
    </xdr:from>
    <xdr:to>
      <xdr:col>20</xdr:col>
      <xdr:colOff>670891</xdr:colOff>
      <xdr:row>41</xdr:row>
      <xdr:rowOff>15277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216781-EA62-410B-8BAD-1D895945E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16329</xdr:colOff>
      <xdr:row>44</xdr:row>
      <xdr:rowOff>9525</xdr:rowOff>
    </xdr:from>
    <xdr:to>
      <xdr:col>21</xdr:col>
      <xdr:colOff>566962</xdr:colOff>
      <xdr:row>50</xdr:row>
      <xdr:rowOff>133212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69C931-CA54-4C53-A6BD-B0E5C4C3B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71769" y="8620125"/>
          <a:ext cx="3773893" cy="1129527"/>
        </a:xfrm>
        <a:prstGeom prst="rect">
          <a:avLst/>
        </a:prstGeom>
      </xdr:spPr>
    </xdr:pic>
    <xdr:clientData/>
  </xdr:twoCellAnchor>
  <xdr:twoCellAnchor editAs="oneCell">
    <xdr:from>
      <xdr:col>17</xdr:col>
      <xdr:colOff>613409</xdr:colOff>
      <xdr:row>51</xdr:row>
      <xdr:rowOff>32385</xdr:rowOff>
    </xdr:from>
    <xdr:to>
      <xdr:col>23</xdr:col>
      <xdr:colOff>116204</xdr:colOff>
      <xdr:row>56</xdr:row>
      <xdr:rowOff>137160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D8B32B1-DF83-49F2-9434-E8F653A62D01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8849" y="9816465"/>
          <a:ext cx="4311015" cy="9429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</xdr:colOff>
      <xdr:row>21</xdr:row>
      <xdr:rowOff>5080</xdr:rowOff>
    </xdr:from>
    <xdr:to>
      <xdr:col>14</xdr:col>
      <xdr:colOff>701040</xdr:colOff>
      <xdr:row>37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EB626E-9651-49A9-8A44-F420A14F8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2540</xdr:colOff>
      <xdr:row>21</xdr:row>
      <xdr:rowOff>2540</xdr:rowOff>
    </xdr:from>
    <xdr:to>
      <xdr:col>21</xdr:col>
      <xdr:colOff>784860</xdr:colOff>
      <xdr:row>37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0BB200-6A98-4FB6-85CE-72DB24FCB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184150</xdr:colOff>
      <xdr:row>52</xdr:row>
      <xdr:rowOff>16934</xdr:rowOff>
    </xdr:from>
    <xdr:to>
      <xdr:col>21</xdr:col>
      <xdr:colOff>2300</xdr:colOff>
      <xdr:row>57</xdr:row>
      <xdr:rowOff>162294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08A2CEF-F9A5-46F0-97C8-E800C8BF4B22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17470" y="10303934"/>
          <a:ext cx="3811030" cy="983560"/>
        </a:xfrm>
        <a:prstGeom prst="rect">
          <a:avLst/>
        </a:prstGeom>
      </xdr:spPr>
    </xdr:pic>
    <xdr:clientData/>
  </xdr:twoCellAnchor>
  <xdr:twoCellAnchor editAs="oneCell">
    <xdr:from>
      <xdr:col>25</xdr:col>
      <xdr:colOff>374650</xdr:colOff>
      <xdr:row>46</xdr:row>
      <xdr:rowOff>12699</xdr:rowOff>
    </xdr:from>
    <xdr:to>
      <xdr:col>26</xdr:col>
      <xdr:colOff>495300</xdr:colOff>
      <xdr:row>49</xdr:row>
      <xdr:rowOff>158750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2308E2B-71FE-4316-BDA6-230CC942C4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7337" t="26366" r="16860" b="59083"/>
        <a:stretch/>
      </xdr:blipFill>
      <xdr:spPr>
        <a:xfrm>
          <a:off x="22670770" y="9293859"/>
          <a:ext cx="1126490" cy="648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A6EB6-D5F7-45D8-8DCD-CD42902A33B7}">
  <sheetPr>
    <outlinePr summaryBelow="0" summaryRight="0"/>
  </sheetPr>
  <dimension ref="A1:X61"/>
  <sheetViews>
    <sheetView zoomScale="92" zoomScaleNormal="92" workbookViewId="0">
      <pane ySplit="1" topLeftCell="A2" activePane="bottomLeft" state="frozen"/>
      <selection pane="bottomLeft" activeCell="C25" sqref="C25"/>
    </sheetView>
  </sheetViews>
  <sheetFormatPr baseColWidth="10" defaultColWidth="14.44140625" defaultRowHeight="15.75" customHeight="1" x14ac:dyDescent="0.25"/>
  <cols>
    <col min="1" max="5" width="21.44140625" customWidth="1"/>
    <col min="6" max="6" width="21.6640625" customWidth="1"/>
    <col min="7" max="16" width="21.44140625" customWidth="1"/>
    <col min="17" max="17" width="30.109375" customWidth="1"/>
    <col min="18" max="21" width="21.44140625" customWidth="1"/>
    <col min="22" max="22" width="27" bestFit="1" customWidth="1"/>
    <col min="23" max="23" width="21.44140625" customWidth="1"/>
    <col min="24" max="24" width="24.6640625" bestFit="1" customWidth="1"/>
    <col min="25" max="26" width="21.44140625" customWidth="1"/>
  </cols>
  <sheetData>
    <row r="1" spans="1:2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</row>
    <row r="2" spans="1:24" ht="15.75" customHeight="1" x14ac:dyDescent="0.25">
      <c r="A2" s="3">
        <v>44256.399418819448</v>
      </c>
      <c r="B2" s="1" t="s">
        <v>20</v>
      </c>
      <c r="C2" s="1">
        <v>15</v>
      </c>
      <c r="D2" s="1">
        <v>5</v>
      </c>
      <c r="E2" s="1">
        <v>2</v>
      </c>
      <c r="F2" s="1">
        <v>4</v>
      </c>
      <c r="G2" s="1" t="s">
        <v>21</v>
      </c>
      <c r="H2" s="1" t="s">
        <v>21</v>
      </c>
      <c r="I2" s="1">
        <v>1</v>
      </c>
      <c r="J2" s="1">
        <v>4</v>
      </c>
      <c r="K2" s="1">
        <v>50000</v>
      </c>
      <c r="L2" s="1">
        <v>200000</v>
      </c>
      <c r="M2" s="1">
        <v>4</v>
      </c>
      <c r="N2" s="1">
        <v>5</v>
      </c>
      <c r="O2" s="1">
        <v>5</v>
      </c>
      <c r="P2" s="1">
        <v>5</v>
      </c>
      <c r="Q2" s="1" t="s">
        <v>22</v>
      </c>
      <c r="R2" s="1" t="s">
        <v>23</v>
      </c>
      <c r="S2" s="1" t="s">
        <v>24</v>
      </c>
      <c r="T2" s="1" t="s">
        <v>25</v>
      </c>
    </row>
    <row r="3" spans="1:24" ht="15.75" customHeight="1" x14ac:dyDescent="0.25">
      <c r="A3" s="3">
        <v>44256.403127361111</v>
      </c>
      <c r="B3" s="1" t="s">
        <v>20</v>
      </c>
      <c r="C3" s="1">
        <v>17</v>
      </c>
      <c r="D3" s="1">
        <v>4</v>
      </c>
      <c r="E3" s="1">
        <v>1</v>
      </c>
      <c r="F3" s="1">
        <v>2</v>
      </c>
      <c r="G3" s="1" t="s">
        <v>26</v>
      </c>
      <c r="H3" s="1" t="s">
        <v>27</v>
      </c>
      <c r="I3" s="1">
        <v>4</v>
      </c>
      <c r="J3" s="1">
        <v>3</v>
      </c>
      <c r="K3" s="1">
        <v>60000</v>
      </c>
      <c r="L3" s="1">
        <v>50000</v>
      </c>
      <c r="M3" s="1">
        <v>4</v>
      </c>
      <c r="N3" s="1">
        <v>2</v>
      </c>
      <c r="O3" s="1">
        <v>3</v>
      </c>
      <c r="P3" s="1">
        <v>3</v>
      </c>
      <c r="Q3" s="1" t="s">
        <v>22</v>
      </c>
      <c r="R3" s="1" t="s">
        <v>22</v>
      </c>
      <c r="S3" s="1" t="s">
        <v>28</v>
      </c>
      <c r="T3" s="1" t="s">
        <v>25</v>
      </c>
    </row>
    <row r="4" spans="1:24" ht="15.75" customHeight="1" x14ac:dyDescent="0.25">
      <c r="A4" s="3">
        <v>44256.408715011574</v>
      </c>
      <c r="B4" s="1" t="s">
        <v>20</v>
      </c>
      <c r="C4" s="1">
        <v>17</v>
      </c>
      <c r="D4" s="1">
        <v>5</v>
      </c>
      <c r="E4" s="1">
        <v>2</v>
      </c>
      <c r="F4" s="1">
        <v>4</v>
      </c>
      <c r="G4" s="1" t="s">
        <v>21</v>
      </c>
      <c r="H4" s="1" t="s">
        <v>21</v>
      </c>
      <c r="I4" s="1">
        <v>5</v>
      </c>
      <c r="J4" s="1">
        <v>10</v>
      </c>
      <c r="K4" s="1">
        <v>80000</v>
      </c>
      <c r="L4" s="1">
        <v>180000</v>
      </c>
      <c r="M4" s="1">
        <v>4</v>
      </c>
      <c r="N4" s="1">
        <v>4</v>
      </c>
      <c r="O4" s="1">
        <v>4</v>
      </c>
      <c r="P4" s="1">
        <v>4</v>
      </c>
      <c r="Q4" s="1" t="s">
        <v>22</v>
      </c>
      <c r="R4" s="1" t="s">
        <v>29</v>
      </c>
      <c r="S4" s="1" t="s">
        <v>30</v>
      </c>
      <c r="T4" s="1" t="s">
        <v>30</v>
      </c>
    </row>
    <row r="5" spans="1:24" ht="15.75" customHeight="1" x14ac:dyDescent="0.25">
      <c r="A5" s="3">
        <v>44256.790097511577</v>
      </c>
      <c r="B5" s="1" t="s">
        <v>31</v>
      </c>
      <c r="C5" s="1">
        <v>17</v>
      </c>
      <c r="D5" s="1">
        <v>4</v>
      </c>
      <c r="E5" s="1">
        <v>2</v>
      </c>
      <c r="F5" s="1">
        <v>2</v>
      </c>
      <c r="G5" s="1" t="s">
        <v>32</v>
      </c>
      <c r="H5" s="1" t="s">
        <v>32</v>
      </c>
      <c r="I5" s="1">
        <v>5</v>
      </c>
      <c r="J5" s="1">
        <v>9</v>
      </c>
      <c r="K5" s="1">
        <v>50000</v>
      </c>
      <c r="L5" s="1">
        <v>80000</v>
      </c>
      <c r="M5" s="1">
        <v>4</v>
      </c>
      <c r="N5" s="1">
        <v>4</v>
      </c>
      <c r="O5" s="1">
        <v>4</v>
      </c>
      <c r="P5" s="1">
        <v>4</v>
      </c>
      <c r="Q5" s="1" t="s">
        <v>33</v>
      </c>
      <c r="R5" s="1" t="s">
        <v>33</v>
      </c>
      <c r="S5" s="4" t="s">
        <v>34</v>
      </c>
      <c r="T5" s="1" t="s">
        <v>33</v>
      </c>
    </row>
    <row r="6" spans="1:24" ht="15.75" customHeight="1" x14ac:dyDescent="0.25">
      <c r="A6" s="3">
        <v>44256.792509016203</v>
      </c>
      <c r="B6" s="1" t="s">
        <v>20</v>
      </c>
      <c r="C6" s="1">
        <v>18</v>
      </c>
      <c r="D6" s="1">
        <v>2</v>
      </c>
      <c r="E6" s="1">
        <v>1</v>
      </c>
      <c r="F6" s="1">
        <v>1</v>
      </c>
      <c r="G6" s="1" t="s">
        <v>26</v>
      </c>
      <c r="H6" s="1" t="s">
        <v>21</v>
      </c>
      <c r="I6" s="1">
        <v>0</v>
      </c>
      <c r="J6" s="1">
        <v>1</v>
      </c>
      <c r="K6" s="1">
        <v>0</v>
      </c>
      <c r="L6" s="1">
        <v>50000</v>
      </c>
      <c r="M6" s="1">
        <v>3</v>
      </c>
      <c r="N6" s="1">
        <v>3</v>
      </c>
      <c r="O6" s="1">
        <v>4</v>
      </c>
      <c r="P6" s="1">
        <v>4</v>
      </c>
      <c r="Q6" s="1" t="s">
        <v>22</v>
      </c>
      <c r="R6" s="1" t="s">
        <v>35</v>
      </c>
      <c r="S6" s="1" t="s">
        <v>36</v>
      </c>
      <c r="T6" s="1" t="s">
        <v>30</v>
      </c>
    </row>
    <row r="7" spans="1:24" ht="15.75" customHeight="1" x14ac:dyDescent="0.25">
      <c r="A7" s="3">
        <v>44256.793371099542</v>
      </c>
      <c r="B7" s="1" t="s">
        <v>20</v>
      </c>
      <c r="C7" s="1">
        <v>18</v>
      </c>
      <c r="D7" s="1">
        <v>4</v>
      </c>
      <c r="E7" s="1">
        <v>4</v>
      </c>
      <c r="F7" s="1">
        <v>4</v>
      </c>
      <c r="G7" s="1" t="s">
        <v>26</v>
      </c>
      <c r="H7" s="1" t="s">
        <v>32</v>
      </c>
      <c r="I7" s="1">
        <v>2</v>
      </c>
      <c r="J7" s="1">
        <v>2</v>
      </c>
      <c r="K7" s="1">
        <v>50000</v>
      </c>
      <c r="L7" s="1">
        <v>50000</v>
      </c>
      <c r="M7" s="1">
        <v>4</v>
      </c>
      <c r="N7" s="1">
        <v>4</v>
      </c>
      <c r="O7" s="1">
        <v>4</v>
      </c>
      <c r="P7" s="1">
        <v>4</v>
      </c>
      <c r="Q7" s="1" t="s">
        <v>37</v>
      </c>
      <c r="R7" s="1" t="s">
        <v>35</v>
      </c>
      <c r="S7" s="1" t="s">
        <v>34</v>
      </c>
      <c r="T7" s="1" t="s">
        <v>34</v>
      </c>
    </row>
    <row r="8" spans="1:24" ht="15.75" customHeight="1" x14ac:dyDescent="0.25">
      <c r="A8" s="3">
        <v>44256.795117824076</v>
      </c>
      <c r="B8" s="1" t="s">
        <v>38</v>
      </c>
      <c r="C8" s="1">
        <v>18</v>
      </c>
      <c r="D8" s="1">
        <v>5</v>
      </c>
      <c r="E8" s="1">
        <v>2</v>
      </c>
      <c r="F8" s="1">
        <v>3</v>
      </c>
      <c r="G8" s="1" t="s">
        <v>27</v>
      </c>
      <c r="H8" s="1" t="s">
        <v>27</v>
      </c>
      <c r="I8" s="1">
        <v>3</v>
      </c>
      <c r="J8" s="1">
        <v>4</v>
      </c>
      <c r="K8" s="1">
        <v>30000</v>
      </c>
      <c r="L8" s="1">
        <v>40000</v>
      </c>
      <c r="M8" s="1">
        <v>5</v>
      </c>
      <c r="N8" s="1">
        <v>5</v>
      </c>
      <c r="O8" s="1">
        <v>5</v>
      </c>
      <c r="P8" s="1">
        <v>4</v>
      </c>
      <c r="Q8" s="5" t="s">
        <v>39</v>
      </c>
      <c r="R8" s="1" t="s">
        <v>22</v>
      </c>
      <c r="S8" s="1" t="s">
        <v>40</v>
      </c>
      <c r="T8" s="1" t="s">
        <v>33</v>
      </c>
    </row>
    <row r="9" spans="1:24" ht="15.75" customHeight="1" x14ac:dyDescent="0.25">
      <c r="A9" s="3">
        <v>44256.795929189815</v>
      </c>
      <c r="B9" s="1" t="s">
        <v>38</v>
      </c>
      <c r="C9" s="1">
        <v>18</v>
      </c>
      <c r="D9" s="1">
        <v>1</v>
      </c>
      <c r="E9" s="1">
        <v>1</v>
      </c>
      <c r="F9" s="1">
        <v>2</v>
      </c>
      <c r="G9" s="1" t="s">
        <v>21</v>
      </c>
      <c r="H9" s="1" t="s">
        <v>21</v>
      </c>
      <c r="I9" s="1">
        <v>0</v>
      </c>
      <c r="J9" s="1">
        <v>0</v>
      </c>
      <c r="K9" s="1">
        <v>0</v>
      </c>
      <c r="L9" s="1">
        <v>0</v>
      </c>
      <c r="M9" s="1">
        <v>4</v>
      </c>
      <c r="N9" s="1">
        <v>4</v>
      </c>
      <c r="O9" s="1">
        <v>4</v>
      </c>
      <c r="P9" s="1">
        <v>4</v>
      </c>
      <c r="Q9" s="1" t="s">
        <v>22</v>
      </c>
      <c r="R9" s="1" t="s">
        <v>33</v>
      </c>
      <c r="S9" s="1" t="s">
        <v>36</v>
      </c>
      <c r="T9" s="1" t="s">
        <v>33</v>
      </c>
      <c r="V9" s="1"/>
    </row>
    <row r="10" spans="1:24" ht="15.75" customHeight="1" x14ac:dyDescent="0.25">
      <c r="A10" s="3">
        <v>44256.798405636575</v>
      </c>
      <c r="B10" s="1" t="s">
        <v>20</v>
      </c>
      <c r="C10" s="1">
        <v>18</v>
      </c>
      <c r="D10" s="1">
        <v>4</v>
      </c>
      <c r="E10" s="1">
        <v>3</v>
      </c>
      <c r="F10" s="1">
        <v>4</v>
      </c>
      <c r="G10" s="1" t="s">
        <v>26</v>
      </c>
      <c r="H10" s="1" t="s">
        <v>27</v>
      </c>
      <c r="I10" s="1">
        <v>0</v>
      </c>
      <c r="J10" s="1">
        <v>10</v>
      </c>
      <c r="K10" s="1">
        <v>0</v>
      </c>
      <c r="L10" s="1">
        <v>500000</v>
      </c>
      <c r="M10" s="1">
        <v>3</v>
      </c>
      <c r="N10" s="1">
        <v>3</v>
      </c>
      <c r="O10" s="1">
        <v>3</v>
      </c>
      <c r="P10" s="1">
        <v>3</v>
      </c>
      <c r="Q10" s="1" t="s">
        <v>33</v>
      </c>
      <c r="R10" s="1" t="s">
        <v>35</v>
      </c>
      <c r="S10" s="1" t="s">
        <v>24</v>
      </c>
      <c r="T10" s="1" t="s">
        <v>33</v>
      </c>
    </row>
    <row r="11" spans="1:24" ht="15.75" customHeight="1" x14ac:dyDescent="0.25">
      <c r="A11" s="3">
        <v>44256.804893831024</v>
      </c>
      <c r="B11" s="1" t="s">
        <v>38</v>
      </c>
      <c r="C11" s="1">
        <v>18</v>
      </c>
      <c r="D11" s="1">
        <v>4</v>
      </c>
      <c r="E11" s="1">
        <v>1</v>
      </c>
      <c r="F11" s="1">
        <v>3</v>
      </c>
      <c r="G11" s="1" t="s">
        <v>32</v>
      </c>
      <c r="H11" s="1" t="s">
        <v>32</v>
      </c>
      <c r="I11" s="1">
        <v>0</v>
      </c>
      <c r="J11" s="1">
        <v>7</v>
      </c>
      <c r="K11" s="1">
        <v>15000</v>
      </c>
      <c r="L11" s="1">
        <v>60000</v>
      </c>
      <c r="M11" s="1">
        <v>4</v>
      </c>
      <c r="N11" s="1">
        <v>5</v>
      </c>
      <c r="O11" s="1">
        <v>5</v>
      </c>
      <c r="P11" s="1">
        <v>5</v>
      </c>
      <c r="Q11" s="1" t="s">
        <v>22</v>
      </c>
      <c r="R11" s="1" t="s">
        <v>22</v>
      </c>
      <c r="S11" s="1" t="s">
        <v>30</v>
      </c>
      <c r="T11" s="1" t="s">
        <v>33</v>
      </c>
    </row>
    <row r="12" spans="1:24" ht="15.75" customHeight="1" x14ac:dyDescent="0.25">
      <c r="A12" s="3">
        <v>44256.805797939815</v>
      </c>
      <c r="B12" s="1" t="s">
        <v>38</v>
      </c>
      <c r="C12" s="1">
        <v>18</v>
      </c>
      <c r="D12" s="1">
        <v>5</v>
      </c>
      <c r="E12" s="1">
        <v>2</v>
      </c>
      <c r="F12" s="1">
        <v>3</v>
      </c>
      <c r="G12" s="1" t="s">
        <v>26</v>
      </c>
      <c r="H12" s="1" t="s">
        <v>32</v>
      </c>
      <c r="I12" s="1">
        <v>0</v>
      </c>
      <c r="J12" s="1">
        <v>2</v>
      </c>
      <c r="K12" s="1">
        <v>0</v>
      </c>
      <c r="L12" s="1">
        <v>40000</v>
      </c>
      <c r="M12" s="1">
        <v>3</v>
      </c>
      <c r="N12" s="1">
        <v>5</v>
      </c>
      <c r="O12" s="1">
        <v>5</v>
      </c>
      <c r="P12" s="1">
        <v>5</v>
      </c>
      <c r="Q12" s="1" t="s">
        <v>22</v>
      </c>
      <c r="R12" s="1" t="s">
        <v>41</v>
      </c>
      <c r="S12" s="1" t="s">
        <v>42</v>
      </c>
      <c r="T12" s="1" t="s">
        <v>42</v>
      </c>
    </row>
    <row r="13" spans="1:24" ht="15.75" customHeight="1" x14ac:dyDescent="0.25">
      <c r="A13" s="3">
        <v>44256.808605127313</v>
      </c>
      <c r="B13" s="1" t="s">
        <v>20</v>
      </c>
      <c r="C13" s="1">
        <v>18</v>
      </c>
      <c r="D13" s="1">
        <v>2</v>
      </c>
      <c r="E13" s="1">
        <v>1</v>
      </c>
      <c r="F13" s="1">
        <v>3</v>
      </c>
      <c r="G13" s="1" t="s">
        <v>26</v>
      </c>
      <c r="H13" s="1" t="s">
        <v>27</v>
      </c>
      <c r="I13" s="1">
        <v>0</v>
      </c>
      <c r="J13" s="1">
        <v>0</v>
      </c>
      <c r="K13" s="1">
        <v>0</v>
      </c>
      <c r="L13" s="1">
        <v>0</v>
      </c>
      <c r="M13" s="1">
        <v>3</v>
      </c>
      <c r="N13" s="1">
        <v>3</v>
      </c>
      <c r="O13" s="1">
        <v>3</v>
      </c>
      <c r="P13" s="1">
        <v>3</v>
      </c>
      <c r="Q13" s="1" t="s">
        <v>33</v>
      </c>
      <c r="R13" s="1" t="s">
        <v>33</v>
      </c>
      <c r="S13" s="1" t="s">
        <v>25</v>
      </c>
      <c r="T13" s="1" t="s">
        <v>43</v>
      </c>
    </row>
    <row r="14" spans="1:24" ht="15.75" customHeight="1" x14ac:dyDescent="0.25">
      <c r="A14" s="3">
        <v>44256.81018137731</v>
      </c>
      <c r="B14" s="1" t="s">
        <v>20</v>
      </c>
      <c r="C14" s="1">
        <v>18</v>
      </c>
      <c r="D14" s="1">
        <v>2</v>
      </c>
      <c r="E14" s="1">
        <v>1</v>
      </c>
      <c r="F14" s="1">
        <v>2</v>
      </c>
      <c r="G14" s="1" t="s">
        <v>26</v>
      </c>
      <c r="H14" s="1" t="s">
        <v>27</v>
      </c>
      <c r="I14" s="1">
        <v>2</v>
      </c>
      <c r="J14" s="1">
        <v>5</v>
      </c>
      <c r="K14" s="1">
        <v>50000</v>
      </c>
      <c r="L14" s="1">
        <v>150000</v>
      </c>
      <c r="M14" s="1">
        <v>2</v>
      </c>
      <c r="N14" s="1">
        <v>2</v>
      </c>
      <c r="O14" s="1">
        <v>5</v>
      </c>
      <c r="P14" s="1">
        <v>5</v>
      </c>
      <c r="Q14" s="1" t="s">
        <v>41</v>
      </c>
      <c r="R14" s="1" t="s">
        <v>44</v>
      </c>
      <c r="S14" s="1" t="s">
        <v>36</v>
      </c>
      <c r="T14" s="1" t="s">
        <v>25</v>
      </c>
      <c r="V14" s="6" t="s">
        <v>45</v>
      </c>
      <c r="X14" s="6" t="s">
        <v>46</v>
      </c>
    </row>
    <row r="15" spans="1:24" ht="15.75" customHeight="1" x14ac:dyDescent="0.25">
      <c r="A15" s="3">
        <v>44256.814228888892</v>
      </c>
      <c r="B15" s="1" t="s">
        <v>38</v>
      </c>
      <c r="C15" s="1">
        <v>19</v>
      </c>
      <c r="D15" s="1">
        <v>4</v>
      </c>
      <c r="E15" s="1">
        <v>2</v>
      </c>
      <c r="F15" s="1">
        <v>2</v>
      </c>
      <c r="G15" s="1" t="s">
        <v>32</v>
      </c>
      <c r="H15" s="1" t="s">
        <v>32</v>
      </c>
      <c r="I15" s="1">
        <v>4</v>
      </c>
      <c r="J15" s="1">
        <v>10</v>
      </c>
      <c r="K15" s="1">
        <v>40000</v>
      </c>
      <c r="L15" s="1">
        <v>100000</v>
      </c>
      <c r="M15" s="1">
        <v>4</v>
      </c>
      <c r="N15" s="1">
        <v>4</v>
      </c>
      <c r="O15" s="1">
        <v>4</v>
      </c>
      <c r="P15" s="1">
        <v>5</v>
      </c>
      <c r="Q15" s="1" t="s">
        <v>22</v>
      </c>
      <c r="R15" s="1" t="s">
        <v>33</v>
      </c>
      <c r="S15" s="1" t="s">
        <v>47</v>
      </c>
      <c r="T15" s="1" t="s">
        <v>33</v>
      </c>
      <c r="V15" s="7" t="s">
        <v>22</v>
      </c>
      <c r="X15" s="8" t="s">
        <v>30</v>
      </c>
    </row>
    <row r="16" spans="1:24" ht="15.75" customHeight="1" x14ac:dyDescent="0.25">
      <c r="A16" s="3">
        <v>44256.815172789356</v>
      </c>
      <c r="B16" s="1" t="s">
        <v>20</v>
      </c>
      <c r="C16" s="1">
        <v>19</v>
      </c>
      <c r="D16" s="1">
        <v>5</v>
      </c>
      <c r="E16" s="1">
        <v>1</v>
      </c>
      <c r="F16" s="1">
        <v>4</v>
      </c>
      <c r="G16" s="1" t="s">
        <v>26</v>
      </c>
      <c r="H16" s="1" t="s">
        <v>27</v>
      </c>
      <c r="I16" s="1">
        <v>3</v>
      </c>
      <c r="J16" s="1">
        <v>2</v>
      </c>
      <c r="K16" s="1">
        <v>150000</v>
      </c>
      <c r="L16" s="1">
        <v>0</v>
      </c>
      <c r="M16" s="1">
        <v>4</v>
      </c>
      <c r="N16" s="1">
        <v>3</v>
      </c>
      <c r="O16" s="1">
        <v>4</v>
      </c>
      <c r="P16" s="1">
        <v>3</v>
      </c>
      <c r="Q16" s="1" t="s">
        <v>22</v>
      </c>
      <c r="R16" s="1" t="s">
        <v>22</v>
      </c>
      <c r="S16" s="1" t="s">
        <v>48</v>
      </c>
      <c r="T16" s="1" t="s">
        <v>49</v>
      </c>
      <c r="V16" s="7" t="s">
        <v>35</v>
      </c>
      <c r="X16" s="8" t="s">
        <v>39</v>
      </c>
    </row>
    <row r="17" spans="1:24" ht="15.75" customHeight="1" x14ac:dyDescent="0.25">
      <c r="A17" s="3">
        <v>44256.827552858798</v>
      </c>
      <c r="B17" s="1" t="s">
        <v>20</v>
      </c>
      <c r="C17" s="1">
        <v>19</v>
      </c>
      <c r="D17" s="1">
        <v>4</v>
      </c>
      <c r="E17" s="1">
        <v>1</v>
      </c>
      <c r="F17" s="1">
        <v>2</v>
      </c>
      <c r="G17" s="1" t="s">
        <v>21</v>
      </c>
      <c r="H17" s="1" t="s">
        <v>21</v>
      </c>
      <c r="I17" s="1">
        <v>3</v>
      </c>
      <c r="J17" s="1">
        <v>2</v>
      </c>
      <c r="K17" s="1">
        <v>150000</v>
      </c>
      <c r="L17" s="1">
        <v>150000</v>
      </c>
      <c r="M17" s="1">
        <v>4</v>
      </c>
      <c r="N17" s="1">
        <v>4</v>
      </c>
      <c r="O17" s="1">
        <v>4</v>
      </c>
      <c r="P17" s="1">
        <v>4</v>
      </c>
      <c r="Q17" s="5" t="s">
        <v>39</v>
      </c>
      <c r="R17" s="1" t="s">
        <v>33</v>
      </c>
      <c r="S17" s="1" t="s">
        <v>39</v>
      </c>
      <c r="T17" s="1" t="s">
        <v>33</v>
      </c>
      <c r="V17" s="7" t="s">
        <v>50</v>
      </c>
      <c r="X17" s="8" t="s">
        <v>34</v>
      </c>
    </row>
    <row r="18" spans="1:24" ht="15.75" customHeight="1" x14ac:dyDescent="0.25">
      <c r="A18" s="3">
        <v>44256.829764675931</v>
      </c>
      <c r="B18" s="1" t="s">
        <v>20</v>
      </c>
      <c r="C18" s="1">
        <v>19</v>
      </c>
      <c r="D18" s="1">
        <v>5</v>
      </c>
      <c r="E18" s="1">
        <v>2</v>
      </c>
      <c r="F18" s="1">
        <v>2</v>
      </c>
      <c r="G18" s="1" t="s">
        <v>32</v>
      </c>
      <c r="H18" s="1" t="s">
        <v>27</v>
      </c>
      <c r="I18" s="1">
        <v>1</v>
      </c>
      <c r="J18" s="1">
        <v>4</v>
      </c>
      <c r="K18" s="1">
        <v>30000</v>
      </c>
      <c r="L18" s="1">
        <v>120000</v>
      </c>
      <c r="M18" s="1">
        <v>3</v>
      </c>
      <c r="N18" s="1">
        <v>5</v>
      </c>
      <c r="O18" s="1">
        <v>3</v>
      </c>
      <c r="P18" s="1">
        <v>5</v>
      </c>
      <c r="Q18" s="5" t="s">
        <v>39</v>
      </c>
      <c r="R18" s="1" t="s">
        <v>35</v>
      </c>
      <c r="S18" s="1" t="s">
        <v>25</v>
      </c>
      <c r="T18" s="1" t="s">
        <v>33</v>
      </c>
      <c r="V18" s="7" t="s">
        <v>29</v>
      </c>
      <c r="X18" s="8" t="s">
        <v>51</v>
      </c>
    </row>
    <row r="19" spans="1:24" ht="15.75" customHeight="1" x14ac:dyDescent="0.25">
      <c r="A19" s="3">
        <v>44256.835631562499</v>
      </c>
      <c r="B19" s="1" t="s">
        <v>38</v>
      </c>
      <c r="C19" s="1">
        <v>19</v>
      </c>
      <c r="D19" s="1">
        <v>3</v>
      </c>
      <c r="E19" s="1">
        <v>0</v>
      </c>
      <c r="F19" s="1">
        <v>0</v>
      </c>
      <c r="G19" s="1" t="s">
        <v>26</v>
      </c>
      <c r="H19" s="1" t="s">
        <v>26</v>
      </c>
      <c r="I19" s="1">
        <v>1</v>
      </c>
      <c r="J19" s="1">
        <v>1</v>
      </c>
      <c r="K19" s="1">
        <v>30000</v>
      </c>
      <c r="L19" s="1">
        <v>30000</v>
      </c>
      <c r="M19" s="1">
        <v>4</v>
      </c>
      <c r="N19" s="1">
        <v>4</v>
      </c>
      <c r="O19" s="1">
        <v>4</v>
      </c>
      <c r="P19" s="1">
        <v>4</v>
      </c>
      <c r="Q19" s="1" t="s">
        <v>33</v>
      </c>
      <c r="R19" s="1" t="s">
        <v>33</v>
      </c>
      <c r="S19" s="1" t="s">
        <v>25</v>
      </c>
      <c r="T19" s="1" t="s">
        <v>40</v>
      </c>
      <c r="V19" s="7" t="s">
        <v>33</v>
      </c>
      <c r="X19" s="8" t="s">
        <v>52</v>
      </c>
    </row>
    <row r="20" spans="1:24" ht="15.75" customHeight="1" x14ac:dyDescent="0.25">
      <c r="A20" s="3">
        <v>44256.836445034722</v>
      </c>
      <c r="B20" s="1" t="s">
        <v>38</v>
      </c>
      <c r="C20" s="1">
        <v>19</v>
      </c>
      <c r="D20" s="1">
        <v>3</v>
      </c>
      <c r="E20" s="1">
        <v>4</v>
      </c>
      <c r="F20" s="1">
        <v>5</v>
      </c>
      <c r="G20" s="1" t="s">
        <v>26</v>
      </c>
      <c r="H20" s="1" t="s">
        <v>32</v>
      </c>
      <c r="I20" s="1">
        <v>1</v>
      </c>
      <c r="J20" s="1">
        <v>4</v>
      </c>
      <c r="K20" s="1">
        <v>50000</v>
      </c>
      <c r="L20" s="1">
        <v>300000</v>
      </c>
      <c r="M20" s="1">
        <v>4</v>
      </c>
      <c r="N20" s="1">
        <v>5</v>
      </c>
      <c r="O20" s="1">
        <v>5</v>
      </c>
      <c r="P20" s="1">
        <v>5</v>
      </c>
      <c r="Q20" s="1" t="s">
        <v>22</v>
      </c>
      <c r="R20" s="1" t="s">
        <v>22</v>
      </c>
      <c r="S20" s="1" t="s">
        <v>30</v>
      </c>
      <c r="T20" s="1" t="s">
        <v>30</v>
      </c>
      <c r="V20" s="7" t="s">
        <v>53</v>
      </c>
      <c r="X20" s="8" t="s">
        <v>54</v>
      </c>
    </row>
    <row r="21" spans="1:24" ht="15.75" customHeight="1" x14ac:dyDescent="0.25">
      <c r="A21" s="3">
        <v>44256.841757858798</v>
      </c>
      <c r="B21" s="1" t="s">
        <v>20</v>
      </c>
      <c r="C21" s="1">
        <v>19</v>
      </c>
      <c r="D21" s="1">
        <v>5</v>
      </c>
      <c r="E21" s="1">
        <v>1</v>
      </c>
      <c r="F21" s="1">
        <v>2</v>
      </c>
      <c r="G21" s="1" t="s">
        <v>26</v>
      </c>
      <c r="H21" s="1" t="s">
        <v>32</v>
      </c>
      <c r="I21" s="1">
        <v>0</v>
      </c>
      <c r="J21" s="1">
        <v>3</v>
      </c>
      <c r="K21" s="1">
        <v>0</v>
      </c>
      <c r="L21" s="1">
        <v>400000</v>
      </c>
      <c r="M21" s="1">
        <v>1</v>
      </c>
      <c r="N21" s="1">
        <v>4</v>
      </c>
      <c r="O21" s="1">
        <v>1</v>
      </c>
      <c r="P21" s="1">
        <v>4</v>
      </c>
      <c r="Q21" s="1" t="s">
        <v>22</v>
      </c>
      <c r="R21" s="1" t="s">
        <v>22</v>
      </c>
      <c r="S21" s="1" t="s">
        <v>25</v>
      </c>
      <c r="T21" s="1" t="s">
        <v>40</v>
      </c>
      <c r="V21" s="7" t="s">
        <v>39</v>
      </c>
      <c r="X21" s="8" t="s">
        <v>40</v>
      </c>
    </row>
    <row r="22" spans="1:24" ht="15.75" customHeight="1" x14ac:dyDescent="0.25">
      <c r="A22" s="3">
        <v>44256.848321585647</v>
      </c>
      <c r="B22" s="1" t="s">
        <v>20</v>
      </c>
      <c r="C22" s="1">
        <v>19</v>
      </c>
      <c r="D22" s="1">
        <v>5</v>
      </c>
      <c r="E22" s="1">
        <v>2</v>
      </c>
      <c r="F22" s="1">
        <v>4</v>
      </c>
      <c r="G22" s="1" t="s">
        <v>32</v>
      </c>
      <c r="H22" s="1" t="s">
        <v>32</v>
      </c>
      <c r="I22" s="1">
        <v>1</v>
      </c>
      <c r="J22" s="1">
        <v>3</v>
      </c>
      <c r="K22" s="1">
        <v>50000</v>
      </c>
      <c r="L22" s="1">
        <v>100000</v>
      </c>
      <c r="M22" s="1">
        <v>4</v>
      </c>
      <c r="N22" s="1">
        <v>4</v>
      </c>
      <c r="O22" s="1">
        <v>4</v>
      </c>
      <c r="P22" s="1">
        <v>4</v>
      </c>
      <c r="Q22" s="1" t="s">
        <v>33</v>
      </c>
      <c r="R22" s="1" t="s">
        <v>33</v>
      </c>
      <c r="S22" s="1" t="s">
        <v>55</v>
      </c>
      <c r="T22" s="1" t="s">
        <v>55</v>
      </c>
    </row>
    <row r="23" spans="1:24" ht="15.75" customHeight="1" x14ac:dyDescent="0.25">
      <c r="A23" s="3">
        <v>44256.848871539347</v>
      </c>
      <c r="B23" s="1" t="s">
        <v>20</v>
      </c>
      <c r="C23" s="1">
        <v>19</v>
      </c>
      <c r="D23" s="1">
        <v>5</v>
      </c>
      <c r="E23" s="1">
        <v>2</v>
      </c>
      <c r="F23" s="1">
        <v>2</v>
      </c>
      <c r="G23" s="1" t="s">
        <v>26</v>
      </c>
      <c r="H23" s="1" t="s">
        <v>26</v>
      </c>
      <c r="I23" s="1">
        <v>3</v>
      </c>
      <c r="J23" s="1">
        <v>5</v>
      </c>
      <c r="K23" s="1">
        <v>300000</v>
      </c>
      <c r="L23" s="1">
        <v>500000</v>
      </c>
      <c r="M23" s="1">
        <v>4</v>
      </c>
      <c r="N23" s="1">
        <v>4</v>
      </c>
      <c r="O23" s="1">
        <v>4</v>
      </c>
      <c r="P23" s="1">
        <v>4</v>
      </c>
      <c r="Q23" s="1" t="s">
        <v>33</v>
      </c>
      <c r="R23" s="1" t="s">
        <v>35</v>
      </c>
      <c r="S23" s="1" t="s">
        <v>25</v>
      </c>
      <c r="T23" s="1" t="s">
        <v>25</v>
      </c>
    </row>
    <row r="24" spans="1:24" ht="15.75" customHeight="1" x14ac:dyDescent="0.25">
      <c r="A24" s="3">
        <v>44256.857461122687</v>
      </c>
      <c r="B24" s="1" t="s">
        <v>20</v>
      </c>
      <c r="C24" s="1">
        <v>20</v>
      </c>
      <c r="D24" s="1">
        <v>5</v>
      </c>
      <c r="E24" s="1">
        <v>2</v>
      </c>
      <c r="F24" s="1">
        <v>3</v>
      </c>
      <c r="G24" s="1" t="s">
        <v>32</v>
      </c>
      <c r="H24" s="1" t="s">
        <v>32</v>
      </c>
      <c r="I24" s="1">
        <v>10</v>
      </c>
      <c r="J24" s="1">
        <v>100</v>
      </c>
      <c r="K24" s="1">
        <v>200000</v>
      </c>
      <c r="L24" s="1">
        <v>3000000</v>
      </c>
      <c r="M24" s="1">
        <v>3</v>
      </c>
      <c r="N24" s="1">
        <v>4</v>
      </c>
      <c r="O24" s="1">
        <v>4</v>
      </c>
      <c r="P24" s="1">
        <v>4</v>
      </c>
      <c r="Q24" s="1" t="s">
        <v>56</v>
      </c>
      <c r="R24" s="9" t="s">
        <v>22</v>
      </c>
      <c r="S24" s="1" t="s">
        <v>57</v>
      </c>
      <c r="T24" s="1" t="s">
        <v>33</v>
      </c>
    </row>
    <row r="25" spans="1:24" ht="15.75" customHeight="1" x14ac:dyDescent="0.25">
      <c r="A25" s="3">
        <v>44256.864225358797</v>
      </c>
      <c r="B25" s="1" t="s">
        <v>20</v>
      </c>
      <c r="C25" s="1">
        <v>20</v>
      </c>
      <c r="D25" s="1">
        <v>5</v>
      </c>
      <c r="E25" s="1">
        <v>0</v>
      </c>
      <c r="F25" s="1">
        <v>2</v>
      </c>
      <c r="G25" s="1" t="s">
        <v>32</v>
      </c>
      <c r="H25" s="1" t="s">
        <v>27</v>
      </c>
      <c r="I25" s="1">
        <v>2</v>
      </c>
      <c r="J25" s="1">
        <v>4</v>
      </c>
      <c r="K25" s="1">
        <v>60000</v>
      </c>
      <c r="L25" s="1">
        <v>120000</v>
      </c>
      <c r="M25" s="1">
        <v>3</v>
      </c>
      <c r="N25" s="1">
        <v>3</v>
      </c>
      <c r="O25" s="1">
        <v>3</v>
      </c>
      <c r="P25" s="1">
        <v>3</v>
      </c>
      <c r="Q25" s="1" t="s">
        <v>22</v>
      </c>
      <c r="R25" s="1" t="s">
        <v>22</v>
      </c>
      <c r="S25" s="1" t="s">
        <v>30</v>
      </c>
      <c r="T25" s="1" t="s">
        <v>40</v>
      </c>
    </row>
    <row r="26" spans="1:24" ht="15.75" customHeight="1" x14ac:dyDescent="0.25">
      <c r="A26" s="3">
        <v>44256.865087673606</v>
      </c>
      <c r="B26" s="1" t="s">
        <v>20</v>
      </c>
      <c r="C26" s="1">
        <v>20</v>
      </c>
      <c r="D26" s="1">
        <v>5</v>
      </c>
      <c r="E26" s="1">
        <v>1</v>
      </c>
      <c r="F26" s="1">
        <v>3</v>
      </c>
      <c r="G26" s="1" t="s">
        <v>32</v>
      </c>
      <c r="H26" s="1" t="s">
        <v>27</v>
      </c>
      <c r="I26" s="1">
        <v>2</v>
      </c>
      <c r="J26" s="1">
        <v>4</v>
      </c>
      <c r="K26" s="1">
        <v>100000</v>
      </c>
      <c r="L26" s="1">
        <v>250000</v>
      </c>
      <c r="M26" s="1">
        <v>3</v>
      </c>
      <c r="N26" s="1">
        <v>4</v>
      </c>
      <c r="O26" s="1">
        <v>3</v>
      </c>
      <c r="P26" s="1">
        <v>4</v>
      </c>
      <c r="Q26" s="1" t="s">
        <v>22</v>
      </c>
      <c r="R26" s="1" t="s">
        <v>58</v>
      </c>
      <c r="S26" s="1" t="s">
        <v>25</v>
      </c>
      <c r="T26" s="1" t="s">
        <v>25</v>
      </c>
    </row>
    <row r="27" spans="1:24" ht="15.75" customHeight="1" x14ac:dyDescent="0.25">
      <c r="A27" s="3">
        <v>44256.867142303236</v>
      </c>
      <c r="B27" s="1" t="s">
        <v>20</v>
      </c>
      <c r="C27" s="1">
        <v>20</v>
      </c>
      <c r="D27" s="1">
        <v>5</v>
      </c>
      <c r="E27" s="1">
        <v>3</v>
      </c>
      <c r="F27" s="1">
        <v>4</v>
      </c>
      <c r="G27" s="1" t="s">
        <v>27</v>
      </c>
      <c r="H27" s="1" t="s">
        <v>27</v>
      </c>
      <c r="I27" s="1">
        <v>2</v>
      </c>
      <c r="J27" s="1">
        <v>9</v>
      </c>
      <c r="K27" s="1">
        <v>90000</v>
      </c>
      <c r="L27" s="1">
        <v>700000</v>
      </c>
      <c r="M27" s="1">
        <v>4</v>
      </c>
      <c r="N27" s="1">
        <v>5</v>
      </c>
      <c r="O27" s="1">
        <v>4</v>
      </c>
      <c r="P27" s="1">
        <v>4</v>
      </c>
      <c r="Q27" s="1" t="s">
        <v>33</v>
      </c>
      <c r="R27" s="1" t="s">
        <v>35</v>
      </c>
      <c r="S27" s="1" t="s">
        <v>57</v>
      </c>
      <c r="T27" s="1" t="s">
        <v>59</v>
      </c>
    </row>
    <row r="28" spans="1:24" ht="15.75" customHeight="1" x14ac:dyDescent="0.25">
      <c r="A28" s="3">
        <v>44256.867705532408</v>
      </c>
      <c r="B28" s="1" t="s">
        <v>20</v>
      </c>
      <c r="C28" s="1">
        <v>20</v>
      </c>
      <c r="D28" s="1">
        <v>5</v>
      </c>
      <c r="E28" s="1">
        <v>2</v>
      </c>
      <c r="F28" s="1">
        <v>2</v>
      </c>
      <c r="G28" s="1" t="s">
        <v>32</v>
      </c>
      <c r="H28" s="1" t="s">
        <v>27</v>
      </c>
      <c r="I28" s="1">
        <v>1</v>
      </c>
      <c r="J28" s="1">
        <v>3</v>
      </c>
      <c r="K28" s="1">
        <v>30000</v>
      </c>
      <c r="L28" s="1">
        <v>120000</v>
      </c>
      <c r="M28" s="1">
        <v>3</v>
      </c>
      <c r="N28" s="1">
        <v>5</v>
      </c>
      <c r="O28" s="1">
        <v>3</v>
      </c>
      <c r="P28" s="1">
        <v>5</v>
      </c>
      <c r="Q28" s="5" t="s">
        <v>39</v>
      </c>
      <c r="R28" s="1" t="s">
        <v>35</v>
      </c>
      <c r="S28" s="1" t="s">
        <v>25</v>
      </c>
      <c r="T28" s="1" t="s">
        <v>33</v>
      </c>
    </row>
    <row r="29" spans="1:24" ht="15.75" customHeight="1" x14ac:dyDescent="0.25">
      <c r="A29" s="3">
        <v>44256.871326493056</v>
      </c>
      <c r="B29" s="1" t="s">
        <v>20</v>
      </c>
      <c r="C29" s="1">
        <v>20</v>
      </c>
      <c r="D29" s="1">
        <v>5</v>
      </c>
      <c r="E29" s="1">
        <v>3</v>
      </c>
      <c r="F29" s="1">
        <v>5</v>
      </c>
      <c r="G29" s="1" t="s">
        <v>32</v>
      </c>
      <c r="H29" s="1" t="s">
        <v>32</v>
      </c>
      <c r="I29" s="1">
        <v>4</v>
      </c>
      <c r="J29" s="1">
        <v>20</v>
      </c>
      <c r="K29" s="1">
        <v>200000</v>
      </c>
      <c r="L29" s="1">
        <v>500000</v>
      </c>
      <c r="M29" s="1">
        <v>5</v>
      </c>
      <c r="N29" s="1">
        <v>5</v>
      </c>
      <c r="O29" s="1">
        <v>5</v>
      </c>
      <c r="P29" s="1">
        <v>5</v>
      </c>
      <c r="Q29" s="1" t="s">
        <v>22</v>
      </c>
      <c r="R29" s="1" t="s">
        <v>23</v>
      </c>
      <c r="S29" s="1" t="s">
        <v>30</v>
      </c>
      <c r="T29" s="1" t="s">
        <v>30</v>
      </c>
    </row>
    <row r="30" spans="1:24" ht="15.75" customHeight="1" x14ac:dyDescent="0.25">
      <c r="A30" s="3">
        <v>44256.87656326389</v>
      </c>
      <c r="B30" s="1" t="s">
        <v>20</v>
      </c>
      <c r="C30" s="1">
        <v>20</v>
      </c>
      <c r="D30" s="1">
        <v>5</v>
      </c>
      <c r="E30" s="1">
        <v>1</v>
      </c>
      <c r="F30" s="1">
        <v>5</v>
      </c>
      <c r="G30" s="1" t="s">
        <v>26</v>
      </c>
      <c r="H30" s="1" t="s">
        <v>32</v>
      </c>
      <c r="I30" s="1">
        <v>1</v>
      </c>
      <c r="J30" s="1">
        <v>3</v>
      </c>
      <c r="K30" s="1">
        <v>50000</v>
      </c>
      <c r="L30" s="1">
        <v>150000</v>
      </c>
      <c r="M30" s="1">
        <v>5</v>
      </c>
      <c r="N30" s="1">
        <v>5</v>
      </c>
      <c r="O30" s="1">
        <v>4</v>
      </c>
      <c r="P30" s="1">
        <v>5</v>
      </c>
      <c r="Q30" s="5" t="s">
        <v>39</v>
      </c>
      <c r="R30" s="1" t="s">
        <v>29</v>
      </c>
      <c r="S30" s="1" t="s">
        <v>34</v>
      </c>
      <c r="T30" s="1" t="s">
        <v>33</v>
      </c>
    </row>
    <row r="31" spans="1:24" ht="15.75" customHeight="1" x14ac:dyDescent="0.25">
      <c r="A31" s="3">
        <v>44256.878445844908</v>
      </c>
      <c r="B31" s="1" t="s">
        <v>20</v>
      </c>
      <c r="C31" s="1">
        <v>20</v>
      </c>
      <c r="D31" s="1">
        <v>5</v>
      </c>
      <c r="E31" s="1">
        <v>1</v>
      </c>
      <c r="F31" s="1">
        <v>1</v>
      </c>
      <c r="G31" s="1" t="s">
        <v>32</v>
      </c>
      <c r="H31" s="1" t="s">
        <v>32</v>
      </c>
      <c r="I31" s="1">
        <v>2</v>
      </c>
      <c r="J31" s="1">
        <v>8</v>
      </c>
      <c r="K31" s="1">
        <v>50000</v>
      </c>
      <c r="L31" s="1">
        <v>200000</v>
      </c>
      <c r="M31" s="1">
        <v>2</v>
      </c>
      <c r="N31" s="1">
        <v>5</v>
      </c>
      <c r="O31" s="1">
        <v>4</v>
      </c>
      <c r="P31" s="1">
        <v>5</v>
      </c>
      <c r="Q31" s="1" t="s">
        <v>33</v>
      </c>
      <c r="R31" s="1" t="s">
        <v>33</v>
      </c>
      <c r="S31" s="1" t="s">
        <v>25</v>
      </c>
      <c r="T31" s="1" t="s">
        <v>25</v>
      </c>
    </row>
    <row r="32" spans="1:24" ht="15.75" customHeight="1" x14ac:dyDescent="0.25">
      <c r="A32" s="3">
        <v>44256.884425694443</v>
      </c>
      <c r="B32" s="1" t="s">
        <v>20</v>
      </c>
      <c r="C32" s="1">
        <v>20</v>
      </c>
      <c r="D32" s="1">
        <v>5</v>
      </c>
      <c r="E32" s="1">
        <v>0</v>
      </c>
      <c r="F32" s="1">
        <v>0</v>
      </c>
      <c r="G32" s="1" t="s">
        <v>21</v>
      </c>
      <c r="H32" s="1" t="s">
        <v>21</v>
      </c>
      <c r="I32" s="1">
        <v>1</v>
      </c>
      <c r="J32" s="1">
        <v>3</v>
      </c>
      <c r="K32" s="1">
        <v>150000</v>
      </c>
      <c r="L32" s="1">
        <v>300000</v>
      </c>
      <c r="M32" s="1">
        <v>4</v>
      </c>
      <c r="N32" s="1">
        <v>4</v>
      </c>
      <c r="O32" s="1">
        <v>4</v>
      </c>
      <c r="P32" s="1">
        <v>4</v>
      </c>
      <c r="Q32" s="1" t="s">
        <v>22</v>
      </c>
      <c r="R32" s="9" t="s">
        <v>22</v>
      </c>
      <c r="S32" s="1" t="s">
        <v>60</v>
      </c>
      <c r="T32" s="1" t="s">
        <v>30</v>
      </c>
    </row>
    <row r="33" spans="1:20" ht="15.75" customHeight="1" x14ac:dyDescent="0.25">
      <c r="A33" s="3">
        <v>44256.914447824078</v>
      </c>
      <c r="B33" s="1" t="s">
        <v>20</v>
      </c>
      <c r="C33" s="1">
        <v>20</v>
      </c>
      <c r="D33" s="1">
        <v>6</v>
      </c>
      <c r="E33" s="1">
        <v>2</v>
      </c>
      <c r="F33" s="1">
        <v>4</v>
      </c>
      <c r="G33" s="1" t="s">
        <v>26</v>
      </c>
      <c r="H33" s="1" t="s">
        <v>26</v>
      </c>
      <c r="I33" s="1">
        <v>2</v>
      </c>
      <c r="J33" s="1">
        <v>10</v>
      </c>
      <c r="K33" s="1">
        <v>15000</v>
      </c>
      <c r="L33" s="1">
        <v>50000</v>
      </c>
      <c r="M33" s="1">
        <v>4</v>
      </c>
      <c r="N33" s="1">
        <v>4</v>
      </c>
      <c r="O33" s="1">
        <v>4</v>
      </c>
      <c r="P33" s="1">
        <v>4</v>
      </c>
      <c r="Q33" s="1" t="s">
        <v>22</v>
      </c>
      <c r="R33" s="9" t="s">
        <v>22</v>
      </c>
      <c r="S33" s="1" t="s">
        <v>61</v>
      </c>
      <c r="T33" s="1" t="s">
        <v>55</v>
      </c>
    </row>
    <row r="34" spans="1:20" ht="15.75" customHeight="1" x14ac:dyDescent="0.25">
      <c r="A34" s="3">
        <v>44257.362359999999</v>
      </c>
      <c r="B34" s="1" t="s">
        <v>20</v>
      </c>
      <c r="C34" s="1">
        <v>20</v>
      </c>
      <c r="D34" s="1">
        <v>5</v>
      </c>
      <c r="E34" s="1">
        <v>0</v>
      </c>
      <c r="F34" s="1">
        <v>0</v>
      </c>
      <c r="G34" s="1" t="s">
        <v>21</v>
      </c>
      <c r="H34" s="1" t="s">
        <v>21</v>
      </c>
      <c r="I34" s="1">
        <v>1</v>
      </c>
      <c r="J34" s="1">
        <v>3</v>
      </c>
      <c r="K34" s="1">
        <v>150000</v>
      </c>
      <c r="L34" s="1">
        <v>300000</v>
      </c>
      <c r="M34" s="1">
        <v>4</v>
      </c>
      <c r="N34" s="1">
        <v>4</v>
      </c>
      <c r="O34" s="1">
        <v>4</v>
      </c>
      <c r="P34" s="1">
        <v>4</v>
      </c>
      <c r="Q34" s="1" t="s">
        <v>22</v>
      </c>
      <c r="R34" s="9" t="s">
        <v>22</v>
      </c>
      <c r="S34" s="1" t="s">
        <v>25</v>
      </c>
      <c r="T34" s="1" t="s">
        <v>30</v>
      </c>
    </row>
    <row r="35" spans="1:20" ht="15.75" customHeight="1" x14ac:dyDescent="0.25">
      <c r="A35" s="3">
        <v>44257.442852511573</v>
      </c>
      <c r="B35" s="1" t="s">
        <v>38</v>
      </c>
      <c r="C35" s="1">
        <v>21</v>
      </c>
      <c r="D35" s="1">
        <v>3</v>
      </c>
      <c r="E35" s="1">
        <v>0</v>
      </c>
      <c r="F35" s="1">
        <v>2</v>
      </c>
      <c r="G35" s="1" t="s">
        <v>26</v>
      </c>
      <c r="H35" s="1" t="s">
        <v>26</v>
      </c>
      <c r="I35" s="1">
        <v>0</v>
      </c>
      <c r="J35" s="1">
        <v>1</v>
      </c>
      <c r="K35" s="1">
        <v>0</v>
      </c>
      <c r="L35" s="1">
        <v>100000</v>
      </c>
      <c r="M35" s="1">
        <v>3</v>
      </c>
      <c r="N35" s="1">
        <v>2</v>
      </c>
      <c r="O35" s="1">
        <v>3</v>
      </c>
      <c r="P35" s="1">
        <v>4</v>
      </c>
      <c r="Q35" s="1" t="s">
        <v>33</v>
      </c>
      <c r="R35" s="1" t="s">
        <v>29</v>
      </c>
      <c r="S35" s="1" t="s">
        <v>24</v>
      </c>
      <c r="T35" s="1" t="s">
        <v>30</v>
      </c>
    </row>
    <row r="36" spans="1:20" ht="15.75" customHeight="1" x14ac:dyDescent="0.25">
      <c r="A36" s="3">
        <v>44257.445122094912</v>
      </c>
      <c r="B36" s="1" t="s">
        <v>20</v>
      </c>
      <c r="C36" s="1">
        <v>21</v>
      </c>
      <c r="D36" s="1">
        <v>4</v>
      </c>
      <c r="E36" s="1">
        <v>1</v>
      </c>
      <c r="F36" s="1">
        <v>2</v>
      </c>
      <c r="G36" s="1" t="s">
        <v>26</v>
      </c>
      <c r="H36" s="1" t="s">
        <v>27</v>
      </c>
      <c r="I36" s="1">
        <v>3</v>
      </c>
      <c r="J36" s="1">
        <v>6</v>
      </c>
      <c r="K36" s="1">
        <v>40000</v>
      </c>
      <c r="L36" s="1">
        <v>100000</v>
      </c>
      <c r="M36" s="1">
        <v>3</v>
      </c>
      <c r="N36" s="1">
        <v>3</v>
      </c>
      <c r="O36" s="1">
        <v>3</v>
      </c>
      <c r="P36" s="1">
        <v>3</v>
      </c>
      <c r="Q36" s="10" t="s">
        <v>62</v>
      </c>
      <c r="R36" s="1" t="s">
        <v>29</v>
      </c>
      <c r="S36" s="1" t="s">
        <v>63</v>
      </c>
      <c r="T36" s="1" t="s">
        <v>55</v>
      </c>
    </row>
    <row r="37" spans="1:20" ht="15.75" customHeight="1" x14ac:dyDescent="0.25">
      <c r="A37" s="3">
        <v>44257.450847719912</v>
      </c>
      <c r="B37" s="1" t="s">
        <v>38</v>
      </c>
      <c r="C37" s="1">
        <v>21</v>
      </c>
      <c r="D37" s="1">
        <v>5</v>
      </c>
      <c r="E37" s="1">
        <v>3</v>
      </c>
      <c r="F37" s="1">
        <v>5</v>
      </c>
      <c r="G37" s="1" t="s">
        <v>26</v>
      </c>
      <c r="H37" s="1" t="s">
        <v>26</v>
      </c>
      <c r="I37" s="1">
        <v>1</v>
      </c>
      <c r="J37" s="1">
        <v>3</v>
      </c>
      <c r="K37" s="1">
        <v>20000</v>
      </c>
      <c r="L37" s="1">
        <v>40000</v>
      </c>
      <c r="M37" s="1">
        <v>4</v>
      </c>
      <c r="N37" s="1">
        <v>4</v>
      </c>
      <c r="O37" s="1">
        <v>5</v>
      </c>
      <c r="P37" s="1">
        <v>5</v>
      </c>
      <c r="Q37" s="1" t="s">
        <v>33</v>
      </c>
      <c r="R37" s="1" t="s">
        <v>33</v>
      </c>
      <c r="S37" s="1" t="s">
        <v>34</v>
      </c>
      <c r="T37" s="1" t="s">
        <v>34</v>
      </c>
    </row>
    <row r="38" spans="1:20" ht="15.75" customHeight="1" x14ac:dyDescent="0.25">
      <c r="A38" s="3">
        <v>44257.636590023147</v>
      </c>
      <c r="B38" s="1" t="s">
        <v>38</v>
      </c>
      <c r="C38" s="1">
        <v>21</v>
      </c>
      <c r="D38" s="1">
        <v>3</v>
      </c>
      <c r="E38" s="1">
        <v>0</v>
      </c>
      <c r="F38" s="1">
        <v>2</v>
      </c>
      <c r="G38" s="1" t="s">
        <v>26</v>
      </c>
      <c r="H38" s="1" t="s">
        <v>26</v>
      </c>
      <c r="I38" s="1">
        <v>0</v>
      </c>
      <c r="J38" s="1">
        <v>1</v>
      </c>
      <c r="K38" s="1">
        <v>0</v>
      </c>
      <c r="L38" s="1">
        <v>100000</v>
      </c>
      <c r="M38" s="1">
        <v>3</v>
      </c>
      <c r="N38" s="1">
        <v>2</v>
      </c>
      <c r="O38" s="1">
        <v>3</v>
      </c>
      <c r="P38" s="1">
        <v>4</v>
      </c>
      <c r="Q38" s="1" t="s">
        <v>33</v>
      </c>
      <c r="R38" s="1" t="s">
        <v>29</v>
      </c>
      <c r="S38" s="1" t="s">
        <v>24</v>
      </c>
      <c r="T38" s="1" t="s">
        <v>30</v>
      </c>
    </row>
    <row r="39" spans="1:20" ht="15.75" customHeight="1" x14ac:dyDescent="0.25">
      <c r="A39" s="3">
        <v>44257.811916145831</v>
      </c>
      <c r="B39" s="1" t="s">
        <v>20</v>
      </c>
      <c r="C39" s="1">
        <v>21</v>
      </c>
      <c r="D39" s="1">
        <v>4</v>
      </c>
      <c r="E39" s="1">
        <v>1</v>
      </c>
      <c r="F39" s="1">
        <v>2</v>
      </c>
      <c r="G39" s="1" t="s">
        <v>26</v>
      </c>
      <c r="H39" s="1" t="s">
        <v>27</v>
      </c>
      <c r="I39" s="1">
        <v>3</v>
      </c>
      <c r="J39" s="1">
        <v>6</v>
      </c>
      <c r="K39" s="1">
        <v>40000</v>
      </c>
      <c r="L39" s="1">
        <v>100000</v>
      </c>
      <c r="M39" s="1">
        <v>3</v>
      </c>
      <c r="N39" s="1">
        <v>3</v>
      </c>
      <c r="O39" s="1">
        <v>3</v>
      </c>
      <c r="P39" s="1">
        <v>3</v>
      </c>
      <c r="Q39" s="10" t="s">
        <v>62</v>
      </c>
      <c r="R39" s="1" t="s">
        <v>29</v>
      </c>
      <c r="S39" s="1" t="s">
        <v>63</v>
      </c>
      <c r="T39" s="1" t="s">
        <v>55</v>
      </c>
    </row>
    <row r="40" spans="1:20" ht="15.75" customHeight="1" x14ac:dyDescent="0.25">
      <c r="A40" s="3">
        <v>44258.663335462959</v>
      </c>
      <c r="B40" s="1" t="s">
        <v>20</v>
      </c>
      <c r="C40" s="1">
        <v>22</v>
      </c>
      <c r="D40" s="1">
        <v>4</v>
      </c>
      <c r="E40" s="1">
        <v>2</v>
      </c>
      <c r="F40" s="1">
        <v>3</v>
      </c>
      <c r="G40" s="1" t="s">
        <v>32</v>
      </c>
      <c r="H40" s="1" t="s">
        <v>32</v>
      </c>
      <c r="I40" s="1">
        <v>3</v>
      </c>
      <c r="J40" s="1">
        <v>10</v>
      </c>
      <c r="K40" s="1">
        <v>100000</v>
      </c>
      <c r="L40" s="1">
        <v>200000</v>
      </c>
      <c r="M40" s="1">
        <v>3</v>
      </c>
      <c r="N40" s="1">
        <v>3</v>
      </c>
      <c r="O40" s="1">
        <v>3</v>
      </c>
      <c r="P40" s="1">
        <v>4</v>
      </c>
      <c r="Q40" s="1" t="s">
        <v>33</v>
      </c>
      <c r="R40" s="1" t="s">
        <v>33</v>
      </c>
      <c r="S40" s="1" t="s">
        <v>34</v>
      </c>
      <c r="T40" s="1" t="s">
        <v>55</v>
      </c>
    </row>
    <row r="41" spans="1:20" ht="15.75" customHeight="1" x14ac:dyDescent="0.25">
      <c r="A41" s="3">
        <v>44258.66576300926</v>
      </c>
      <c r="B41" s="1" t="s">
        <v>20</v>
      </c>
      <c r="C41" s="1">
        <v>22</v>
      </c>
      <c r="D41" s="1">
        <v>5</v>
      </c>
      <c r="E41" s="1">
        <v>0</v>
      </c>
      <c r="F41" s="1">
        <v>1</v>
      </c>
      <c r="G41" s="1" t="s">
        <v>26</v>
      </c>
      <c r="H41" s="1" t="s">
        <v>27</v>
      </c>
      <c r="I41" s="1">
        <v>0</v>
      </c>
      <c r="J41" s="1">
        <v>13</v>
      </c>
      <c r="K41" s="1">
        <v>40000</v>
      </c>
      <c r="L41" s="1">
        <v>500000</v>
      </c>
      <c r="M41" s="1">
        <v>3</v>
      </c>
      <c r="N41" s="1">
        <v>5</v>
      </c>
      <c r="O41" s="1">
        <v>2</v>
      </c>
      <c r="P41" s="1">
        <v>4</v>
      </c>
      <c r="Q41" s="1" t="s">
        <v>22</v>
      </c>
      <c r="R41" s="9" t="s">
        <v>22</v>
      </c>
      <c r="S41" s="1" t="s">
        <v>25</v>
      </c>
      <c r="T41" s="1" t="s">
        <v>25</v>
      </c>
    </row>
    <row r="42" spans="1:20" ht="15.75" customHeight="1" x14ac:dyDescent="0.25">
      <c r="A42" s="3">
        <v>44258.665859502318</v>
      </c>
      <c r="B42" s="1" t="s">
        <v>20</v>
      </c>
      <c r="C42" s="1">
        <v>22</v>
      </c>
      <c r="D42" s="1">
        <v>4</v>
      </c>
      <c r="E42" s="1">
        <v>3</v>
      </c>
      <c r="F42" s="1">
        <v>4</v>
      </c>
      <c r="G42" s="1" t="s">
        <v>32</v>
      </c>
      <c r="H42" s="1" t="s">
        <v>27</v>
      </c>
      <c r="I42" s="1">
        <v>4</v>
      </c>
      <c r="J42" s="1">
        <v>4</v>
      </c>
      <c r="K42" s="1">
        <v>150000</v>
      </c>
      <c r="L42" s="1">
        <v>200000</v>
      </c>
      <c r="M42" s="1">
        <v>4</v>
      </c>
      <c r="N42" s="1">
        <v>3</v>
      </c>
      <c r="O42" s="1">
        <v>4</v>
      </c>
      <c r="P42" s="1">
        <v>3</v>
      </c>
      <c r="Q42" s="1" t="s">
        <v>33</v>
      </c>
      <c r="R42" s="1" t="s">
        <v>33</v>
      </c>
      <c r="S42" s="1" t="s">
        <v>30</v>
      </c>
      <c r="T42" s="1" t="s">
        <v>30</v>
      </c>
    </row>
    <row r="43" spans="1:20" ht="15.75" customHeight="1" x14ac:dyDescent="0.25">
      <c r="A43" s="3">
        <v>44258.665965011576</v>
      </c>
      <c r="B43" s="1" t="s">
        <v>20</v>
      </c>
      <c r="C43" s="1">
        <v>23</v>
      </c>
      <c r="D43" s="1">
        <v>3</v>
      </c>
      <c r="E43" s="1">
        <v>2</v>
      </c>
      <c r="F43" s="1">
        <v>2</v>
      </c>
      <c r="G43" s="1" t="s">
        <v>26</v>
      </c>
      <c r="H43" s="1" t="s">
        <v>27</v>
      </c>
      <c r="I43" s="1">
        <v>1</v>
      </c>
      <c r="J43" s="1">
        <v>1</v>
      </c>
      <c r="K43" s="1">
        <v>300000</v>
      </c>
      <c r="L43" s="1">
        <v>300000</v>
      </c>
      <c r="M43" s="1">
        <v>3</v>
      </c>
      <c r="N43" s="1">
        <v>2</v>
      </c>
      <c r="O43" s="1">
        <v>3</v>
      </c>
      <c r="P43" s="1">
        <v>3</v>
      </c>
      <c r="Q43" s="1" t="s">
        <v>33</v>
      </c>
      <c r="R43" s="1" t="s">
        <v>33</v>
      </c>
      <c r="S43" s="1" t="s">
        <v>55</v>
      </c>
      <c r="T43" s="1" t="s">
        <v>25</v>
      </c>
    </row>
    <row r="44" spans="1:20" ht="15.75" customHeight="1" x14ac:dyDescent="0.25">
      <c r="A44" s="3">
        <v>44258.667158101853</v>
      </c>
      <c r="B44" s="1" t="s">
        <v>20</v>
      </c>
      <c r="C44" s="1">
        <v>24</v>
      </c>
      <c r="D44" s="1">
        <v>5</v>
      </c>
      <c r="E44" s="1">
        <v>1</v>
      </c>
      <c r="F44" s="1">
        <v>2</v>
      </c>
      <c r="G44" s="1" t="s">
        <v>26</v>
      </c>
      <c r="H44" s="1" t="s">
        <v>32</v>
      </c>
      <c r="I44" s="11">
        <v>4</v>
      </c>
      <c r="J44" s="1">
        <v>15</v>
      </c>
      <c r="K44" s="1">
        <v>50000</v>
      </c>
      <c r="L44" s="1">
        <v>200000</v>
      </c>
      <c r="M44" s="1">
        <v>3</v>
      </c>
      <c r="N44" s="1">
        <v>4</v>
      </c>
      <c r="O44" s="1">
        <v>4</v>
      </c>
      <c r="P44" s="1">
        <v>5</v>
      </c>
      <c r="Q44" s="1" t="s">
        <v>22</v>
      </c>
      <c r="R44" s="9" t="s">
        <v>22</v>
      </c>
      <c r="S44" s="1" t="s">
        <v>25</v>
      </c>
      <c r="T44" s="1" t="s">
        <v>34</v>
      </c>
    </row>
    <row r="45" spans="1:20" ht="15.75" customHeight="1" x14ac:dyDescent="0.25">
      <c r="A45" s="3">
        <v>44258.668107442129</v>
      </c>
      <c r="B45" s="1" t="s">
        <v>20</v>
      </c>
      <c r="C45" s="1">
        <v>24</v>
      </c>
      <c r="D45" s="1">
        <v>4</v>
      </c>
      <c r="E45" s="1">
        <v>0</v>
      </c>
      <c r="F45" s="1">
        <v>0</v>
      </c>
      <c r="G45" s="1" t="s">
        <v>21</v>
      </c>
      <c r="H45" s="1" t="s">
        <v>21</v>
      </c>
      <c r="I45" s="1">
        <v>1</v>
      </c>
      <c r="J45" s="1">
        <v>5</v>
      </c>
      <c r="K45" s="1">
        <v>20000</v>
      </c>
      <c r="L45" s="1">
        <v>60000</v>
      </c>
      <c r="M45" s="1">
        <v>1</v>
      </c>
      <c r="N45" s="1">
        <v>4</v>
      </c>
      <c r="O45" s="1">
        <v>4</v>
      </c>
      <c r="P45" s="1">
        <v>4</v>
      </c>
      <c r="Q45" s="1" t="s">
        <v>37</v>
      </c>
      <c r="R45" s="1" t="s">
        <v>29</v>
      </c>
      <c r="S45" s="1" t="s">
        <v>30</v>
      </c>
      <c r="T45" s="1" t="s">
        <v>25</v>
      </c>
    </row>
    <row r="46" spans="1:20" ht="15.75" customHeight="1" x14ac:dyDescent="0.25">
      <c r="A46" s="3">
        <v>44258.668804421293</v>
      </c>
      <c r="B46" s="1" t="s">
        <v>38</v>
      </c>
      <c r="C46" s="1">
        <v>24</v>
      </c>
      <c r="D46" s="1">
        <v>2</v>
      </c>
      <c r="E46" s="1">
        <v>2</v>
      </c>
      <c r="F46" s="1">
        <v>3</v>
      </c>
      <c r="G46" s="1" t="s">
        <v>21</v>
      </c>
      <c r="H46" s="1" t="s">
        <v>21</v>
      </c>
      <c r="I46" s="1">
        <v>3</v>
      </c>
      <c r="J46" s="1">
        <v>4</v>
      </c>
      <c r="K46" s="1">
        <v>100000</v>
      </c>
      <c r="L46" s="1">
        <v>100000</v>
      </c>
      <c r="M46" s="1">
        <v>4</v>
      </c>
      <c r="N46" s="1">
        <v>4</v>
      </c>
      <c r="O46" s="1">
        <v>4</v>
      </c>
      <c r="P46" s="1">
        <v>4</v>
      </c>
      <c r="Q46" s="1" t="s">
        <v>33</v>
      </c>
      <c r="R46" s="1" t="s">
        <v>33</v>
      </c>
      <c r="S46" s="1" t="s">
        <v>34</v>
      </c>
      <c r="T46" s="1" t="s">
        <v>34</v>
      </c>
    </row>
    <row r="47" spans="1:20" ht="15.75" customHeight="1" x14ac:dyDescent="0.25">
      <c r="A47" s="3">
        <v>44258.673920254631</v>
      </c>
      <c r="B47" s="1" t="s">
        <v>20</v>
      </c>
      <c r="C47" s="1">
        <v>26</v>
      </c>
      <c r="D47" s="1">
        <v>4</v>
      </c>
      <c r="E47" s="1">
        <v>1</v>
      </c>
      <c r="F47" s="1">
        <v>3</v>
      </c>
      <c r="G47" s="1" t="s">
        <v>26</v>
      </c>
      <c r="H47" s="1" t="s">
        <v>27</v>
      </c>
      <c r="I47" s="1">
        <v>2</v>
      </c>
      <c r="J47" s="1">
        <v>15</v>
      </c>
      <c r="K47" s="1">
        <v>20000</v>
      </c>
      <c r="L47" s="1">
        <v>100000</v>
      </c>
      <c r="M47" s="1">
        <v>5</v>
      </c>
      <c r="N47" s="1">
        <v>5</v>
      </c>
      <c r="O47" s="1">
        <v>5</v>
      </c>
      <c r="P47" s="1">
        <v>5</v>
      </c>
      <c r="Q47" s="1" t="s">
        <v>33</v>
      </c>
      <c r="R47" s="9" t="s">
        <v>22</v>
      </c>
      <c r="S47" s="1" t="s">
        <v>61</v>
      </c>
      <c r="T47" s="1" t="s">
        <v>24</v>
      </c>
    </row>
    <row r="48" spans="1:20" ht="15.75" customHeight="1" x14ac:dyDescent="0.25">
      <c r="A48" s="3">
        <v>44258.679450671298</v>
      </c>
      <c r="B48" s="1" t="s">
        <v>20</v>
      </c>
      <c r="C48" s="1">
        <v>27</v>
      </c>
      <c r="D48" s="1">
        <v>5</v>
      </c>
      <c r="E48" s="1">
        <v>2</v>
      </c>
      <c r="F48" s="1">
        <v>2</v>
      </c>
      <c r="G48" s="1" t="s">
        <v>27</v>
      </c>
      <c r="H48" s="1" t="s">
        <v>27</v>
      </c>
      <c r="I48" s="1">
        <v>1</v>
      </c>
      <c r="J48" s="1">
        <v>10</v>
      </c>
      <c r="K48" s="1">
        <v>100000</v>
      </c>
      <c r="L48" s="1">
        <v>600000</v>
      </c>
      <c r="M48" s="1">
        <v>2</v>
      </c>
      <c r="N48" s="1">
        <v>4</v>
      </c>
      <c r="O48" s="1">
        <v>3</v>
      </c>
      <c r="P48" s="1">
        <v>4</v>
      </c>
      <c r="Q48" s="1" t="s">
        <v>22</v>
      </c>
      <c r="R48" s="1" t="s">
        <v>64</v>
      </c>
      <c r="S48" s="1" t="s">
        <v>25</v>
      </c>
      <c r="T48" s="1" t="s">
        <v>33</v>
      </c>
    </row>
    <row r="49" spans="1:20" ht="15.75" customHeight="1" x14ac:dyDescent="0.25">
      <c r="A49" s="3">
        <v>44258.702207905095</v>
      </c>
      <c r="B49" s="1" t="s">
        <v>20</v>
      </c>
      <c r="C49" s="1">
        <v>27</v>
      </c>
      <c r="D49" s="1">
        <v>4</v>
      </c>
      <c r="E49" s="1">
        <v>2</v>
      </c>
      <c r="F49" s="1">
        <v>1</v>
      </c>
      <c r="G49" s="1" t="s">
        <v>21</v>
      </c>
      <c r="H49" s="1" t="s">
        <v>27</v>
      </c>
      <c r="I49" s="1">
        <v>10</v>
      </c>
      <c r="J49" s="1">
        <v>6</v>
      </c>
      <c r="K49" s="1">
        <v>200000</v>
      </c>
      <c r="L49" s="1">
        <v>80000</v>
      </c>
      <c r="M49" s="1">
        <v>3</v>
      </c>
      <c r="N49" s="1">
        <v>4</v>
      </c>
      <c r="O49" s="1">
        <v>3</v>
      </c>
      <c r="P49" s="1">
        <v>4</v>
      </c>
      <c r="Q49" s="1" t="s">
        <v>22</v>
      </c>
      <c r="R49" s="9" t="s">
        <v>22</v>
      </c>
      <c r="S49" s="1" t="s">
        <v>30</v>
      </c>
      <c r="T49" s="1" t="s">
        <v>30</v>
      </c>
    </row>
    <row r="50" spans="1:20" ht="15.75" customHeight="1" x14ac:dyDescent="0.25">
      <c r="A50" s="3">
        <v>44258.843144293976</v>
      </c>
      <c r="B50" s="1" t="s">
        <v>38</v>
      </c>
      <c r="C50" s="1">
        <v>27</v>
      </c>
      <c r="D50" s="1">
        <v>2</v>
      </c>
      <c r="E50" s="1">
        <v>2</v>
      </c>
      <c r="F50" s="1">
        <v>2</v>
      </c>
      <c r="G50" s="1" t="s">
        <v>27</v>
      </c>
      <c r="H50" s="1" t="s">
        <v>27</v>
      </c>
      <c r="I50" s="1">
        <v>0</v>
      </c>
      <c r="J50" s="1">
        <v>6</v>
      </c>
      <c r="K50" s="1">
        <v>0</v>
      </c>
      <c r="L50" s="1">
        <v>100000</v>
      </c>
      <c r="M50" s="1">
        <v>3</v>
      </c>
      <c r="N50" s="1">
        <v>3</v>
      </c>
      <c r="O50" s="1">
        <v>4</v>
      </c>
      <c r="P50" s="1">
        <v>4</v>
      </c>
      <c r="Q50" s="1" t="s">
        <v>33</v>
      </c>
      <c r="R50" s="1" t="s">
        <v>33</v>
      </c>
      <c r="S50" s="1" t="s">
        <v>25</v>
      </c>
      <c r="T50" s="1" t="s">
        <v>25</v>
      </c>
    </row>
    <row r="51" spans="1:20" ht="15.75" customHeight="1" x14ac:dyDescent="0.25">
      <c r="A51" s="3">
        <v>44258.880475231483</v>
      </c>
      <c r="B51" s="1" t="s">
        <v>20</v>
      </c>
      <c r="C51" s="1">
        <v>27</v>
      </c>
      <c r="D51" s="1">
        <v>5</v>
      </c>
      <c r="E51" s="1">
        <v>2</v>
      </c>
      <c r="F51" s="1">
        <v>4</v>
      </c>
      <c r="G51" s="1" t="s">
        <v>32</v>
      </c>
      <c r="H51" s="1" t="s">
        <v>32</v>
      </c>
      <c r="I51" s="1">
        <v>1</v>
      </c>
      <c r="J51" s="1">
        <v>3</v>
      </c>
      <c r="K51" s="1">
        <v>50000</v>
      </c>
      <c r="L51" s="1">
        <v>100000</v>
      </c>
      <c r="M51" s="1">
        <v>4</v>
      </c>
      <c r="N51" s="1">
        <v>4</v>
      </c>
      <c r="O51" s="1">
        <v>4</v>
      </c>
      <c r="P51" s="1">
        <v>4</v>
      </c>
      <c r="Q51" s="1" t="s">
        <v>33</v>
      </c>
      <c r="R51" s="1" t="s">
        <v>33</v>
      </c>
      <c r="S51" s="1" t="s">
        <v>55</v>
      </c>
      <c r="T51" s="1" t="s">
        <v>55</v>
      </c>
    </row>
    <row r="52" spans="1:20" ht="15.75" customHeight="1" x14ac:dyDescent="0.25">
      <c r="A52" s="3">
        <v>44258.958702430551</v>
      </c>
      <c r="B52" s="1" t="s">
        <v>20</v>
      </c>
      <c r="C52" s="1">
        <v>28</v>
      </c>
      <c r="D52" s="1">
        <v>4</v>
      </c>
      <c r="E52" s="1">
        <v>3</v>
      </c>
      <c r="F52" s="1">
        <v>4</v>
      </c>
      <c r="G52" s="1" t="s">
        <v>26</v>
      </c>
      <c r="H52" s="1" t="s">
        <v>27</v>
      </c>
      <c r="I52" s="1">
        <v>0</v>
      </c>
      <c r="J52" s="1">
        <v>30</v>
      </c>
      <c r="K52" s="1">
        <v>0</v>
      </c>
      <c r="L52" s="1">
        <v>500000</v>
      </c>
      <c r="M52" s="1">
        <v>3</v>
      </c>
      <c r="N52" s="1">
        <v>3</v>
      </c>
      <c r="O52" s="1">
        <v>3</v>
      </c>
      <c r="P52" s="1">
        <v>3</v>
      </c>
      <c r="Q52" s="1" t="s">
        <v>33</v>
      </c>
      <c r="R52" s="9" t="s">
        <v>35</v>
      </c>
      <c r="S52" s="1" t="s">
        <v>55</v>
      </c>
      <c r="T52" s="1" t="s">
        <v>33</v>
      </c>
    </row>
    <row r="53" spans="1:20" ht="15.75" customHeight="1" x14ac:dyDescent="0.25">
      <c r="A53" s="3">
        <v>44259.307093819443</v>
      </c>
      <c r="B53" s="1" t="s">
        <v>20</v>
      </c>
      <c r="C53" s="1">
        <v>28</v>
      </c>
      <c r="D53" s="1">
        <v>5</v>
      </c>
      <c r="E53" s="1">
        <v>1</v>
      </c>
      <c r="F53" s="1">
        <v>4</v>
      </c>
      <c r="G53" s="1" t="s">
        <v>26</v>
      </c>
      <c r="H53" s="1" t="s">
        <v>27</v>
      </c>
      <c r="I53" s="1">
        <v>1</v>
      </c>
      <c r="J53" s="1">
        <v>10</v>
      </c>
      <c r="K53" s="1">
        <v>30000</v>
      </c>
      <c r="L53" s="1">
        <v>100000</v>
      </c>
      <c r="M53" s="1">
        <v>2</v>
      </c>
      <c r="N53" s="1">
        <v>5</v>
      </c>
      <c r="O53" s="1">
        <v>3</v>
      </c>
      <c r="P53" s="1">
        <v>5</v>
      </c>
      <c r="Q53" s="5" t="s">
        <v>39</v>
      </c>
      <c r="R53" s="1" t="s">
        <v>29</v>
      </c>
      <c r="S53" s="1" t="s">
        <v>39</v>
      </c>
      <c r="T53" s="1" t="s">
        <v>30</v>
      </c>
    </row>
    <row r="54" spans="1:20" ht="15.75" customHeight="1" x14ac:dyDescent="0.25">
      <c r="A54" s="3">
        <v>44259.321298738425</v>
      </c>
      <c r="B54" s="1" t="s">
        <v>20</v>
      </c>
      <c r="C54" s="1">
        <v>28</v>
      </c>
      <c r="D54" s="1">
        <v>5</v>
      </c>
      <c r="E54" s="1">
        <v>2</v>
      </c>
      <c r="F54" s="1">
        <v>3</v>
      </c>
      <c r="G54" s="1" t="s">
        <v>26</v>
      </c>
      <c r="H54" s="1" t="s">
        <v>32</v>
      </c>
      <c r="I54" s="1">
        <v>6</v>
      </c>
      <c r="J54" s="1">
        <v>8</v>
      </c>
      <c r="K54" s="1">
        <v>300000</v>
      </c>
      <c r="L54" s="1">
        <v>350000</v>
      </c>
      <c r="M54" s="1">
        <v>4</v>
      </c>
      <c r="N54" s="1">
        <v>3</v>
      </c>
      <c r="O54" s="1">
        <v>5</v>
      </c>
      <c r="P54" s="1">
        <v>4</v>
      </c>
      <c r="Q54" s="1" t="s">
        <v>22</v>
      </c>
      <c r="R54" s="9" t="s">
        <v>22</v>
      </c>
      <c r="S54" s="1" t="s">
        <v>30</v>
      </c>
      <c r="T54" s="1" t="s">
        <v>61</v>
      </c>
    </row>
    <row r="55" spans="1:20" ht="15.75" customHeight="1" x14ac:dyDescent="0.25">
      <c r="A55" s="3">
        <v>44259.339974479168</v>
      </c>
      <c r="B55" s="1" t="s">
        <v>20</v>
      </c>
      <c r="C55" s="1">
        <v>28</v>
      </c>
      <c r="D55" s="1">
        <v>5</v>
      </c>
      <c r="E55" s="1">
        <v>1</v>
      </c>
      <c r="F55" s="1">
        <v>3</v>
      </c>
      <c r="G55" s="1" t="s">
        <v>26</v>
      </c>
      <c r="H55" s="1" t="s">
        <v>26</v>
      </c>
      <c r="I55" s="1">
        <v>0</v>
      </c>
      <c r="J55" s="1">
        <v>1</v>
      </c>
      <c r="K55" s="1">
        <v>0</v>
      </c>
      <c r="L55" s="1">
        <v>20000</v>
      </c>
      <c r="M55" s="1">
        <v>3</v>
      </c>
      <c r="N55" s="1">
        <v>3</v>
      </c>
      <c r="O55" s="1">
        <v>3</v>
      </c>
      <c r="P55" s="1">
        <v>3</v>
      </c>
      <c r="Q55" s="1" t="s">
        <v>33</v>
      </c>
      <c r="R55" s="1" t="s">
        <v>33</v>
      </c>
      <c r="S55" s="1" t="s">
        <v>25</v>
      </c>
      <c r="T55" s="1" t="s">
        <v>33</v>
      </c>
    </row>
    <row r="56" spans="1:20" ht="15.75" customHeight="1" x14ac:dyDescent="0.25">
      <c r="A56" s="3">
        <v>44259.344048993051</v>
      </c>
      <c r="B56" s="1" t="s">
        <v>20</v>
      </c>
      <c r="C56" s="1">
        <v>29</v>
      </c>
      <c r="D56" s="1">
        <v>4</v>
      </c>
      <c r="E56" s="1">
        <v>0</v>
      </c>
      <c r="F56" s="1">
        <v>1</v>
      </c>
      <c r="G56" s="1" t="s">
        <v>26</v>
      </c>
      <c r="H56" s="1" t="s">
        <v>27</v>
      </c>
      <c r="I56" s="1">
        <v>1</v>
      </c>
      <c r="J56" s="1">
        <v>5</v>
      </c>
      <c r="K56" s="1">
        <v>0</v>
      </c>
      <c r="L56" s="1">
        <v>50000</v>
      </c>
      <c r="M56" s="1">
        <v>4</v>
      </c>
      <c r="N56" s="1">
        <v>5</v>
      </c>
      <c r="O56" s="1">
        <v>5</v>
      </c>
      <c r="P56" s="1">
        <v>5</v>
      </c>
      <c r="Q56" s="1" t="s">
        <v>65</v>
      </c>
      <c r="R56" s="1" t="s">
        <v>22</v>
      </c>
      <c r="S56" s="1" t="s">
        <v>30</v>
      </c>
      <c r="T56" s="1" t="s">
        <v>30</v>
      </c>
    </row>
    <row r="57" spans="1:20" ht="15.75" customHeight="1" x14ac:dyDescent="0.25">
      <c r="A57" s="3">
        <v>44259.344844293984</v>
      </c>
      <c r="B57" s="1" t="s">
        <v>20</v>
      </c>
      <c r="C57" s="1">
        <v>23</v>
      </c>
      <c r="D57" s="1">
        <v>4</v>
      </c>
      <c r="E57" s="1">
        <v>0</v>
      </c>
      <c r="F57" s="1">
        <v>1</v>
      </c>
      <c r="G57" s="1" t="s">
        <v>26</v>
      </c>
      <c r="H57" s="1" t="s">
        <v>27</v>
      </c>
      <c r="I57" s="1">
        <v>1</v>
      </c>
      <c r="J57" s="1">
        <v>5</v>
      </c>
      <c r="K57" s="1">
        <v>0</v>
      </c>
      <c r="L57" s="1">
        <v>50000</v>
      </c>
      <c r="M57" s="1">
        <v>4</v>
      </c>
      <c r="N57" s="1">
        <v>5</v>
      </c>
      <c r="O57" s="1">
        <v>5</v>
      </c>
      <c r="P57" s="1">
        <v>5</v>
      </c>
      <c r="Q57" s="1" t="s">
        <v>65</v>
      </c>
      <c r="R57" s="1" t="s">
        <v>22</v>
      </c>
      <c r="S57" s="1" t="s">
        <v>30</v>
      </c>
      <c r="T57" s="1" t="s">
        <v>30</v>
      </c>
    </row>
    <row r="58" spans="1:20" ht="15.75" customHeight="1" x14ac:dyDescent="0.25">
      <c r="A58" s="3">
        <v>44259.348261006948</v>
      </c>
      <c r="B58" s="1" t="s">
        <v>20</v>
      </c>
      <c r="C58" s="1">
        <v>24</v>
      </c>
      <c r="D58" s="1">
        <v>5</v>
      </c>
      <c r="E58" s="1">
        <v>3</v>
      </c>
      <c r="F58" s="1">
        <v>5</v>
      </c>
      <c r="G58" s="1" t="s">
        <v>32</v>
      </c>
      <c r="H58" s="1" t="s">
        <v>27</v>
      </c>
      <c r="I58" s="11">
        <v>2</v>
      </c>
      <c r="J58" s="11">
        <v>7</v>
      </c>
      <c r="K58" s="1">
        <v>200000</v>
      </c>
      <c r="L58" s="1">
        <v>500000</v>
      </c>
      <c r="M58" s="1">
        <v>3</v>
      </c>
      <c r="N58" s="1">
        <v>4</v>
      </c>
      <c r="O58" s="1">
        <v>3</v>
      </c>
      <c r="P58" s="1">
        <v>5</v>
      </c>
      <c r="Q58" s="1" t="s">
        <v>33</v>
      </c>
      <c r="R58" s="9" t="s">
        <v>35</v>
      </c>
      <c r="S58" s="1" t="s">
        <v>66</v>
      </c>
      <c r="T58" s="1" t="s">
        <v>49</v>
      </c>
    </row>
    <row r="59" spans="1:20" ht="15.75" customHeight="1" x14ac:dyDescent="0.25">
      <c r="A59" s="3">
        <v>44259.361131053243</v>
      </c>
      <c r="B59" s="1" t="s">
        <v>20</v>
      </c>
      <c r="C59" s="1">
        <v>21</v>
      </c>
      <c r="D59" s="1">
        <v>3</v>
      </c>
      <c r="E59" s="1">
        <v>2</v>
      </c>
      <c r="F59" s="1">
        <v>2</v>
      </c>
      <c r="G59" s="1" t="s">
        <v>32</v>
      </c>
      <c r="H59" s="1" t="s">
        <v>32</v>
      </c>
      <c r="I59" s="1">
        <v>0</v>
      </c>
      <c r="J59" s="11">
        <v>2</v>
      </c>
      <c r="K59" s="1">
        <v>0</v>
      </c>
      <c r="L59" s="1">
        <v>50000</v>
      </c>
      <c r="M59" s="1">
        <v>3</v>
      </c>
      <c r="N59" s="1">
        <v>3</v>
      </c>
      <c r="O59" s="1">
        <v>3</v>
      </c>
      <c r="P59" s="1">
        <v>3</v>
      </c>
      <c r="Q59" s="1" t="s">
        <v>33</v>
      </c>
      <c r="R59" s="1" t="s">
        <v>33</v>
      </c>
      <c r="S59" s="1" t="s">
        <v>25</v>
      </c>
      <c r="T59" s="1" t="s">
        <v>25</v>
      </c>
    </row>
    <row r="60" spans="1:20" ht="15.75" customHeight="1" x14ac:dyDescent="0.25">
      <c r="A60" s="3">
        <v>44259.422525150461</v>
      </c>
      <c r="B60" s="1" t="s">
        <v>20</v>
      </c>
      <c r="C60" s="1">
        <v>28</v>
      </c>
      <c r="D60" s="1">
        <v>6</v>
      </c>
      <c r="E60" s="1">
        <v>2</v>
      </c>
      <c r="F60" s="1">
        <v>3</v>
      </c>
      <c r="G60" s="1" t="s">
        <v>26</v>
      </c>
      <c r="H60" s="1" t="s">
        <v>27</v>
      </c>
      <c r="I60" s="1">
        <v>0</v>
      </c>
      <c r="J60" s="1">
        <v>5</v>
      </c>
      <c r="K60" s="1">
        <v>0</v>
      </c>
      <c r="L60" s="1">
        <v>120000</v>
      </c>
      <c r="M60" s="1">
        <v>4</v>
      </c>
      <c r="N60" s="1">
        <v>4</v>
      </c>
      <c r="O60" s="1">
        <v>4</v>
      </c>
      <c r="P60" s="1">
        <v>4</v>
      </c>
      <c r="Q60" s="1" t="s">
        <v>22</v>
      </c>
      <c r="R60" s="1" t="s">
        <v>33</v>
      </c>
      <c r="S60" s="1" t="s">
        <v>55</v>
      </c>
      <c r="T60" s="1" t="s">
        <v>34</v>
      </c>
    </row>
    <row r="61" spans="1:20" ht="15.75" customHeight="1" x14ac:dyDescent="0.25">
      <c r="A61" s="3">
        <v>44259.50277204861</v>
      </c>
      <c r="B61" s="1" t="s">
        <v>38</v>
      </c>
      <c r="C61" s="1">
        <v>30</v>
      </c>
      <c r="D61" s="1">
        <v>3</v>
      </c>
      <c r="E61" s="1">
        <v>0</v>
      </c>
      <c r="F61" s="1">
        <v>2</v>
      </c>
      <c r="G61" s="1" t="s">
        <v>26</v>
      </c>
      <c r="H61" s="1" t="s">
        <v>26</v>
      </c>
      <c r="I61" s="1">
        <v>0</v>
      </c>
      <c r="J61" s="1">
        <v>1</v>
      </c>
      <c r="K61" s="1">
        <v>0</v>
      </c>
      <c r="L61" s="1">
        <v>100000</v>
      </c>
      <c r="M61" s="1">
        <v>3</v>
      </c>
      <c r="N61" s="1">
        <v>2</v>
      </c>
      <c r="O61" s="1">
        <v>3</v>
      </c>
      <c r="P61" s="1">
        <v>4</v>
      </c>
      <c r="Q61" s="1" t="s">
        <v>33</v>
      </c>
      <c r="R61" s="1" t="s">
        <v>29</v>
      </c>
      <c r="S61" s="1" t="s">
        <v>55</v>
      </c>
      <c r="T61" s="1" t="s">
        <v>30</v>
      </c>
    </row>
  </sheetData>
  <autoFilter ref="A1:T61" xr:uid="{8B618123-DE05-CA43-9BAE-AED430AE3AC2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565D-9502-427A-8A6C-62E5B9A6B86C}">
  <dimension ref="F6:AB66"/>
  <sheetViews>
    <sheetView topLeftCell="I25" zoomScale="85" zoomScaleNormal="85" workbookViewId="0">
      <selection activeCell="V50" sqref="V50"/>
    </sheetView>
  </sheetViews>
  <sheetFormatPr baseColWidth="10" defaultRowHeight="13.2" x14ac:dyDescent="0.25"/>
  <cols>
    <col min="6" max="7" width="29" customWidth="1"/>
    <col min="12" max="12" width="12.44140625" customWidth="1"/>
    <col min="19" max="19" width="12" customWidth="1"/>
    <col min="26" max="26" width="14.6640625" customWidth="1"/>
  </cols>
  <sheetData>
    <row r="6" spans="6:21" ht="79.2" x14ac:dyDescent="0.25">
      <c r="F6" s="10" t="s">
        <v>167</v>
      </c>
      <c r="G6" s="10" t="s">
        <v>168</v>
      </c>
    </row>
    <row r="7" spans="6:21" x14ac:dyDescent="0.25">
      <c r="F7" s="1">
        <v>5</v>
      </c>
      <c r="G7" s="1">
        <v>5</v>
      </c>
    </row>
    <row r="8" spans="6:21" x14ac:dyDescent="0.25">
      <c r="F8" s="1">
        <v>3</v>
      </c>
      <c r="G8" s="1">
        <v>3</v>
      </c>
    </row>
    <row r="9" spans="6:21" x14ac:dyDescent="0.25">
      <c r="F9" s="1">
        <v>4</v>
      </c>
      <c r="G9" s="1">
        <v>4</v>
      </c>
    </row>
    <row r="10" spans="6:21" ht="60" x14ac:dyDescent="0.25">
      <c r="F10" s="1">
        <v>4</v>
      </c>
      <c r="G10" s="1">
        <v>4</v>
      </c>
      <c r="L10" s="60" t="s">
        <v>169</v>
      </c>
      <c r="M10" s="12" t="s">
        <v>68</v>
      </c>
      <c r="N10" s="12" t="s">
        <v>69</v>
      </c>
      <c r="S10" s="60" t="s">
        <v>170</v>
      </c>
      <c r="T10" s="12" t="s">
        <v>68</v>
      </c>
      <c r="U10" s="12" t="s">
        <v>69</v>
      </c>
    </row>
    <row r="11" spans="6:21" ht="15" x14ac:dyDescent="0.25">
      <c r="F11" s="1">
        <v>4</v>
      </c>
      <c r="G11" s="1">
        <v>4</v>
      </c>
      <c r="L11" s="12">
        <v>1</v>
      </c>
      <c r="M11" s="12">
        <f>COUNTIF($F$7:$F$66,L11)</f>
        <v>1</v>
      </c>
      <c r="N11" s="13">
        <f>M11/$M$16</f>
        <v>1.6666666666666666E-2</v>
      </c>
      <c r="S11" s="12">
        <v>1</v>
      </c>
      <c r="T11" s="12">
        <f>COUNTIF($G$7:$G$66,S11)</f>
        <v>0</v>
      </c>
      <c r="U11" s="13">
        <f>T11/$T$16</f>
        <v>0</v>
      </c>
    </row>
    <row r="12" spans="6:21" ht="15" x14ac:dyDescent="0.25">
      <c r="F12" s="1">
        <v>4</v>
      </c>
      <c r="G12" s="1">
        <v>4</v>
      </c>
      <c r="L12" s="12">
        <v>2</v>
      </c>
      <c r="M12" s="12">
        <f>COUNTIF($F$7:$F$66,L12)</f>
        <v>1</v>
      </c>
      <c r="N12" s="13">
        <f>M12/$M$16</f>
        <v>1.6666666666666666E-2</v>
      </c>
      <c r="S12" s="12">
        <v>2</v>
      </c>
      <c r="T12" s="12">
        <f>COUNTIF($G$7:$G$66,S12)</f>
        <v>0</v>
      </c>
      <c r="U12" s="13">
        <f>T12/$T$16</f>
        <v>0</v>
      </c>
    </row>
    <row r="13" spans="6:21" ht="15" x14ac:dyDescent="0.25">
      <c r="F13" s="1">
        <v>5</v>
      </c>
      <c r="G13" s="1">
        <v>4</v>
      </c>
      <c r="L13" s="12">
        <v>3</v>
      </c>
      <c r="M13" s="12">
        <f>COUNTIF($F$7:$F$66,L13)</f>
        <v>21</v>
      </c>
      <c r="N13" s="13">
        <f>M13/$M$16</f>
        <v>0.35</v>
      </c>
      <c r="S13" s="12">
        <v>3</v>
      </c>
      <c r="T13" s="12">
        <f>COUNTIF($G$7:$G$66,S13)</f>
        <v>12</v>
      </c>
      <c r="U13" s="13">
        <f>T13/$T$16</f>
        <v>0.2</v>
      </c>
    </row>
    <row r="14" spans="6:21" ht="15" x14ac:dyDescent="0.25">
      <c r="F14" s="1">
        <v>4</v>
      </c>
      <c r="G14" s="1">
        <v>4</v>
      </c>
      <c r="L14" s="12">
        <v>4</v>
      </c>
      <c r="M14" s="12">
        <f>COUNTIF($F$7:$F$66,L14)</f>
        <v>25</v>
      </c>
      <c r="N14" s="13">
        <f>M14/$M$16</f>
        <v>0.41666666666666669</v>
      </c>
      <c r="S14" s="12">
        <v>4</v>
      </c>
      <c r="T14" s="12">
        <f>COUNTIF($G$7:$G$66,S14)</f>
        <v>30</v>
      </c>
      <c r="U14" s="13">
        <f>T14/$T$16</f>
        <v>0.5</v>
      </c>
    </row>
    <row r="15" spans="6:21" ht="15" x14ac:dyDescent="0.25">
      <c r="F15" s="1">
        <v>3</v>
      </c>
      <c r="G15" s="1">
        <v>3</v>
      </c>
      <c r="L15" s="12">
        <v>5</v>
      </c>
      <c r="M15" s="12">
        <f>COUNTIF($F$7:$F$66,L15)</f>
        <v>12</v>
      </c>
      <c r="N15" s="13">
        <f>M15/$M$16</f>
        <v>0.2</v>
      </c>
      <c r="S15" s="12">
        <v>5</v>
      </c>
      <c r="T15" s="12">
        <f>COUNTIF($G$7:$G$66,S15)</f>
        <v>18</v>
      </c>
      <c r="U15" s="13">
        <f>T15/$T$16</f>
        <v>0.3</v>
      </c>
    </row>
    <row r="16" spans="6:21" ht="15" x14ac:dyDescent="0.25">
      <c r="F16" s="1">
        <v>5</v>
      </c>
      <c r="G16" s="1">
        <v>5</v>
      </c>
      <c r="L16" s="12" t="s">
        <v>72</v>
      </c>
      <c r="M16" s="12">
        <f>SUM(M11:M15)</f>
        <v>60</v>
      </c>
      <c r="N16" s="14">
        <f>SUM(N11:N15)</f>
        <v>1</v>
      </c>
      <c r="S16" s="12" t="s">
        <v>72</v>
      </c>
      <c r="T16" s="12">
        <f>SUM(T11:T15)</f>
        <v>60</v>
      </c>
      <c r="U16" s="14">
        <f>SUM(U11:U15)</f>
        <v>1</v>
      </c>
    </row>
    <row r="17" spans="6:20" x14ac:dyDescent="0.25">
      <c r="F17" s="1">
        <v>5</v>
      </c>
      <c r="G17" s="1">
        <v>5</v>
      </c>
    </row>
    <row r="18" spans="6:20" x14ac:dyDescent="0.25">
      <c r="F18" s="1">
        <v>3</v>
      </c>
      <c r="G18" s="1">
        <v>3</v>
      </c>
    </row>
    <row r="19" spans="6:20" x14ac:dyDescent="0.25">
      <c r="F19" s="1">
        <v>5</v>
      </c>
      <c r="G19" s="1">
        <v>5</v>
      </c>
    </row>
    <row r="20" spans="6:20" x14ac:dyDescent="0.25">
      <c r="F20" s="1">
        <v>4</v>
      </c>
      <c r="G20" s="1">
        <v>5</v>
      </c>
      <c r="L20" s="9" t="s">
        <v>85</v>
      </c>
      <c r="M20">
        <f>_xlfn.MODE.SNGL(F7:F66)</f>
        <v>4</v>
      </c>
      <c r="S20" s="9" t="s">
        <v>85</v>
      </c>
      <c r="T20">
        <f>_xlfn.MODE.SNGL(G7:G66)</f>
        <v>4</v>
      </c>
    </row>
    <row r="21" spans="6:20" x14ac:dyDescent="0.25">
      <c r="F21" s="1">
        <v>4</v>
      </c>
      <c r="G21" s="1">
        <v>3</v>
      </c>
    </row>
    <row r="22" spans="6:20" x14ac:dyDescent="0.25">
      <c r="F22" s="1">
        <v>4</v>
      </c>
      <c r="G22" s="1">
        <v>4</v>
      </c>
    </row>
    <row r="23" spans="6:20" x14ac:dyDescent="0.25">
      <c r="F23" s="1">
        <v>3</v>
      </c>
      <c r="G23" s="1">
        <v>5</v>
      </c>
    </row>
    <row r="24" spans="6:20" x14ac:dyDescent="0.25">
      <c r="F24" s="1">
        <v>4</v>
      </c>
      <c r="G24" s="1">
        <v>4</v>
      </c>
    </row>
    <row r="25" spans="6:20" x14ac:dyDescent="0.25">
      <c r="F25" s="1">
        <v>5</v>
      </c>
      <c r="G25" s="1">
        <v>5</v>
      </c>
    </row>
    <row r="26" spans="6:20" x14ac:dyDescent="0.25">
      <c r="F26" s="1">
        <v>1</v>
      </c>
      <c r="G26" s="1">
        <v>4</v>
      </c>
    </row>
    <row r="27" spans="6:20" x14ac:dyDescent="0.25">
      <c r="F27" s="1">
        <v>4</v>
      </c>
      <c r="G27" s="1">
        <v>4</v>
      </c>
    </row>
    <row r="28" spans="6:20" x14ac:dyDescent="0.25">
      <c r="F28" s="1">
        <v>4</v>
      </c>
      <c r="G28" s="1">
        <v>4</v>
      </c>
    </row>
    <row r="29" spans="6:20" x14ac:dyDescent="0.25">
      <c r="F29" s="1">
        <v>4</v>
      </c>
      <c r="G29" s="1">
        <v>4</v>
      </c>
    </row>
    <row r="30" spans="6:20" x14ac:dyDescent="0.25">
      <c r="F30" s="1">
        <v>3</v>
      </c>
      <c r="G30" s="1">
        <v>3</v>
      </c>
    </row>
    <row r="31" spans="6:20" x14ac:dyDescent="0.25">
      <c r="F31" s="1">
        <v>3</v>
      </c>
      <c r="G31" s="1">
        <v>4</v>
      </c>
    </row>
    <row r="32" spans="6:20" x14ac:dyDescent="0.25">
      <c r="F32" s="1">
        <v>4</v>
      </c>
      <c r="G32" s="1">
        <v>4</v>
      </c>
    </row>
    <row r="33" spans="6:28" x14ac:dyDescent="0.25">
      <c r="F33" s="1">
        <v>3</v>
      </c>
      <c r="G33" s="1">
        <v>5</v>
      </c>
    </row>
    <row r="34" spans="6:28" x14ac:dyDescent="0.25">
      <c r="F34" s="1">
        <v>5</v>
      </c>
      <c r="G34" s="1">
        <v>5</v>
      </c>
    </row>
    <row r="35" spans="6:28" x14ac:dyDescent="0.25">
      <c r="F35" s="1">
        <v>4</v>
      </c>
      <c r="G35" s="1">
        <v>5</v>
      </c>
    </row>
    <row r="36" spans="6:28" x14ac:dyDescent="0.25">
      <c r="F36" s="1">
        <v>4</v>
      </c>
      <c r="G36" s="1">
        <v>5</v>
      </c>
    </row>
    <row r="37" spans="6:28" x14ac:dyDescent="0.25">
      <c r="F37" s="1">
        <v>4</v>
      </c>
      <c r="G37" s="1">
        <v>4</v>
      </c>
    </row>
    <row r="38" spans="6:28" x14ac:dyDescent="0.25">
      <c r="F38" s="1">
        <v>4</v>
      </c>
      <c r="G38" s="1">
        <v>4</v>
      </c>
    </row>
    <row r="39" spans="6:28" x14ac:dyDescent="0.25">
      <c r="F39" s="1">
        <v>4</v>
      </c>
      <c r="G39" s="1">
        <v>4</v>
      </c>
    </row>
    <row r="40" spans="6:28" x14ac:dyDescent="0.25">
      <c r="F40" s="1">
        <v>3</v>
      </c>
      <c r="G40" s="1">
        <v>4</v>
      </c>
    </row>
    <row r="41" spans="6:28" x14ac:dyDescent="0.25">
      <c r="F41" s="1">
        <v>3</v>
      </c>
      <c r="G41" s="1">
        <v>3</v>
      </c>
      <c r="U41" s="9" t="s">
        <v>171</v>
      </c>
      <c r="V41">
        <f>T14/T16</f>
        <v>0.5</v>
      </c>
      <c r="X41" s="9" t="s">
        <v>172</v>
      </c>
      <c r="Y41">
        <v>0.4</v>
      </c>
      <c r="AA41" s="9" t="s">
        <v>173</v>
      </c>
      <c r="AB41">
        <v>60</v>
      </c>
    </row>
    <row r="42" spans="6:28" x14ac:dyDescent="0.25">
      <c r="F42" s="1">
        <v>5</v>
      </c>
      <c r="G42" s="1">
        <v>5</v>
      </c>
    </row>
    <row r="43" spans="6:28" x14ac:dyDescent="0.25">
      <c r="F43" s="1">
        <v>3</v>
      </c>
      <c r="G43" s="1">
        <v>4</v>
      </c>
      <c r="S43" s="9" t="s">
        <v>117</v>
      </c>
      <c r="T43">
        <v>0.05</v>
      </c>
      <c r="U43">
        <f>NORMSINV(T43)</f>
        <v>-1.6448536269514726</v>
      </c>
    </row>
    <row r="44" spans="6:28" x14ac:dyDescent="0.25">
      <c r="F44" s="1">
        <v>3</v>
      </c>
      <c r="G44" s="1">
        <v>3</v>
      </c>
      <c r="W44" s="94" t="s">
        <v>174</v>
      </c>
      <c r="X44" s="95"/>
      <c r="Y44" s="95"/>
      <c r="Z44" s="95"/>
    </row>
    <row r="45" spans="6:28" x14ac:dyDescent="0.25">
      <c r="F45" s="1">
        <v>3</v>
      </c>
      <c r="G45" s="1">
        <v>4</v>
      </c>
      <c r="W45" s="95"/>
      <c r="X45" s="95"/>
      <c r="Y45" s="95"/>
      <c r="Z45" s="95"/>
    </row>
    <row r="46" spans="6:28" x14ac:dyDescent="0.25">
      <c r="F46" s="1">
        <v>2</v>
      </c>
      <c r="G46" s="1">
        <v>4</v>
      </c>
      <c r="S46" s="9" t="s">
        <v>118</v>
      </c>
      <c r="T46" s="9" t="s">
        <v>175</v>
      </c>
    </row>
    <row r="47" spans="6:28" x14ac:dyDescent="0.25">
      <c r="F47" s="1">
        <v>4</v>
      </c>
      <c r="G47" s="1">
        <v>3</v>
      </c>
      <c r="S47" s="9" t="s">
        <v>120</v>
      </c>
      <c r="T47" s="9" t="s">
        <v>176</v>
      </c>
    </row>
    <row r="48" spans="6:28" x14ac:dyDescent="0.25">
      <c r="F48" s="1">
        <v>3</v>
      </c>
      <c r="G48" s="1">
        <v>3</v>
      </c>
      <c r="X48" s="9" t="s">
        <v>177</v>
      </c>
      <c r="Y48">
        <f>(V41-Y41)/SQRT((Y41*(1-Y41))/T16)</f>
        <v>1.5811388300841893</v>
      </c>
    </row>
    <row r="49" spans="6:26" x14ac:dyDescent="0.25">
      <c r="F49" s="1">
        <v>4</v>
      </c>
      <c r="G49" s="1">
        <v>5</v>
      </c>
    </row>
    <row r="50" spans="6:26" x14ac:dyDescent="0.25">
      <c r="F50" s="1">
        <v>4</v>
      </c>
      <c r="G50" s="1">
        <v>4</v>
      </c>
    </row>
    <row r="51" spans="6:26" x14ac:dyDescent="0.25">
      <c r="F51" s="1">
        <v>4</v>
      </c>
      <c r="G51" s="1">
        <v>4</v>
      </c>
    </row>
    <row r="52" spans="6:26" x14ac:dyDescent="0.25">
      <c r="F52" s="1">
        <v>5</v>
      </c>
      <c r="G52" s="1">
        <v>5</v>
      </c>
      <c r="W52" s="94" t="s">
        <v>178</v>
      </c>
      <c r="X52" s="95"/>
      <c r="Y52" s="95"/>
      <c r="Z52" s="95"/>
    </row>
    <row r="53" spans="6:26" x14ac:dyDescent="0.25">
      <c r="F53" s="1">
        <v>3</v>
      </c>
      <c r="G53" s="1">
        <v>4</v>
      </c>
      <c r="W53" s="95"/>
      <c r="X53" s="95"/>
      <c r="Y53" s="95"/>
      <c r="Z53" s="95"/>
    </row>
    <row r="54" spans="6:26" x14ac:dyDescent="0.25">
      <c r="F54" s="1">
        <v>3</v>
      </c>
      <c r="G54" s="1">
        <v>4</v>
      </c>
      <c r="W54" s="95"/>
      <c r="X54" s="95"/>
      <c r="Y54" s="95"/>
      <c r="Z54" s="95"/>
    </row>
    <row r="55" spans="6:26" x14ac:dyDescent="0.25">
      <c r="F55" s="1">
        <v>4</v>
      </c>
      <c r="G55" s="1">
        <v>4</v>
      </c>
      <c r="W55" s="95"/>
      <c r="X55" s="95"/>
      <c r="Y55" s="95"/>
      <c r="Z55" s="95"/>
    </row>
    <row r="56" spans="6:26" x14ac:dyDescent="0.25">
      <c r="F56" s="1">
        <v>4</v>
      </c>
      <c r="G56" s="1">
        <v>4</v>
      </c>
    </row>
    <row r="57" spans="6:26" x14ac:dyDescent="0.25">
      <c r="F57" s="1">
        <v>3</v>
      </c>
      <c r="G57" s="1">
        <v>3</v>
      </c>
    </row>
    <row r="58" spans="6:26" x14ac:dyDescent="0.25">
      <c r="F58" s="1">
        <v>3</v>
      </c>
      <c r="G58" s="1">
        <v>5</v>
      </c>
    </row>
    <row r="59" spans="6:26" x14ac:dyDescent="0.25">
      <c r="F59" s="1">
        <v>5</v>
      </c>
      <c r="G59" s="1">
        <v>4</v>
      </c>
      <c r="S59" s="61">
        <v>1.58</v>
      </c>
      <c r="T59" s="18">
        <v>1.65</v>
      </c>
    </row>
    <row r="60" spans="6:26" x14ac:dyDescent="0.25">
      <c r="F60" s="1">
        <v>3</v>
      </c>
      <c r="G60" s="1">
        <v>3</v>
      </c>
    </row>
    <row r="61" spans="6:26" x14ac:dyDescent="0.25">
      <c r="F61" s="1">
        <v>5</v>
      </c>
      <c r="G61" s="1">
        <v>5</v>
      </c>
    </row>
    <row r="62" spans="6:26" x14ac:dyDescent="0.25">
      <c r="F62" s="1">
        <v>5</v>
      </c>
      <c r="G62" s="1">
        <v>5</v>
      </c>
    </row>
    <row r="63" spans="6:26" x14ac:dyDescent="0.25">
      <c r="F63" s="1">
        <v>3</v>
      </c>
      <c r="G63" s="1">
        <v>5</v>
      </c>
    </row>
    <row r="64" spans="6:26" x14ac:dyDescent="0.25">
      <c r="F64" s="1">
        <v>3</v>
      </c>
      <c r="G64" s="1">
        <v>3</v>
      </c>
    </row>
    <row r="65" spans="6:7" x14ac:dyDescent="0.25">
      <c r="F65" s="1">
        <v>4</v>
      </c>
      <c r="G65" s="1">
        <v>4</v>
      </c>
    </row>
    <row r="66" spans="6:7" x14ac:dyDescent="0.25">
      <c r="F66" s="1">
        <v>3</v>
      </c>
      <c r="G66" s="1">
        <v>4</v>
      </c>
    </row>
  </sheetData>
  <mergeCells count="2">
    <mergeCell ref="W44:Z45"/>
    <mergeCell ref="W52:Z5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F2D4-9142-47BE-8346-2059F475B14D}">
  <dimension ref="D3:AH102"/>
  <sheetViews>
    <sheetView tabSelected="1" topLeftCell="A69" zoomScale="85" zoomScaleNormal="85" workbookViewId="0">
      <selection activeCell="F86" sqref="F86"/>
    </sheetView>
  </sheetViews>
  <sheetFormatPr baseColWidth="10" defaultRowHeight="13.2" x14ac:dyDescent="0.25"/>
  <cols>
    <col min="6" max="6" width="27.33203125" bestFit="1" customWidth="1"/>
    <col min="7" max="7" width="31.33203125" bestFit="1" customWidth="1"/>
    <col min="9" max="9" width="12.88671875" bestFit="1" customWidth="1"/>
    <col min="10" max="10" width="13.109375" customWidth="1"/>
    <col min="11" max="11" width="14" bestFit="1" customWidth="1"/>
    <col min="12" max="12" width="18.33203125" bestFit="1" customWidth="1"/>
    <col min="14" max="14" width="18.6640625" bestFit="1" customWidth="1"/>
    <col min="17" max="17" width="13.33203125" bestFit="1" customWidth="1"/>
    <col min="18" max="18" width="18.6640625" bestFit="1" customWidth="1"/>
  </cols>
  <sheetData>
    <row r="3" spans="6:34" ht="52.8" x14ac:dyDescent="0.25">
      <c r="F3" s="62" t="s">
        <v>179</v>
      </c>
      <c r="G3" s="62" t="s">
        <v>180</v>
      </c>
      <c r="K3" s="7" t="s">
        <v>22</v>
      </c>
      <c r="L3" s="7" t="s">
        <v>35</v>
      </c>
      <c r="M3" s="7" t="s">
        <v>50</v>
      </c>
      <c r="N3" s="7" t="s">
        <v>29</v>
      </c>
      <c r="O3" s="7" t="s">
        <v>33</v>
      </c>
      <c r="P3" s="7" t="s">
        <v>23</v>
      </c>
      <c r="Q3" s="7" t="s">
        <v>39</v>
      </c>
    </row>
    <row r="4" spans="6:34" x14ac:dyDescent="0.25">
      <c r="F4" s="1" t="s">
        <v>22</v>
      </c>
      <c r="G4" s="1" t="s">
        <v>23</v>
      </c>
      <c r="J4" s="9" t="s">
        <v>181</v>
      </c>
      <c r="K4">
        <v>27</v>
      </c>
      <c r="L4">
        <f>COUNTIF($F$4:$F$67,L3)</f>
        <v>0</v>
      </c>
      <c r="M4">
        <v>4</v>
      </c>
      <c r="N4">
        <f>COUNTIF($F$4:$F$67,G6)</f>
        <v>0</v>
      </c>
      <c r="O4">
        <f>COUNTIF($F$4:$F$67,G11)</f>
        <v>23</v>
      </c>
      <c r="P4">
        <f>COUNTIF($F$4:$F$67,G4)</f>
        <v>3</v>
      </c>
      <c r="Q4">
        <f>COUNTIF($F$4:$F$67,F10)</f>
        <v>7</v>
      </c>
      <c r="R4">
        <f>SUM(K4:Q4)</f>
        <v>64</v>
      </c>
    </row>
    <row r="5" spans="6:34" x14ac:dyDescent="0.25">
      <c r="F5" s="1" t="s">
        <v>22</v>
      </c>
      <c r="G5" s="1" t="s">
        <v>22</v>
      </c>
      <c r="J5" s="9" t="s">
        <v>182</v>
      </c>
      <c r="K5">
        <v>20</v>
      </c>
      <c r="L5">
        <f>COUNTIF(G4:G65,G8)</f>
        <v>11</v>
      </c>
      <c r="M5">
        <v>0</v>
      </c>
      <c r="N5">
        <f>COUNTIF($G$4:$G$67,G6)</f>
        <v>9</v>
      </c>
      <c r="O5">
        <f>COUNTIF($G$4:$G$65,G11)</f>
        <v>18</v>
      </c>
      <c r="P5">
        <f>COUNTIF($G$4:$G$67,G4)</f>
        <v>3</v>
      </c>
      <c r="Q5">
        <f>COUNTIF($G$4:$G$65,F10)</f>
        <v>0</v>
      </c>
      <c r="R5">
        <f>SUM(K5:Q5)</f>
        <v>61</v>
      </c>
    </row>
    <row r="6" spans="6:34" x14ac:dyDescent="0.25">
      <c r="F6" s="1" t="s">
        <v>22</v>
      </c>
      <c r="G6" s="1" t="s">
        <v>183</v>
      </c>
      <c r="K6" s="95" t="s">
        <v>184</v>
      </c>
      <c r="L6" s="95"/>
      <c r="M6" s="95"/>
      <c r="N6" s="95"/>
      <c r="O6" s="95"/>
      <c r="Q6" s="100" t="s">
        <v>185</v>
      </c>
      <c r="R6" s="95"/>
      <c r="S6" s="95"/>
      <c r="T6" s="95"/>
      <c r="U6" s="95"/>
    </row>
    <row r="7" spans="6:34" x14ac:dyDescent="0.25">
      <c r="F7" s="1" t="s">
        <v>33</v>
      </c>
      <c r="G7" s="1" t="s">
        <v>33</v>
      </c>
      <c r="K7" s="9" t="s">
        <v>186</v>
      </c>
      <c r="L7" s="9" t="s">
        <v>187</v>
      </c>
      <c r="M7" s="9" t="s">
        <v>188</v>
      </c>
      <c r="N7" s="9" t="s">
        <v>189</v>
      </c>
      <c r="O7" s="9" t="s">
        <v>190</v>
      </c>
      <c r="Q7" s="9" t="s">
        <v>186</v>
      </c>
      <c r="R7" s="9" t="s">
        <v>187</v>
      </c>
      <c r="S7" s="9" t="s">
        <v>188</v>
      </c>
      <c r="T7" s="9" t="s">
        <v>189</v>
      </c>
      <c r="U7" s="9" t="s">
        <v>190</v>
      </c>
    </row>
    <row r="8" spans="6:34" x14ac:dyDescent="0.25">
      <c r="F8" s="1" t="s">
        <v>22</v>
      </c>
      <c r="G8" s="1" t="s">
        <v>191</v>
      </c>
      <c r="K8" s="7" t="s">
        <v>22</v>
      </c>
      <c r="L8">
        <v>27</v>
      </c>
      <c r="M8">
        <f>L8</f>
        <v>27</v>
      </c>
      <c r="N8" s="63">
        <f>L8/$M$14</f>
        <v>0.421875</v>
      </c>
      <c r="O8" s="63">
        <f>N8</f>
        <v>0.421875</v>
      </c>
      <c r="Q8" s="7" t="s">
        <v>22</v>
      </c>
      <c r="R8">
        <v>20</v>
      </c>
      <c r="S8">
        <f>R8</f>
        <v>20</v>
      </c>
      <c r="T8" s="63">
        <f>R8/$S$14</f>
        <v>0.32786885245901637</v>
      </c>
      <c r="U8" s="63">
        <f>T8</f>
        <v>0.32786885245901637</v>
      </c>
    </row>
    <row r="9" spans="6:34" x14ac:dyDescent="0.25">
      <c r="F9" s="1" t="s">
        <v>50</v>
      </c>
      <c r="G9" s="1" t="s">
        <v>191</v>
      </c>
      <c r="K9" s="7" t="s">
        <v>35</v>
      </c>
      <c r="L9">
        <v>0</v>
      </c>
      <c r="M9">
        <f t="shared" ref="M9:M14" si="0">L9+M8</f>
        <v>27</v>
      </c>
      <c r="N9" s="63">
        <f t="shared" ref="N9:N14" si="1">L9/$M$14</f>
        <v>0</v>
      </c>
      <c r="O9" s="63">
        <f t="shared" ref="O9:O14" si="2">N9+O8</f>
        <v>0.421875</v>
      </c>
      <c r="Q9" s="7" t="s">
        <v>35</v>
      </c>
      <c r="R9">
        <v>11</v>
      </c>
      <c r="S9">
        <f t="shared" ref="S9:S14" si="3">R9+S8</f>
        <v>31</v>
      </c>
      <c r="T9" s="63">
        <f t="shared" ref="T9:T14" si="4">R9/$S$14</f>
        <v>0.18032786885245902</v>
      </c>
      <c r="U9" s="63">
        <f t="shared" ref="U9:U14" si="5">T9+U8</f>
        <v>0.50819672131147542</v>
      </c>
    </row>
    <row r="10" spans="6:34" x14ac:dyDescent="0.25">
      <c r="F10" s="5" t="s">
        <v>39</v>
      </c>
      <c r="G10" s="1" t="s">
        <v>22</v>
      </c>
      <c r="K10" s="7" t="s">
        <v>50</v>
      </c>
      <c r="L10">
        <v>4</v>
      </c>
      <c r="M10">
        <f t="shared" si="0"/>
        <v>31</v>
      </c>
      <c r="N10" s="63">
        <f t="shared" si="1"/>
        <v>6.25E-2</v>
      </c>
      <c r="O10" s="63">
        <f t="shared" si="2"/>
        <v>0.484375</v>
      </c>
      <c r="Q10" s="7" t="s">
        <v>50</v>
      </c>
      <c r="R10">
        <v>0</v>
      </c>
      <c r="S10">
        <f t="shared" si="3"/>
        <v>31</v>
      </c>
      <c r="T10" s="63">
        <f t="shared" si="4"/>
        <v>0</v>
      </c>
      <c r="U10" s="63">
        <f t="shared" si="5"/>
        <v>0.50819672131147542</v>
      </c>
    </row>
    <row r="11" spans="6:34" x14ac:dyDescent="0.25">
      <c r="F11" s="1" t="s">
        <v>22</v>
      </c>
      <c r="G11" s="1" t="s">
        <v>33</v>
      </c>
      <c r="K11" s="7" t="s">
        <v>29</v>
      </c>
      <c r="L11">
        <v>0</v>
      </c>
      <c r="M11">
        <f t="shared" si="0"/>
        <v>31</v>
      </c>
      <c r="N11" s="63">
        <f t="shared" si="1"/>
        <v>0</v>
      </c>
      <c r="O11" s="63">
        <f t="shared" si="2"/>
        <v>0.484375</v>
      </c>
      <c r="Q11" s="7" t="s">
        <v>29</v>
      </c>
      <c r="R11">
        <v>9</v>
      </c>
      <c r="S11">
        <f t="shared" si="3"/>
        <v>40</v>
      </c>
      <c r="T11" s="63">
        <f t="shared" si="4"/>
        <v>0.14754098360655737</v>
      </c>
      <c r="U11" s="63">
        <f t="shared" si="5"/>
        <v>0.65573770491803285</v>
      </c>
    </row>
    <row r="12" spans="6:34" x14ac:dyDescent="0.25">
      <c r="F12" s="1" t="s">
        <v>33</v>
      </c>
      <c r="G12" s="1" t="s">
        <v>191</v>
      </c>
      <c r="K12" s="7" t="s">
        <v>33</v>
      </c>
      <c r="L12">
        <v>23</v>
      </c>
      <c r="M12">
        <f t="shared" si="0"/>
        <v>54</v>
      </c>
      <c r="N12" s="63">
        <f t="shared" si="1"/>
        <v>0.359375</v>
      </c>
      <c r="O12" s="63">
        <f t="shared" si="2"/>
        <v>0.84375</v>
      </c>
      <c r="Q12" s="7" t="s">
        <v>33</v>
      </c>
      <c r="R12">
        <v>18</v>
      </c>
      <c r="S12">
        <f t="shared" si="3"/>
        <v>58</v>
      </c>
      <c r="T12" s="63">
        <f t="shared" si="4"/>
        <v>0.29508196721311475</v>
      </c>
      <c r="U12" s="63">
        <f t="shared" si="5"/>
        <v>0.9508196721311476</v>
      </c>
    </row>
    <row r="13" spans="6:34" ht="17.7" customHeight="1" x14ac:dyDescent="0.25">
      <c r="F13" s="1" t="s">
        <v>22</v>
      </c>
      <c r="G13" s="1" t="s">
        <v>22</v>
      </c>
      <c r="K13" s="7" t="s">
        <v>23</v>
      </c>
      <c r="L13">
        <v>3</v>
      </c>
      <c r="M13">
        <f t="shared" si="0"/>
        <v>57</v>
      </c>
      <c r="N13" s="63">
        <f t="shared" si="1"/>
        <v>4.6875E-2</v>
      </c>
      <c r="O13" s="63">
        <f t="shared" si="2"/>
        <v>0.890625</v>
      </c>
      <c r="Q13" s="7" t="s">
        <v>23</v>
      </c>
      <c r="R13">
        <v>3</v>
      </c>
      <c r="S13">
        <f t="shared" si="3"/>
        <v>61</v>
      </c>
      <c r="T13" s="63">
        <f t="shared" si="4"/>
        <v>4.9180327868852458E-2</v>
      </c>
      <c r="U13" s="63">
        <f t="shared" si="5"/>
        <v>1</v>
      </c>
      <c r="Y13" s="60" t="s">
        <v>192</v>
      </c>
      <c r="Z13" s="12" t="s">
        <v>68</v>
      </c>
      <c r="AA13" s="12" t="s">
        <v>69</v>
      </c>
      <c r="AF13" s="60" t="s">
        <v>193</v>
      </c>
      <c r="AG13" s="12" t="s">
        <v>68</v>
      </c>
      <c r="AH13" s="12" t="s">
        <v>69</v>
      </c>
    </row>
    <row r="14" spans="6:34" ht="15" x14ac:dyDescent="0.25">
      <c r="F14" s="1" t="s">
        <v>22</v>
      </c>
      <c r="G14" s="1" t="s">
        <v>194</v>
      </c>
      <c r="K14" s="7" t="s">
        <v>39</v>
      </c>
      <c r="L14">
        <v>7</v>
      </c>
      <c r="M14">
        <f t="shared" si="0"/>
        <v>64</v>
      </c>
      <c r="N14" s="63">
        <f t="shared" si="1"/>
        <v>0.109375</v>
      </c>
      <c r="O14" s="63">
        <f t="shared" si="2"/>
        <v>1</v>
      </c>
      <c r="Q14" s="7" t="s">
        <v>39</v>
      </c>
      <c r="R14">
        <v>0</v>
      </c>
      <c r="S14">
        <f t="shared" si="3"/>
        <v>61</v>
      </c>
      <c r="T14" s="63">
        <f t="shared" si="4"/>
        <v>0</v>
      </c>
      <c r="U14" s="63">
        <f t="shared" si="5"/>
        <v>1</v>
      </c>
      <c r="Y14" s="7" t="s">
        <v>22</v>
      </c>
      <c r="Z14" s="12">
        <f>COUNTIF($F$7:$F$70,Y14)</f>
        <v>24</v>
      </c>
      <c r="AA14" s="13">
        <f ca="1">Z14/$AA$19</f>
        <v>1.6666666666666666E-2</v>
      </c>
      <c r="AF14" s="7" t="s">
        <v>22</v>
      </c>
      <c r="AG14" s="12">
        <f>COUNTIF($F$7:$F$70,AF14)</f>
        <v>24</v>
      </c>
      <c r="AH14" s="13">
        <f ca="1">AG14/$AA$19</f>
        <v>1.6666666666666666E-2</v>
      </c>
    </row>
    <row r="15" spans="6:34" ht="15" x14ac:dyDescent="0.25">
      <c r="F15" s="1" t="s">
        <v>33</v>
      </c>
      <c r="G15" s="1" t="s">
        <v>33</v>
      </c>
      <c r="Y15" s="7" t="s">
        <v>35</v>
      </c>
      <c r="Z15" s="12">
        <f>COUNTIF($F$7:$F$70,Y15)</f>
        <v>0</v>
      </c>
      <c r="AA15" s="13">
        <f ca="1">Z15/$AA$19</f>
        <v>1.6666666666666666E-2</v>
      </c>
      <c r="AF15" s="7" t="s">
        <v>35</v>
      </c>
      <c r="AG15" s="12">
        <f>COUNTIF($F$7:$F$70,AF15)</f>
        <v>0</v>
      </c>
      <c r="AH15" s="13">
        <f ca="1">AG15/$AA$19</f>
        <v>1.6666666666666666E-2</v>
      </c>
    </row>
    <row r="16" spans="6:34" ht="15" x14ac:dyDescent="0.25">
      <c r="F16" s="1" t="s">
        <v>22</v>
      </c>
      <c r="G16" s="1" t="s">
        <v>22</v>
      </c>
      <c r="Y16" s="7" t="s">
        <v>50</v>
      </c>
      <c r="Z16" s="12">
        <f>COUNTIF($F$7:$F$70,Y16)</f>
        <v>4</v>
      </c>
      <c r="AA16" s="13">
        <f ca="1">Z16/$AA$19</f>
        <v>0.35</v>
      </c>
      <c r="AF16" s="7" t="s">
        <v>50</v>
      </c>
      <c r="AG16" s="12">
        <f>COUNTIF($F$7:$F$70,AF16)</f>
        <v>4</v>
      </c>
      <c r="AH16" s="13">
        <f ca="1">AG16/$AA$19</f>
        <v>0.35</v>
      </c>
    </row>
    <row r="17" spans="6:34" ht="15" x14ac:dyDescent="0.25">
      <c r="F17" s="1" t="s">
        <v>23</v>
      </c>
      <c r="G17" s="1" t="s">
        <v>23</v>
      </c>
      <c r="Y17" s="7" t="s">
        <v>29</v>
      </c>
      <c r="Z17" s="12">
        <f>COUNTIF($F$7:$F$70,Y17)</f>
        <v>0</v>
      </c>
      <c r="AA17" s="13">
        <f ca="1">Z17/$AA$19</f>
        <v>0.41666666666666669</v>
      </c>
      <c r="AF17" s="7" t="s">
        <v>29</v>
      </c>
      <c r="AG17" s="12">
        <f>COUNTIF($F$7:$F$70,AF17)</f>
        <v>0</v>
      </c>
      <c r="AH17" s="13">
        <f ca="1">AG17/$AA$19</f>
        <v>0.41666666666666669</v>
      </c>
    </row>
    <row r="18" spans="6:34" ht="15" x14ac:dyDescent="0.25">
      <c r="F18" s="1" t="s">
        <v>22</v>
      </c>
      <c r="G18" s="1" t="s">
        <v>191</v>
      </c>
      <c r="Y18" s="7" t="s">
        <v>33</v>
      </c>
      <c r="Z18" s="12">
        <f>COUNTIF($F$7:$F$70,Y18)</f>
        <v>23</v>
      </c>
      <c r="AA18" s="13">
        <f ca="1">Z18/$AA$19</f>
        <v>0.2</v>
      </c>
      <c r="AF18" s="7" t="s">
        <v>33</v>
      </c>
      <c r="AG18" s="12">
        <f>COUNTIF($F$7:$F$70,AF18)</f>
        <v>23</v>
      </c>
      <c r="AH18" s="13">
        <f ca="1">AG18/$AA$19</f>
        <v>0.2</v>
      </c>
    </row>
    <row r="19" spans="6:34" ht="15" x14ac:dyDescent="0.25">
      <c r="F19" s="1" t="s">
        <v>22</v>
      </c>
      <c r="G19" s="1" t="s">
        <v>33</v>
      </c>
      <c r="Y19" s="7" t="s">
        <v>23</v>
      </c>
      <c r="Z19" s="12">
        <f>SUM(Z14:Z18)</f>
        <v>51</v>
      </c>
      <c r="AA19" s="14">
        <f ca="1">SUM(AA14:AA18)</f>
        <v>1</v>
      </c>
      <c r="AF19" s="7" t="s">
        <v>23</v>
      </c>
      <c r="AG19" s="12">
        <f>SUM(AG14:AG18)</f>
        <v>51</v>
      </c>
      <c r="AH19" s="14">
        <f ca="1">SUM(AH14:AH18)</f>
        <v>1</v>
      </c>
    </row>
    <row r="20" spans="6:34" x14ac:dyDescent="0.25">
      <c r="F20" s="5" t="s">
        <v>39</v>
      </c>
      <c r="G20" s="1" t="s">
        <v>22</v>
      </c>
      <c r="Y20" s="7" t="s">
        <v>39</v>
      </c>
      <c r="Z20" s="16"/>
      <c r="AA20" s="16"/>
      <c r="AF20" s="7" t="s">
        <v>39</v>
      </c>
      <c r="AG20" s="16"/>
      <c r="AH20" s="16"/>
    </row>
    <row r="21" spans="6:34" x14ac:dyDescent="0.25">
      <c r="F21" s="5" t="s">
        <v>39</v>
      </c>
      <c r="G21" s="1" t="s">
        <v>33</v>
      </c>
      <c r="Y21" s="16"/>
      <c r="Z21" s="16"/>
      <c r="AA21" s="16"/>
      <c r="AF21" s="16"/>
      <c r="AG21" s="16"/>
      <c r="AH21" s="16"/>
    </row>
    <row r="22" spans="6:34" x14ac:dyDescent="0.25">
      <c r="F22" s="1" t="s">
        <v>33</v>
      </c>
      <c r="G22" s="1" t="s">
        <v>191</v>
      </c>
    </row>
    <row r="23" spans="6:34" x14ac:dyDescent="0.25">
      <c r="F23" s="1" t="s">
        <v>22</v>
      </c>
      <c r="G23" s="1" t="s">
        <v>33</v>
      </c>
      <c r="Y23" s="9" t="s">
        <v>85</v>
      </c>
      <c r="Z23">
        <f>_xlfn.MODE.SNGL(E7:E69)</f>
        <v>1</v>
      </c>
      <c r="AF23" s="9" t="s">
        <v>85</v>
      </c>
      <c r="AG23" t="e">
        <f>_xlfn.MODE.SNGL(F7:F70)</f>
        <v>#N/A</v>
      </c>
    </row>
    <row r="24" spans="6:34" x14ac:dyDescent="0.25">
      <c r="F24" s="1" t="s">
        <v>22</v>
      </c>
      <c r="G24" s="1" t="s">
        <v>22</v>
      </c>
    </row>
    <row r="25" spans="6:34" x14ac:dyDescent="0.25">
      <c r="F25" s="1" t="s">
        <v>33</v>
      </c>
      <c r="G25" s="1" t="s">
        <v>22</v>
      </c>
    </row>
    <row r="26" spans="6:34" x14ac:dyDescent="0.25">
      <c r="F26" s="1" t="s">
        <v>33</v>
      </c>
      <c r="G26" s="1" t="s">
        <v>33</v>
      </c>
    </row>
    <row r="27" spans="6:34" x14ac:dyDescent="0.25">
      <c r="F27" s="1" t="s">
        <v>22</v>
      </c>
      <c r="G27" s="1" t="s">
        <v>191</v>
      </c>
    </row>
    <row r="28" spans="6:34" x14ac:dyDescent="0.25">
      <c r="F28" s="1" t="s">
        <v>39</v>
      </c>
      <c r="G28" s="9" t="s">
        <v>22</v>
      </c>
    </row>
    <row r="29" spans="6:34" x14ac:dyDescent="0.25">
      <c r="F29" s="1" t="s">
        <v>22</v>
      </c>
      <c r="G29" s="1" t="s">
        <v>22</v>
      </c>
    </row>
    <row r="30" spans="6:34" x14ac:dyDescent="0.25">
      <c r="F30" s="1" t="s">
        <v>22</v>
      </c>
      <c r="G30" s="1" t="s">
        <v>191</v>
      </c>
    </row>
    <row r="31" spans="6:34" x14ac:dyDescent="0.25">
      <c r="F31" s="1" t="s">
        <v>33</v>
      </c>
      <c r="G31" s="1" t="s">
        <v>191</v>
      </c>
    </row>
    <row r="32" spans="6:34" x14ac:dyDescent="0.25">
      <c r="F32" s="5" t="s">
        <v>39</v>
      </c>
      <c r="G32" s="1" t="s">
        <v>191</v>
      </c>
    </row>
    <row r="33" spans="5:7" x14ac:dyDescent="0.25">
      <c r="F33" s="1" t="s">
        <v>22</v>
      </c>
      <c r="G33" s="1" t="s">
        <v>23</v>
      </c>
    </row>
    <row r="34" spans="5:7" x14ac:dyDescent="0.25">
      <c r="F34" s="5" t="s">
        <v>39</v>
      </c>
      <c r="G34" s="1" t="s">
        <v>183</v>
      </c>
    </row>
    <row r="35" spans="5:7" x14ac:dyDescent="0.25">
      <c r="F35" s="1" t="s">
        <v>33</v>
      </c>
      <c r="G35" s="1" t="s">
        <v>33</v>
      </c>
    </row>
    <row r="36" spans="5:7" x14ac:dyDescent="0.25">
      <c r="F36" s="1" t="s">
        <v>22</v>
      </c>
      <c r="G36" s="9" t="s">
        <v>22</v>
      </c>
    </row>
    <row r="37" spans="5:7" x14ac:dyDescent="0.25">
      <c r="F37" s="1" t="s">
        <v>22</v>
      </c>
      <c r="G37" s="9" t="s">
        <v>22</v>
      </c>
    </row>
    <row r="38" spans="5:7" x14ac:dyDescent="0.25">
      <c r="F38" s="1" t="s">
        <v>22</v>
      </c>
      <c r="G38" s="9" t="s">
        <v>22</v>
      </c>
    </row>
    <row r="39" spans="5:7" x14ac:dyDescent="0.25">
      <c r="E39">
        <v>1</v>
      </c>
      <c r="F39" s="1" t="s">
        <v>33</v>
      </c>
      <c r="G39" s="1" t="s">
        <v>183</v>
      </c>
    </row>
    <row r="40" spans="5:7" x14ac:dyDescent="0.25">
      <c r="F40" s="1" t="s">
        <v>50</v>
      </c>
      <c r="G40" s="1" t="s">
        <v>183</v>
      </c>
    </row>
    <row r="41" spans="5:7" x14ac:dyDescent="0.25">
      <c r="F41" s="10" t="s">
        <v>23</v>
      </c>
      <c r="G41" s="1" t="s">
        <v>33</v>
      </c>
    </row>
    <row r="42" spans="5:7" x14ac:dyDescent="0.25">
      <c r="F42" s="1" t="s">
        <v>33</v>
      </c>
      <c r="G42" s="1" t="s">
        <v>183</v>
      </c>
    </row>
    <row r="43" spans="5:7" x14ac:dyDescent="0.25">
      <c r="E43">
        <v>1</v>
      </c>
      <c r="F43" s="1" t="s">
        <v>33</v>
      </c>
      <c r="G43" s="1" t="s">
        <v>183</v>
      </c>
    </row>
    <row r="44" spans="5:7" x14ac:dyDescent="0.25">
      <c r="F44" s="10" t="s">
        <v>50</v>
      </c>
      <c r="G44" s="1" t="s">
        <v>33</v>
      </c>
    </row>
    <row r="45" spans="5:7" x14ac:dyDescent="0.25">
      <c r="F45" s="10" t="s">
        <v>23</v>
      </c>
      <c r="G45" s="9" t="s">
        <v>22</v>
      </c>
    </row>
    <row r="46" spans="5:7" x14ac:dyDescent="0.25">
      <c r="F46" s="1" t="s">
        <v>33</v>
      </c>
      <c r="G46" s="1" t="s">
        <v>33</v>
      </c>
    </row>
    <row r="47" spans="5:7" x14ac:dyDescent="0.25">
      <c r="F47" s="1" t="s">
        <v>22</v>
      </c>
      <c r="G47" s="1" t="s">
        <v>33</v>
      </c>
    </row>
    <row r="48" spans="5:7" x14ac:dyDescent="0.25">
      <c r="F48" s="1" t="s">
        <v>33</v>
      </c>
      <c r="G48" s="9" t="s">
        <v>22</v>
      </c>
    </row>
    <row r="49" spans="6:20" x14ac:dyDescent="0.25">
      <c r="F49" s="1" t="s">
        <v>33</v>
      </c>
      <c r="G49" s="1" t="s">
        <v>183</v>
      </c>
    </row>
    <row r="50" spans="6:20" x14ac:dyDescent="0.25">
      <c r="F50" s="1" t="s">
        <v>22</v>
      </c>
      <c r="G50" s="1" t="s">
        <v>33</v>
      </c>
    </row>
    <row r="51" spans="6:20" x14ac:dyDescent="0.25">
      <c r="F51" s="1" t="s">
        <v>50</v>
      </c>
      <c r="G51" s="9" t="s">
        <v>22</v>
      </c>
    </row>
    <row r="52" spans="6:20" x14ac:dyDescent="0.25">
      <c r="F52" s="1" t="s">
        <v>33</v>
      </c>
      <c r="G52" s="1" t="s">
        <v>64</v>
      </c>
    </row>
    <row r="53" spans="6:20" x14ac:dyDescent="0.25">
      <c r="F53" s="1" t="s">
        <v>33</v>
      </c>
      <c r="G53" s="9" t="s">
        <v>22</v>
      </c>
    </row>
    <row r="54" spans="6:20" x14ac:dyDescent="0.25">
      <c r="F54" s="1" t="s">
        <v>22</v>
      </c>
      <c r="G54" s="1" t="s">
        <v>33</v>
      </c>
    </row>
    <row r="55" spans="6:20" x14ac:dyDescent="0.25">
      <c r="F55" s="1" t="s">
        <v>22</v>
      </c>
      <c r="G55" s="1" t="s">
        <v>33</v>
      </c>
      <c r="M55" s="9" t="s">
        <v>140</v>
      </c>
      <c r="N55" s="9" t="s">
        <v>195</v>
      </c>
      <c r="O55" s="9" t="s">
        <v>116</v>
      </c>
    </row>
    <row r="56" spans="6:20" x14ac:dyDescent="0.25">
      <c r="F56" s="1" t="s">
        <v>33</v>
      </c>
      <c r="G56" s="9" t="s">
        <v>191</v>
      </c>
      <c r="L56" s="7" t="s">
        <v>22</v>
      </c>
      <c r="M56">
        <v>27</v>
      </c>
      <c r="N56">
        <v>20</v>
      </c>
      <c r="O56">
        <f>M56-N56</f>
        <v>7</v>
      </c>
      <c r="R56" t="s">
        <v>196</v>
      </c>
    </row>
    <row r="57" spans="6:20" ht="13.8" thickBot="1" x14ac:dyDescent="0.3">
      <c r="F57" s="1" t="s">
        <v>33</v>
      </c>
      <c r="G57" s="1" t="s">
        <v>183</v>
      </c>
      <c r="L57" s="7" t="s">
        <v>35</v>
      </c>
      <c r="M57">
        <v>0</v>
      </c>
      <c r="N57">
        <v>11</v>
      </c>
      <c r="O57">
        <f t="shared" ref="O57:O62" si="6">M57-N57</f>
        <v>-11</v>
      </c>
    </row>
    <row r="58" spans="6:20" x14ac:dyDescent="0.25">
      <c r="F58" s="1" t="s">
        <v>33</v>
      </c>
      <c r="G58" s="9" t="s">
        <v>22</v>
      </c>
      <c r="L58" s="7" t="s">
        <v>50</v>
      </c>
      <c r="M58">
        <v>4</v>
      </c>
      <c r="N58">
        <v>0</v>
      </c>
      <c r="O58">
        <f t="shared" si="6"/>
        <v>4</v>
      </c>
      <c r="R58" s="64"/>
      <c r="S58" s="64" t="s">
        <v>140</v>
      </c>
      <c r="T58" s="64" t="s">
        <v>195</v>
      </c>
    </row>
    <row r="59" spans="6:20" x14ac:dyDescent="0.25">
      <c r="F59" s="5" t="s">
        <v>39</v>
      </c>
      <c r="G59" s="1" t="s">
        <v>33</v>
      </c>
      <c r="L59" s="7" t="s">
        <v>29</v>
      </c>
      <c r="M59">
        <v>0</v>
      </c>
      <c r="N59">
        <v>9</v>
      </c>
      <c r="O59">
        <f t="shared" si="6"/>
        <v>-9</v>
      </c>
      <c r="R59" t="s">
        <v>79</v>
      </c>
      <c r="S59">
        <v>9.1428571428571423</v>
      </c>
      <c r="T59">
        <v>8.7142857142857135</v>
      </c>
    </row>
    <row r="60" spans="6:20" x14ac:dyDescent="0.25">
      <c r="F60" s="1" t="s">
        <v>22</v>
      </c>
      <c r="G60" s="1" t="s">
        <v>22</v>
      </c>
      <c r="L60" s="7" t="s">
        <v>33</v>
      </c>
      <c r="M60">
        <v>23</v>
      </c>
      <c r="N60">
        <v>18</v>
      </c>
      <c r="O60">
        <f t="shared" si="6"/>
        <v>5</v>
      </c>
      <c r="R60" t="s">
        <v>197</v>
      </c>
      <c r="S60">
        <v>124.47619047619048</v>
      </c>
      <c r="T60">
        <v>67.238095238095241</v>
      </c>
    </row>
    <row r="61" spans="6:20" x14ac:dyDescent="0.25">
      <c r="F61" s="1" t="s">
        <v>33</v>
      </c>
      <c r="G61" s="1" t="s">
        <v>22</v>
      </c>
      <c r="L61" s="7" t="s">
        <v>23</v>
      </c>
      <c r="M61">
        <v>3</v>
      </c>
      <c r="N61">
        <v>3</v>
      </c>
      <c r="O61">
        <f t="shared" si="6"/>
        <v>0</v>
      </c>
      <c r="R61" t="s">
        <v>198</v>
      </c>
      <c r="S61">
        <v>7</v>
      </c>
      <c r="T61">
        <v>7</v>
      </c>
    </row>
    <row r="62" spans="6:20" x14ac:dyDescent="0.25">
      <c r="F62" s="1" t="s">
        <v>22</v>
      </c>
      <c r="G62" s="9" t="s">
        <v>191</v>
      </c>
      <c r="L62" s="7" t="s">
        <v>39</v>
      </c>
      <c r="M62">
        <v>7</v>
      </c>
      <c r="N62">
        <v>0</v>
      </c>
      <c r="O62">
        <f t="shared" si="6"/>
        <v>7</v>
      </c>
      <c r="R62" t="s">
        <v>199</v>
      </c>
      <c r="S62">
        <v>0.7383447652592503</v>
      </c>
    </row>
    <row r="63" spans="6:20" x14ac:dyDescent="0.25">
      <c r="F63" s="1" t="s">
        <v>22</v>
      </c>
      <c r="G63" s="1" t="s">
        <v>33</v>
      </c>
      <c r="M63">
        <f>SUM(M56:M62)</f>
        <v>64</v>
      </c>
      <c r="N63">
        <f>SUM(N56:N62)</f>
        <v>61</v>
      </c>
      <c r="R63" t="s">
        <v>200</v>
      </c>
      <c r="S63">
        <v>0</v>
      </c>
    </row>
    <row r="64" spans="6:20" x14ac:dyDescent="0.25">
      <c r="F64" s="1" t="s">
        <v>33</v>
      </c>
      <c r="G64" s="1" t="s">
        <v>33</v>
      </c>
      <c r="R64" t="s">
        <v>201</v>
      </c>
      <c r="S64">
        <v>6</v>
      </c>
    </row>
    <row r="65" spans="5:21" x14ac:dyDescent="0.25">
      <c r="F65" s="1" t="s">
        <v>33</v>
      </c>
      <c r="G65" s="1" t="s">
        <v>183</v>
      </c>
      <c r="R65" s="65" t="s">
        <v>202</v>
      </c>
      <c r="S65" s="65">
        <v>0.15069226296019289</v>
      </c>
    </row>
    <row r="66" spans="5:21" x14ac:dyDescent="0.25">
      <c r="F66" s="1" t="s">
        <v>22</v>
      </c>
      <c r="R66" t="s">
        <v>203</v>
      </c>
      <c r="S66">
        <v>0.44257849964304441</v>
      </c>
    </row>
    <row r="67" spans="5:21" x14ac:dyDescent="0.25">
      <c r="F67" s="1" t="s">
        <v>33</v>
      </c>
      <c r="R67" s="65" t="s">
        <v>204</v>
      </c>
      <c r="S67" s="65">
        <v>1.9431802805153</v>
      </c>
    </row>
    <row r="68" spans="5:21" x14ac:dyDescent="0.25">
      <c r="R68" t="s">
        <v>205</v>
      </c>
      <c r="S68">
        <v>0.88515699928608882</v>
      </c>
    </row>
    <row r="69" spans="5:21" ht="13.8" thickBot="1" x14ac:dyDescent="0.3">
      <c r="R69" s="49" t="s">
        <v>206</v>
      </c>
      <c r="S69" s="49">
        <v>2.4469118511449697</v>
      </c>
      <c r="T69" s="49"/>
    </row>
    <row r="70" spans="5:21" x14ac:dyDescent="0.25">
      <c r="L70" s="9" t="s">
        <v>117</v>
      </c>
      <c r="M70">
        <v>0.05</v>
      </c>
    </row>
    <row r="72" spans="5:21" x14ac:dyDescent="0.25">
      <c r="L72" s="9" t="s">
        <v>118</v>
      </c>
      <c r="M72" s="9" t="s">
        <v>119</v>
      </c>
    </row>
    <row r="73" spans="5:21" x14ac:dyDescent="0.25">
      <c r="L73" s="9" t="s">
        <v>120</v>
      </c>
      <c r="M73" s="9" t="s">
        <v>121</v>
      </c>
      <c r="N73" s="9"/>
    </row>
    <row r="74" spans="5:21" x14ac:dyDescent="0.25">
      <c r="N74" s="9"/>
      <c r="R74" s="94" t="s">
        <v>207</v>
      </c>
      <c r="S74" s="95"/>
      <c r="T74" s="95"/>
      <c r="U74" s="95"/>
    </row>
    <row r="75" spans="5:21" x14ac:dyDescent="0.25">
      <c r="N75" s="9"/>
      <c r="O75" s="9"/>
      <c r="R75" s="95"/>
      <c r="S75" s="95"/>
      <c r="T75" s="95"/>
      <c r="U75" s="95"/>
    </row>
    <row r="76" spans="5:21" x14ac:dyDescent="0.25">
      <c r="G76" s="73" t="s">
        <v>140</v>
      </c>
      <c r="H76" s="74" t="s">
        <v>232</v>
      </c>
      <c r="I76" s="74" t="s">
        <v>233</v>
      </c>
      <c r="J76" s="74" t="s">
        <v>234</v>
      </c>
      <c r="K76" s="20"/>
      <c r="L76" s="21"/>
      <c r="R76" s="95"/>
      <c r="S76" s="95"/>
      <c r="T76" s="95"/>
      <c r="U76" s="95"/>
    </row>
    <row r="77" spans="5:21" x14ac:dyDescent="0.25">
      <c r="G77" s="75" t="s">
        <v>22</v>
      </c>
      <c r="H77" s="70">
        <v>27</v>
      </c>
      <c r="I77" s="70">
        <f>$H$82/COUNT($H$77:$H$81)</f>
        <v>12.8</v>
      </c>
      <c r="J77" s="70">
        <f>(POWER(H77-I77,2)/I77)</f>
        <v>15.753124999999999</v>
      </c>
      <c r="K77" s="70"/>
      <c r="L77" s="76"/>
      <c r="R77" s="95"/>
      <c r="S77" s="95"/>
      <c r="T77" s="95"/>
      <c r="U77" s="95"/>
    </row>
    <row r="78" spans="5:21" x14ac:dyDescent="0.25">
      <c r="G78" s="75" t="s">
        <v>50</v>
      </c>
      <c r="H78" s="70">
        <v>4</v>
      </c>
      <c r="I78" s="70">
        <f>$H$82/COUNT($H$77:$H$81)</f>
        <v>12.8</v>
      </c>
      <c r="J78" s="70">
        <f t="shared" ref="J78:J81" si="7">(POWER(H78-I78,2)/I78)</f>
        <v>6.0500000000000007</v>
      </c>
      <c r="K78" s="70"/>
      <c r="L78" s="76"/>
      <c r="N78" s="61">
        <v>0.15</v>
      </c>
      <c r="O78" s="18">
        <v>1.94</v>
      </c>
    </row>
    <row r="79" spans="5:21" x14ac:dyDescent="0.25">
      <c r="G79" s="75" t="s">
        <v>33</v>
      </c>
      <c r="H79" s="70">
        <v>23</v>
      </c>
      <c r="I79" s="70">
        <f>$H$82/COUNT($H$77:$H$81)</f>
        <v>12.8</v>
      </c>
      <c r="J79" s="70">
        <f t="shared" si="7"/>
        <v>8.1281249999999989</v>
      </c>
      <c r="K79" s="70"/>
      <c r="L79" s="76"/>
    </row>
    <row r="80" spans="5:21" x14ac:dyDescent="0.25">
      <c r="E80" t="s">
        <v>264</v>
      </c>
      <c r="G80" s="75" t="s">
        <v>23</v>
      </c>
      <c r="H80" s="70">
        <v>3</v>
      </c>
      <c r="I80" s="70">
        <f>$H$82/COUNT($H$77:$H$81)</f>
        <v>12.8</v>
      </c>
      <c r="J80" s="70">
        <f t="shared" si="7"/>
        <v>7.5031250000000016</v>
      </c>
      <c r="K80" s="70"/>
      <c r="L80" s="76"/>
    </row>
    <row r="81" spans="4:18" x14ac:dyDescent="0.25">
      <c r="G81" s="75" t="s">
        <v>39</v>
      </c>
      <c r="H81" s="70">
        <v>7</v>
      </c>
      <c r="I81" s="70">
        <f>$H$82/COUNT($H$77:$H$81)</f>
        <v>12.8</v>
      </c>
      <c r="J81" s="70">
        <f t="shared" si="7"/>
        <v>2.6281250000000003</v>
      </c>
      <c r="K81" s="70"/>
      <c r="L81" s="76"/>
    </row>
    <row r="82" spans="4:18" x14ac:dyDescent="0.25">
      <c r="D82" t="s">
        <v>266</v>
      </c>
      <c r="G82" s="75"/>
      <c r="H82" s="70">
        <f>SUM(H77:H81)</f>
        <v>64</v>
      </c>
      <c r="I82" s="70"/>
      <c r="J82" s="70">
        <f>SUM(J77:J81)</f>
        <v>40.0625</v>
      </c>
      <c r="K82" s="77" t="s">
        <v>235</v>
      </c>
      <c r="L82" s="76"/>
    </row>
    <row r="83" spans="4:18" x14ac:dyDescent="0.25">
      <c r="G83" s="75"/>
      <c r="H83" s="70"/>
      <c r="I83" s="70"/>
      <c r="J83" s="70"/>
      <c r="K83" s="70"/>
      <c r="L83" s="76"/>
      <c r="R83">
        <f>_xlfn.T.DIST.RT(S67,S64)</f>
        <v>5.0000000000000239E-2</v>
      </c>
    </row>
    <row r="84" spans="4:18" x14ac:dyDescent="0.25">
      <c r="G84" s="75"/>
      <c r="H84" s="70"/>
      <c r="I84" s="70"/>
      <c r="J84" s="72" t="s">
        <v>117</v>
      </c>
      <c r="K84" s="70">
        <v>0.05</v>
      </c>
      <c r="L84" s="76"/>
    </row>
    <row r="85" spans="4:18" x14ac:dyDescent="0.25">
      <c r="G85" s="75"/>
      <c r="H85" s="70"/>
      <c r="I85" s="70"/>
      <c r="J85" s="72" t="s">
        <v>236</v>
      </c>
      <c r="K85" s="70">
        <f>COUNT(H77:H81)-1</f>
        <v>4</v>
      </c>
      <c r="L85" s="76"/>
      <c r="R85">
        <f>_xlfn.T.DIST.RT(S65,S64)</f>
        <v>0.44257849964304441</v>
      </c>
    </row>
    <row r="86" spans="4:18" x14ac:dyDescent="0.25">
      <c r="G86" s="75"/>
      <c r="H86" s="70"/>
      <c r="I86" s="70"/>
      <c r="J86" s="72" t="s">
        <v>237</v>
      </c>
      <c r="K86" s="70">
        <f>_xlfn.CHISQ.INV.RT(K84,K85)</f>
        <v>9.4877290367811575</v>
      </c>
      <c r="L86" s="76"/>
    </row>
    <row r="87" spans="4:18" x14ac:dyDescent="0.25">
      <c r="G87" s="78"/>
      <c r="H87" s="71"/>
      <c r="I87" s="71"/>
      <c r="J87" s="71"/>
      <c r="K87" s="70"/>
      <c r="L87" s="76"/>
    </row>
    <row r="88" spans="4:18" x14ac:dyDescent="0.25">
      <c r="G88" s="79"/>
      <c r="H88" s="66"/>
      <c r="I88" s="66"/>
      <c r="J88" s="66"/>
      <c r="K88" s="71"/>
      <c r="L88" s="76"/>
    </row>
    <row r="89" spans="4:18" x14ac:dyDescent="0.25">
      <c r="G89" s="79"/>
      <c r="H89" s="66"/>
      <c r="I89" s="66"/>
      <c r="J89" s="66"/>
      <c r="K89" s="66"/>
      <c r="L89" s="76"/>
    </row>
    <row r="90" spans="4:18" x14ac:dyDescent="0.25">
      <c r="G90" s="79"/>
      <c r="H90" s="66"/>
      <c r="I90" s="66"/>
      <c r="J90" s="66"/>
      <c r="K90" s="66"/>
      <c r="L90" s="76"/>
    </row>
    <row r="91" spans="4:18" x14ac:dyDescent="0.25">
      <c r="G91" s="79"/>
      <c r="H91" s="66"/>
      <c r="I91" s="66"/>
      <c r="J91" s="66"/>
      <c r="K91" s="66"/>
      <c r="L91" s="76"/>
    </row>
    <row r="92" spans="4:18" x14ac:dyDescent="0.25">
      <c r="G92" s="79"/>
      <c r="H92" s="66"/>
      <c r="I92" s="66"/>
      <c r="J92" s="66"/>
      <c r="K92" s="66"/>
      <c r="L92" s="76"/>
    </row>
    <row r="93" spans="4:18" x14ac:dyDescent="0.25">
      <c r="G93" s="79"/>
      <c r="H93" s="66"/>
      <c r="I93" s="66"/>
      <c r="J93" s="66"/>
      <c r="K93" s="66"/>
      <c r="L93" s="76"/>
    </row>
    <row r="94" spans="4:18" x14ac:dyDescent="0.25">
      <c r="G94" s="79"/>
      <c r="H94" s="66"/>
      <c r="I94" s="66"/>
      <c r="J94" s="66"/>
      <c r="K94" s="66"/>
      <c r="L94" s="76"/>
    </row>
    <row r="95" spans="4:18" x14ac:dyDescent="0.25">
      <c r="G95" s="75"/>
      <c r="H95" s="70"/>
      <c r="I95" s="70"/>
      <c r="J95" s="70"/>
      <c r="K95" s="66"/>
      <c r="L95" s="76"/>
    </row>
    <row r="96" spans="4:18" x14ac:dyDescent="0.25">
      <c r="G96" s="75"/>
      <c r="H96" s="70"/>
      <c r="I96" s="70"/>
      <c r="J96" s="70"/>
      <c r="K96" s="70"/>
      <c r="L96" s="76"/>
    </row>
    <row r="97" spans="7:12" x14ac:dyDescent="0.25">
      <c r="G97" s="75"/>
      <c r="H97" s="70"/>
      <c r="I97" s="80">
        <f>K86</f>
        <v>9.4877290367811575</v>
      </c>
      <c r="J97" s="80"/>
      <c r="K97" s="80">
        <f>J82</f>
        <v>40.0625</v>
      </c>
      <c r="L97" s="76"/>
    </row>
    <row r="98" spans="7:12" x14ac:dyDescent="0.25">
      <c r="G98" s="75"/>
      <c r="H98" s="72" t="s">
        <v>238</v>
      </c>
      <c r="I98" s="70"/>
      <c r="J98" s="70"/>
      <c r="K98" s="70"/>
      <c r="L98" s="76"/>
    </row>
    <row r="99" spans="7:12" x14ac:dyDescent="0.25">
      <c r="G99" s="75"/>
      <c r="H99" s="72" t="s">
        <v>239</v>
      </c>
      <c r="I99" s="70"/>
      <c r="J99" s="70"/>
      <c r="K99" s="70"/>
      <c r="L99" s="76"/>
    </row>
    <row r="100" spans="7:12" x14ac:dyDescent="0.25">
      <c r="G100" s="75"/>
      <c r="H100" s="70"/>
      <c r="I100" s="70"/>
      <c r="J100" s="70"/>
      <c r="K100" s="70"/>
      <c r="L100" s="76"/>
    </row>
    <row r="101" spans="7:12" x14ac:dyDescent="0.25">
      <c r="G101" s="81" t="s">
        <v>240</v>
      </c>
      <c r="H101" s="70"/>
      <c r="I101" s="70"/>
      <c r="J101" s="70"/>
      <c r="K101" s="70"/>
      <c r="L101" s="76"/>
    </row>
    <row r="102" spans="7:12" x14ac:dyDescent="0.25">
      <c r="G102" s="82" t="s">
        <v>241</v>
      </c>
      <c r="H102" s="27"/>
      <c r="I102" s="27"/>
      <c r="J102" s="27"/>
      <c r="K102" s="27"/>
      <c r="L102" s="28"/>
    </row>
  </sheetData>
  <mergeCells count="3">
    <mergeCell ref="K6:O6"/>
    <mergeCell ref="Q6:U6"/>
    <mergeCell ref="R74:U77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BA48B-49C6-4F9F-932A-6727E764657C}">
  <dimension ref="A4:V127"/>
  <sheetViews>
    <sheetView topLeftCell="A82" zoomScale="85" zoomScaleNormal="85" workbookViewId="0">
      <selection activeCell="F107" sqref="F107"/>
    </sheetView>
  </sheetViews>
  <sheetFormatPr baseColWidth="10" defaultRowHeight="13.2" x14ac:dyDescent="0.25"/>
  <cols>
    <col min="5" max="5" width="52.6640625" customWidth="1"/>
    <col min="18" max="18" width="17.6640625" bestFit="1" customWidth="1"/>
  </cols>
  <sheetData>
    <row r="4" spans="1:22" x14ac:dyDescent="0.25">
      <c r="E4" s="1" t="s">
        <v>18</v>
      </c>
      <c r="F4" s="1" t="s">
        <v>19</v>
      </c>
      <c r="R4" s="95" t="s">
        <v>208</v>
      </c>
      <c r="S4" s="95"/>
      <c r="T4" s="95"/>
      <c r="U4" s="95"/>
      <c r="V4" s="95"/>
    </row>
    <row r="5" spans="1:22" x14ac:dyDescent="0.25">
      <c r="A5" t="s">
        <v>51</v>
      </c>
      <c r="B5" t="s">
        <v>30</v>
      </c>
      <c r="C5" t="s">
        <v>209</v>
      </c>
      <c r="E5" s="1" t="s">
        <v>210</v>
      </c>
      <c r="F5" s="1" t="s">
        <v>51</v>
      </c>
      <c r="R5" s="9" t="s">
        <v>211</v>
      </c>
      <c r="S5" s="9" t="s">
        <v>187</v>
      </c>
      <c r="T5" s="9" t="s">
        <v>188</v>
      </c>
      <c r="U5" s="9" t="s">
        <v>189</v>
      </c>
      <c r="V5" s="9" t="s">
        <v>190</v>
      </c>
    </row>
    <row r="6" spans="1:22" x14ac:dyDescent="0.25">
      <c r="A6" t="s">
        <v>51</v>
      </c>
      <c r="B6" t="s">
        <v>39</v>
      </c>
      <c r="E6" s="1" t="s">
        <v>212</v>
      </c>
      <c r="F6" s="1" t="s">
        <v>51</v>
      </c>
      <c r="H6" t="s">
        <v>51</v>
      </c>
      <c r="R6" s="9" t="s">
        <v>51</v>
      </c>
      <c r="S6">
        <v>36</v>
      </c>
      <c r="T6">
        <f>S6</f>
        <v>36</v>
      </c>
      <c r="U6" s="63">
        <f>S6/$T$13</f>
        <v>0.37894736842105264</v>
      </c>
      <c r="V6" s="63">
        <f>U6</f>
        <v>0.37894736842105264</v>
      </c>
    </row>
    <row r="7" spans="1:22" x14ac:dyDescent="0.25">
      <c r="A7" t="s">
        <v>30</v>
      </c>
      <c r="E7" s="1" t="s">
        <v>30</v>
      </c>
      <c r="F7" s="1" t="s">
        <v>30</v>
      </c>
      <c r="H7" t="s">
        <v>30</v>
      </c>
      <c r="R7" s="9" t="s">
        <v>30</v>
      </c>
      <c r="S7">
        <v>27</v>
      </c>
      <c r="T7">
        <f>S7+T6</f>
        <v>63</v>
      </c>
      <c r="U7" s="63">
        <f t="shared" ref="U7:U12" si="0">S7/$T$13</f>
        <v>0.28421052631578947</v>
      </c>
      <c r="V7" s="63">
        <f t="shared" ref="V7:V12" si="1">V6+U7</f>
        <v>0.66315789473684217</v>
      </c>
    </row>
    <row r="8" spans="1:22" ht="13.8" x14ac:dyDescent="0.25">
      <c r="A8" t="s">
        <v>209</v>
      </c>
      <c r="E8" s="4" t="s">
        <v>209</v>
      </c>
      <c r="F8" s="1" t="s">
        <v>33</v>
      </c>
      <c r="H8" t="s">
        <v>209</v>
      </c>
      <c r="J8" s="9" t="s">
        <v>51</v>
      </c>
      <c r="K8" s="9" t="s">
        <v>30</v>
      </c>
      <c r="L8" s="9" t="s">
        <v>34</v>
      </c>
      <c r="M8" s="9" t="s">
        <v>40</v>
      </c>
      <c r="N8" s="9" t="s">
        <v>52</v>
      </c>
      <c r="O8" t="s">
        <v>39</v>
      </c>
      <c r="P8" s="9" t="s">
        <v>33</v>
      </c>
      <c r="R8" s="9" t="s">
        <v>34</v>
      </c>
      <c r="S8">
        <v>20</v>
      </c>
      <c r="T8">
        <f t="shared" ref="T8:T13" si="2">S8+T7</f>
        <v>83</v>
      </c>
      <c r="U8" s="63">
        <f t="shared" si="0"/>
        <v>0.21052631578947367</v>
      </c>
      <c r="V8" s="63">
        <f t="shared" si="1"/>
        <v>0.87368421052631584</v>
      </c>
    </row>
    <row r="9" spans="1:22" x14ac:dyDescent="0.25">
      <c r="A9" t="s">
        <v>51</v>
      </c>
      <c r="B9" t="s">
        <v>30</v>
      </c>
      <c r="E9" s="1" t="s">
        <v>213</v>
      </c>
      <c r="F9" s="1" t="s">
        <v>30</v>
      </c>
      <c r="H9" s="9" t="s">
        <v>40</v>
      </c>
      <c r="I9" s="9" t="s">
        <v>140</v>
      </c>
      <c r="J9">
        <v>36</v>
      </c>
      <c r="K9">
        <f>COUNTIF($A$5:$C$64,H7)</f>
        <v>27</v>
      </c>
      <c r="L9">
        <f>COUNTIF($A$5:$C$64,H8)</f>
        <v>20</v>
      </c>
      <c r="M9">
        <v>3</v>
      </c>
      <c r="N9">
        <f>COUNTIF($A$5:$D$64,H10)</f>
        <v>3</v>
      </c>
      <c r="O9">
        <f>COUNTIF($A$5:$D$64,H11)</f>
        <v>6</v>
      </c>
      <c r="P9">
        <v>0</v>
      </c>
      <c r="R9" s="9" t="s">
        <v>40</v>
      </c>
      <c r="S9">
        <v>3</v>
      </c>
      <c r="T9">
        <f t="shared" si="2"/>
        <v>86</v>
      </c>
      <c r="U9" s="63">
        <f t="shared" si="0"/>
        <v>3.1578947368421054E-2</v>
      </c>
      <c r="V9" s="63">
        <f t="shared" si="1"/>
        <v>0.90526315789473688</v>
      </c>
    </row>
    <row r="10" spans="1:22" x14ac:dyDescent="0.25">
      <c r="A10" t="s">
        <v>209</v>
      </c>
      <c r="E10" s="1" t="s">
        <v>209</v>
      </c>
      <c r="F10" s="1" t="s">
        <v>209</v>
      </c>
      <c r="H10" s="9" t="s">
        <v>214</v>
      </c>
      <c r="I10" s="9" t="s">
        <v>142</v>
      </c>
      <c r="J10">
        <f>COUNTIF($A$68:$B$127,H6)</f>
        <v>20</v>
      </c>
      <c r="K10">
        <f>COUNTIF($A$68:$B$127,H7)</f>
        <v>17</v>
      </c>
      <c r="L10">
        <v>14</v>
      </c>
      <c r="M10">
        <v>6</v>
      </c>
      <c r="N10">
        <f>COUNTIF($A$68:$B$127,H10)</f>
        <v>0</v>
      </c>
      <c r="O10">
        <f>COUNTIF($A$68:$B$127,H11)</f>
        <v>0</v>
      </c>
      <c r="P10">
        <v>16</v>
      </c>
      <c r="R10" s="9" t="s">
        <v>52</v>
      </c>
      <c r="S10">
        <v>3</v>
      </c>
      <c r="T10">
        <f t="shared" si="2"/>
        <v>89</v>
      </c>
      <c r="U10" s="63">
        <f t="shared" si="0"/>
        <v>3.1578947368421054E-2</v>
      </c>
      <c r="V10" s="63">
        <f t="shared" si="1"/>
        <v>0.93684210526315792</v>
      </c>
    </row>
    <row r="11" spans="1:22" x14ac:dyDescent="0.25">
      <c r="A11" t="s">
        <v>40</v>
      </c>
      <c r="E11" s="1" t="s">
        <v>40</v>
      </c>
      <c r="F11" s="1" t="s">
        <v>33</v>
      </c>
      <c r="H11" t="s">
        <v>39</v>
      </c>
      <c r="R11" t="s">
        <v>39</v>
      </c>
      <c r="S11">
        <v>6</v>
      </c>
      <c r="T11">
        <f t="shared" si="2"/>
        <v>95</v>
      </c>
      <c r="U11" s="63">
        <f t="shared" si="0"/>
        <v>6.3157894736842107E-2</v>
      </c>
      <c r="V11" s="63">
        <f t="shared" si="1"/>
        <v>1</v>
      </c>
    </row>
    <row r="12" spans="1:22" x14ac:dyDescent="0.25">
      <c r="A12" t="s">
        <v>51</v>
      </c>
      <c r="B12" t="s">
        <v>30</v>
      </c>
      <c r="E12" s="1" t="s">
        <v>213</v>
      </c>
      <c r="F12" s="1" t="s">
        <v>33</v>
      </c>
      <c r="R12" s="9" t="s">
        <v>33</v>
      </c>
      <c r="S12">
        <v>0</v>
      </c>
      <c r="T12">
        <f t="shared" si="2"/>
        <v>95</v>
      </c>
      <c r="U12" s="63">
        <f t="shared" si="0"/>
        <v>0</v>
      </c>
      <c r="V12" s="63">
        <f t="shared" si="1"/>
        <v>1</v>
      </c>
    </row>
    <row r="13" spans="1:22" x14ac:dyDescent="0.25">
      <c r="A13" t="s">
        <v>51</v>
      </c>
      <c r="B13" t="s">
        <v>30</v>
      </c>
      <c r="C13" t="s">
        <v>209</v>
      </c>
      <c r="E13" s="1" t="s">
        <v>210</v>
      </c>
      <c r="F13" s="1" t="s">
        <v>33</v>
      </c>
      <c r="T13">
        <f t="shared" si="2"/>
        <v>95</v>
      </c>
      <c r="U13" s="63">
        <f>SUM(U6:U12)</f>
        <v>1</v>
      </c>
    </row>
    <row r="14" spans="1:22" x14ac:dyDescent="0.25">
      <c r="A14" t="s">
        <v>30</v>
      </c>
      <c r="E14" s="1" t="s">
        <v>30</v>
      </c>
      <c r="F14" s="1" t="s">
        <v>33</v>
      </c>
      <c r="J14">
        <v>20</v>
      </c>
      <c r="K14">
        <v>17</v>
      </c>
      <c r="L14">
        <v>14</v>
      </c>
      <c r="M14">
        <v>6</v>
      </c>
      <c r="N14">
        <v>0</v>
      </c>
      <c r="O14">
        <v>0</v>
      </c>
      <c r="P14">
        <v>16</v>
      </c>
      <c r="R14" s="95" t="s">
        <v>208</v>
      </c>
      <c r="S14" s="95"/>
      <c r="T14" s="95"/>
      <c r="U14" s="95"/>
      <c r="V14" s="95"/>
    </row>
    <row r="15" spans="1:22" x14ac:dyDescent="0.25">
      <c r="A15" t="s">
        <v>51</v>
      </c>
      <c r="B15" t="s">
        <v>209</v>
      </c>
      <c r="C15" s="9" t="s">
        <v>40</v>
      </c>
      <c r="E15" s="1" t="s">
        <v>215</v>
      </c>
      <c r="F15" s="1" t="s">
        <v>215</v>
      </c>
      <c r="R15" s="9" t="s">
        <v>211</v>
      </c>
      <c r="S15" s="9" t="s">
        <v>187</v>
      </c>
      <c r="T15" s="9" t="s">
        <v>188</v>
      </c>
      <c r="U15" s="9" t="s">
        <v>189</v>
      </c>
      <c r="V15" s="9" t="s">
        <v>190</v>
      </c>
    </row>
    <row r="16" spans="1:22" x14ac:dyDescent="0.25">
      <c r="A16" t="s">
        <v>51</v>
      </c>
      <c r="E16" s="1" t="s">
        <v>51</v>
      </c>
      <c r="F16" s="1" t="s">
        <v>216</v>
      </c>
      <c r="R16" s="9" t="s">
        <v>51</v>
      </c>
      <c r="S16">
        <v>20</v>
      </c>
      <c r="T16">
        <f>S16</f>
        <v>20</v>
      </c>
      <c r="U16" s="63">
        <f>S16/$T$22</f>
        <v>0.27397260273972601</v>
      </c>
      <c r="V16" s="63">
        <f>U16</f>
        <v>0.27397260273972601</v>
      </c>
    </row>
    <row r="17" spans="1:22" x14ac:dyDescent="0.25">
      <c r="A17" t="s">
        <v>51</v>
      </c>
      <c r="B17" t="s">
        <v>30</v>
      </c>
      <c r="E17" s="1" t="s">
        <v>213</v>
      </c>
      <c r="F17" s="1" t="s">
        <v>51</v>
      </c>
      <c r="R17" s="9" t="s">
        <v>30</v>
      </c>
      <c r="S17">
        <v>17</v>
      </c>
      <c r="T17">
        <f t="shared" ref="T17:T22" si="3">S17+T16</f>
        <v>37</v>
      </c>
      <c r="U17" s="63">
        <f t="shared" ref="U17:U23" si="4">S17/$T$22</f>
        <v>0.23287671232876711</v>
      </c>
      <c r="V17" s="63">
        <f t="shared" ref="V17:V22" si="5">V16+U17</f>
        <v>0.50684931506849318</v>
      </c>
    </row>
    <row r="18" spans="1:22" x14ac:dyDescent="0.25">
      <c r="A18" t="s">
        <v>51</v>
      </c>
      <c r="B18" t="s">
        <v>30</v>
      </c>
      <c r="C18" t="s">
        <v>39</v>
      </c>
      <c r="E18" s="1" t="s">
        <v>217</v>
      </c>
      <c r="F18" s="1" t="s">
        <v>33</v>
      </c>
      <c r="R18" s="9" t="s">
        <v>34</v>
      </c>
      <c r="S18">
        <v>14</v>
      </c>
      <c r="T18">
        <f t="shared" si="3"/>
        <v>51</v>
      </c>
      <c r="U18" s="63">
        <f t="shared" si="4"/>
        <v>0.19178082191780821</v>
      </c>
      <c r="V18" s="63">
        <f t="shared" si="5"/>
        <v>0.69863013698630139</v>
      </c>
    </row>
    <row r="19" spans="1:22" x14ac:dyDescent="0.25">
      <c r="A19" t="s">
        <v>51</v>
      </c>
      <c r="B19" t="s">
        <v>30</v>
      </c>
      <c r="C19" t="s">
        <v>209</v>
      </c>
      <c r="E19" s="1" t="s">
        <v>210</v>
      </c>
      <c r="F19" s="1" t="s">
        <v>33</v>
      </c>
      <c r="R19" s="9" t="s">
        <v>40</v>
      </c>
      <c r="S19">
        <v>6</v>
      </c>
      <c r="T19">
        <f t="shared" si="3"/>
        <v>57</v>
      </c>
      <c r="U19" s="63">
        <f t="shared" si="4"/>
        <v>8.2191780821917804E-2</v>
      </c>
      <c r="V19" s="63">
        <f t="shared" si="5"/>
        <v>0.78082191780821919</v>
      </c>
    </row>
    <row r="20" spans="1:22" x14ac:dyDescent="0.25">
      <c r="A20" t="s">
        <v>39</v>
      </c>
      <c r="E20" s="1" t="s">
        <v>39</v>
      </c>
      <c r="F20" s="1" t="s">
        <v>33</v>
      </c>
      <c r="R20" s="9" t="s">
        <v>52</v>
      </c>
      <c r="S20">
        <v>0</v>
      </c>
      <c r="T20">
        <f t="shared" si="3"/>
        <v>57</v>
      </c>
      <c r="U20" s="63">
        <f t="shared" si="4"/>
        <v>0</v>
      </c>
      <c r="V20" s="63">
        <f t="shared" si="5"/>
        <v>0.78082191780821919</v>
      </c>
    </row>
    <row r="21" spans="1:22" x14ac:dyDescent="0.25">
      <c r="A21" t="s">
        <v>51</v>
      </c>
      <c r="E21" s="1" t="s">
        <v>51</v>
      </c>
      <c r="F21" s="1" t="s">
        <v>33</v>
      </c>
      <c r="R21" t="s">
        <v>39</v>
      </c>
      <c r="S21">
        <v>0</v>
      </c>
      <c r="T21">
        <f t="shared" si="3"/>
        <v>57</v>
      </c>
      <c r="U21" s="63">
        <f t="shared" si="4"/>
        <v>0</v>
      </c>
      <c r="V21" s="63">
        <f t="shared" si="5"/>
        <v>0.78082191780821919</v>
      </c>
    </row>
    <row r="22" spans="1:22" x14ac:dyDescent="0.25">
      <c r="A22" t="s">
        <v>51</v>
      </c>
      <c r="E22" s="1" t="s">
        <v>51</v>
      </c>
      <c r="F22" s="1" t="s">
        <v>40</v>
      </c>
      <c r="R22" s="9" t="s">
        <v>33</v>
      </c>
      <c r="S22">
        <v>16</v>
      </c>
      <c r="T22">
        <f t="shared" si="3"/>
        <v>73</v>
      </c>
      <c r="U22" s="63">
        <f t="shared" si="4"/>
        <v>0.21917808219178081</v>
      </c>
      <c r="V22" s="63">
        <f t="shared" si="5"/>
        <v>1</v>
      </c>
    </row>
    <row r="23" spans="1:22" x14ac:dyDescent="0.25">
      <c r="A23" t="s">
        <v>30</v>
      </c>
      <c r="E23" s="1" t="s">
        <v>30</v>
      </c>
      <c r="F23" s="1" t="s">
        <v>30</v>
      </c>
      <c r="U23" s="63">
        <f t="shared" si="4"/>
        <v>0</v>
      </c>
    </row>
    <row r="24" spans="1:22" x14ac:dyDescent="0.25">
      <c r="A24" t="s">
        <v>51</v>
      </c>
      <c r="E24" s="1" t="s">
        <v>51</v>
      </c>
      <c r="F24" s="1" t="s">
        <v>40</v>
      </c>
    </row>
    <row r="25" spans="1:22" x14ac:dyDescent="0.25">
      <c r="A25" t="s">
        <v>51</v>
      </c>
      <c r="B25" t="s">
        <v>209</v>
      </c>
      <c r="E25" s="1" t="s">
        <v>218</v>
      </c>
      <c r="F25" s="1" t="s">
        <v>218</v>
      </c>
    </row>
    <row r="26" spans="1:22" x14ac:dyDescent="0.25">
      <c r="A26" t="s">
        <v>51</v>
      </c>
      <c r="E26" s="1" t="s">
        <v>51</v>
      </c>
      <c r="F26" s="1" t="s">
        <v>51</v>
      </c>
    </row>
    <row r="27" spans="1:22" x14ac:dyDescent="0.25">
      <c r="A27" t="s">
        <v>51</v>
      </c>
      <c r="B27" t="s">
        <v>30</v>
      </c>
      <c r="C27" t="s">
        <v>39</v>
      </c>
      <c r="D27" t="s">
        <v>40</v>
      </c>
      <c r="E27" s="1" t="s">
        <v>219</v>
      </c>
      <c r="F27" s="1" t="s">
        <v>33</v>
      </c>
    </row>
    <row r="28" spans="1:22" x14ac:dyDescent="0.25">
      <c r="A28" t="s">
        <v>30</v>
      </c>
      <c r="E28" s="1" t="s">
        <v>30</v>
      </c>
      <c r="F28" s="1" t="s">
        <v>40</v>
      </c>
    </row>
    <row r="29" spans="1:22" x14ac:dyDescent="0.25">
      <c r="A29" t="s">
        <v>51</v>
      </c>
      <c r="E29" s="1" t="s">
        <v>51</v>
      </c>
      <c r="F29" s="1" t="s">
        <v>51</v>
      </c>
    </row>
    <row r="30" spans="1:22" x14ac:dyDescent="0.25">
      <c r="A30" t="s">
        <v>51</v>
      </c>
      <c r="B30" t="s">
        <v>30</v>
      </c>
      <c r="C30" t="s">
        <v>39</v>
      </c>
      <c r="D30" t="s">
        <v>40</v>
      </c>
      <c r="E30" s="1" t="s">
        <v>219</v>
      </c>
      <c r="F30" s="1" t="s">
        <v>220</v>
      </c>
    </row>
    <row r="31" spans="1:22" x14ac:dyDescent="0.25">
      <c r="A31" t="s">
        <v>51</v>
      </c>
      <c r="E31" s="1" t="s">
        <v>51</v>
      </c>
      <c r="F31" s="1" t="s">
        <v>33</v>
      </c>
    </row>
    <row r="32" spans="1:22" x14ac:dyDescent="0.25">
      <c r="A32" t="s">
        <v>30</v>
      </c>
      <c r="E32" s="1" t="s">
        <v>30</v>
      </c>
      <c r="F32" s="1" t="s">
        <v>30</v>
      </c>
    </row>
    <row r="33" spans="1:6" x14ac:dyDescent="0.25">
      <c r="A33" t="s">
        <v>209</v>
      </c>
      <c r="E33" s="1" t="s">
        <v>209</v>
      </c>
      <c r="F33" s="1" t="s">
        <v>33</v>
      </c>
    </row>
    <row r="34" spans="1:6" x14ac:dyDescent="0.25">
      <c r="A34" t="s">
        <v>51</v>
      </c>
      <c r="E34" s="1" t="s">
        <v>51</v>
      </c>
      <c r="F34" s="1" t="s">
        <v>51</v>
      </c>
    </row>
    <row r="35" spans="1:6" x14ac:dyDescent="0.25">
      <c r="A35" t="s">
        <v>221</v>
      </c>
      <c r="E35" s="1" t="s">
        <v>221</v>
      </c>
      <c r="F35" s="1" t="s">
        <v>30</v>
      </c>
    </row>
    <row r="36" spans="1:6" x14ac:dyDescent="0.25">
      <c r="A36" t="s">
        <v>209</v>
      </c>
      <c r="B36" t="s">
        <v>30</v>
      </c>
      <c r="E36" s="1" t="s">
        <v>222</v>
      </c>
      <c r="F36" s="1" t="s">
        <v>218</v>
      </c>
    </row>
    <row r="37" spans="1:6" x14ac:dyDescent="0.25">
      <c r="A37" t="s">
        <v>51</v>
      </c>
      <c r="E37" s="1" t="s">
        <v>51</v>
      </c>
      <c r="F37" s="1" t="s">
        <v>30</v>
      </c>
    </row>
    <row r="38" spans="1:6" x14ac:dyDescent="0.25">
      <c r="A38" t="s">
        <v>51</v>
      </c>
      <c r="B38" t="s">
        <v>30</v>
      </c>
      <c r="C38" t="s">
        <v>209</v>
      </c>
      <c r="E38" s="1" t="s">
        <v>210</v>
      </c>
      <c r="F38" s="1" t="s">
        <v>30</v>
      </c>
    </row>
    <row r="39" spans="1:6" x14ac:dyDescent="0.25">
      <c r="A39" t="s">
        <v>30</v>
      </c>
      <c r="B39" t="s">
        <v>214</v>
      </c>
      <c r="E39" s="1" t="s">
        <v>223</v>
      </c>
      <c r="F39" s="1" t="s">
        <v>218</v>
      </c>
    </row>
    <row r="40" spans="1:6" x14ac:dyDescent="0.25">
      <c r="A40" t="s">
        <v>209</v>
      </c>
      <c r="E40" s="1" t="s">
        <v>209</v>
      </c>
      <c r="F40" s="1" t="s">
        <v>209</v>
      </c>
    </row>
    <row r="41" spans="1:6" x14ac:dyDescent="0.25">
      <c r="A41" t="s">
        <v>51</v>
      </c>
      <c r="B41" t="s">
        <v>30</v>
      </c>
      <c r="C41" t="s">
        <v>209</v>
      </c>
      <c r="E41" s="1" t="s">
        <v>210</v>
      </c>
      <c r="F41" s="1" t="s">
        <v>30</v>
      </c>
    </row>
    <row r="42" spans="1:6" x14ac:dyDescent="0.25">
      <c r="A42" t="s">
        <v>30</v>
      </c>
      <c r="B42" t="s">
        <v>214</v>
      </c>
      <c r="E42" s="1" t="s">
        <v>223</v>
      </c>
      <c r="F42" s="1" t="s">
        <v>218</v>
      </c>
    </row>
    <row r="43" spans="1:6" x14ac:dyDescent="0.25">
      <c r="A43" t="s">
        <v>209</v>
      </c>
      <c r="E43" s="1" t="s">
        <v>209</v>
      </c>
      <c r="F43" s="1" t="s">
        <v>218</v>
      </c>
    </row>
    <row r="44" spans="1:6" x14ac:dyDescent="0.25">
      <c r="A44" t="s">
        <v>51</v>
      </c>
      <c r="E44" s="1" t="s">
        <v>51</v>
      </c>
      <c r="F44" s="1" t="s">
        <v>51</v>
      </c>
    </row>
    <row r="45" spans="1:6" x14ac:dyDescent="0.25">
      <c r="A45" t="s">
        <v>30</v>
      </c>
      <c r="E45" s="1" t="s">
        <v>30</v>
      </c>
      <c r="F45" s="1" t="s">
        <v>30</v>
      </c>
    </row>
    <row r="46" spans="1:6" x14ac:dyDescent="0.25">
      <c r="A46" t="s">
        <v>51</v>
      </c>
      <c r="B46" t="s">
        <v>209</v>
      </c>
      <c r="E46" s="1" t="s">
        <v>218</v>
      </c>
      <c r="F46" s="1" t="s">
        <v>51</v>
      </c>
    </row>
    <row r="47" spans="1:6" x14ac:dyDescent="0.25">
      <c r="A47" t="s">
        <v>51</v>
      </c>
      <c r="E47" s="1" t="s">
        <v>51</v>
      </c>
      <c r="F47" s="1" t="s">
        <v>209</v>
      </c>
    </row>
    <row r="48" spans="1:6" x14ac:dyDescent="0.25">
      <c r="A48" t="s">
        <v>30</v>
      </c>
      <c r="E48" s="1" t="s">
        <v>30</v>
      </c>
      <c r="F48" s="1" t="s">
        <v>51</v>
      </c>
    </row>
    <row r="49" spans="1:20" x14ac:dyDescent="0.25">
      <c r="A49" t="s">
        <v>209</v>
      </c>
      <c r="E49" s="1" t="s">
        <v>209</v>
      </c>
      <c r="F49" s="1" t="s">
        <v>209</v>
      </c>
    </row>
    <row r="50" spans="1:20" x14ac:dyDescent="0.25">
      <c r="A50" t="s">
        <v>209</v>
      </c>
      <c r="B50" t="s">
        <v>30</v>
      </c>
      <c r="E50" s="1" t="s">
        <v>222</v>
      </c>
      <c r="F50" s="1" t="s">
        <v>210</v>
      </c>
    </row>
    <row r="51" spans="1:20" x14ac:dyDescent="0.25">
      <c r="A51" t="s">
        <v>51</v>
      </c>
      <c r="E51" s="1" t="s">
        <v>51</v>
      </c>
      <c r="F51" s="1" t="s">
        <v>33</v>
      </c>
    </row>
    <row r="52" spans="1:20" x14ac:dyDescent="0.25">
      <c r="A52" t="s">
        <v>30</v>
      </c>
      <c r="E52" s="1" t="s">
        <v>30</v>
      </c>
      <c r="F52" s="1" t="s">
        <v>30</v>
      </c>
    </row>
    <row r="53" spans="1:20" x14ac:dyDescent="0.25">
      <c r="A53" t="s">
        <v>51</v>
      </c>
      <c r="E53" s="1" t="s">
        <v>51</v>
      </c>
      <c r="F53" s="1" t="s">
        <v>51</v>
      </c>
    </row>
    <row r="54" spans="1:20" x14ac:dyDescent="0.25">
      <c r="A54" t="s">
        <v>51</v>
      </c>
      <c r="B54" t="s">
        <v>209</v>
      </c>
      <c r="E54" s="1" t="s">
        <v>218</v>
      </c>
      <c r="F54" s="1" t="s">
        <v>218</v>
      </c>
    </row>
    <row r="55" spans="1:20" x14ac:dyDescent="0.25">
      <c r="A55" t="s">
        <v>51</v>
      </c>
      <c r="B55" t="s">
        <v>209</v>
      </c>
      <c r="E55" s="1" t="s">
        <v>218</v>
      </c>
      <c r="F55" s="1" t="s">
        <v>33</v>
      </c>
      <c r="K55" s="9"/>
      <c r="L55" s="9" t="s">
        <v>140</v>
      </c>
      <c r="M55" s="9" t="s">
        <v>195</v>
      </c>
      <c r="N55" s="9" t="s">
        <v>116</v>
      </c>
    </row>
    <row r="56" spans="1:20" x14ac:dyDescent="0.25">
      <c r="A56" t="s">
        <v>39</v>
      </c>
      <c r="E56" s="1" t="s">
        <v>39</v>
      </c>
      <c r="F56" s="1" t="s">
        <v>30</v>
      </c>
      <c r="K56" s="9" t="s">
        <v>51</v>
      </c>
      <c r="L56">
        <v>36</v>
      </c>
      <c r="M56">
        <v>20</v>
      </c>
      <c r="N56">
        <f>L56-M56</f>
        <v>16</v>
      </c>
      <c r="R56" t="s">
        <v>196</v>
      </c>
    </row>
    <row r="57" spans="1:20" ht="13.8" thickBot="1" x14ac:dyDescent="0.3">
      <c r="A57" t="s">
        <v>30</v>
      </c>
      <c r="E57" s="1" t="s">
        <v>30</v>
      </c>
      <c r="F57" s="1" t="s">
        <v>222</v>
      </c>
      <c r="K57" s="9" t="s">
        <v>30</v>
      </c>
      <c r="L57">
        <v>27</v>
      </c>
      <c r="M57">
        <v>17</v>
      </c>
      <c r="N57">
        <f t="shared" ref="N57:N62" si="6">L57-M57</f>
        <v>10</v>
      </c>
    </row>
    <row r="58" spans="1:20" x14ac:dyDescent="0.25">
      <c r="A58" t="s">
        <v>51</v>
      </c>
      <c r="E58" s="1" t="s">
        <v>51</v>
      </c>
      <c r="F58" s="1" t="s">
        <v>33</v>
      </c>
      <c r="K58" s="9" t="s">
        <v>34</v>
      </c>
      <c r="L58">
        <v>20</v>
      </c>
      <c r="M58">
        <v>14</v>
      </c>
      <c r="N58">
        <f t="shared" si="6"/>
        <v>6</v>
      </c>
      <c r="R58" s="64"/>
      <c r="S58" s="64" t="s">
        <v>140</v>
      </c>
      <c r="T58" s="64" t="s">
        <v>195</v>
      </c>
    </row>
    <row r="59" spans="1:20" x14ac:dyDescent="0.25">
      <c r="A59" t="s">
        <v>30</v>
      </c>
      <c r="E59" s="1" t="s">
        <v>30</v>
      </c>
      <c r="F59" s="1" t="s">
        <v>30</v>
      </c>
      <c r="K59" s="9" t="s">
        <v>40</v>
      </c>
      <c r="L59">
        <v>3</v>
      </c>
      <c r="M59">
        <v>6</v>
      </c>
      <c r="N59">
        <f t="shared" si="6"/>
        <v>-3</v>
      </c>
      <c r="R59" t="s">
        <v>79</v>
      </c>
      <c r="S59">
        <v>13.571428571428571</v>
      </c>
      <c r="T59">
        <v>10.428571428571429</v>
      </c>
    </row>
    <row r="60" spans="1:20" x14ac:dyDescent="0.25">
      <c r="A60" t="s">
        <v>30</v>
      </c>
      <c r="E60" s="1" t="s">
        <v>30</v>
      </c>
      <c r="F60" s="1" t="s">
        <v>30</v>
      </c>
      <c r="K60" s="9" t="s">
        <v>52</v>
      </c>
      <c r="L60">
        <v>3</v>
      </c>
      <c r="M60">
        <v>0</v>
      </c>
      <c r="N60">
        <f t="shared" si="6"/>
        <v>3</v>
      </c>
      <c r="R60" t="s">
        <v>197</v>
      </c>
      <c r="S60">
        <v>198.28571428571431</v>
      </c>
      <c r="T60">
        <v>69.285714285714278</v>
      </c>
    </row>
    <row r="61" spans="1:20" x14ac:dyDescent="0.25">
      <c r="A61" t="s">
        <v>51</v>
      </c>
      <c r="B61" t="s">
        <v>30</v>
      </c>
      <c r="C61" t="s">
        <v>214</v>
      </c>
      <c r="E61" s="1" t="s">
        <v>224</v>
      </c>
      <c r="F61" s="1" t="s">
        <v>33</v>
      </c>
      <c r="K61" t="s">
        <v>39</v>
      </c>
      <c r="L61">
        <v>6</v>
      </c>
      <c r="M61">
        <v>0</v>
      </c>
      <c r="N61">
        <f t="shared" si="6"/>
        <v>6</v>
      </c>
      <c r="R61" t="s">
        <v>198</v>
      </c>
      <c r="S61">
        <v>7</v>
      </c>
      <c r="T61">
        <v>7</v>
      </c>
    </row>
    <row r="62" spans="1:20" x14ac:dyDescent="0.25">
      <c r="A62" t="s">
        <v>51</v>
      </c>
      <c r="E62" s="1" t="s">
        <v>51</v>
      </c>
      <c r="F62" s="1" t="s">
        <v>51</v>
      </c>
      <c r="K62" s="9" t="s">
        <v>33</v>
      </c>
      <c r="L62">
        <v>0</v>
      </c>
      <c r="M62">
        <v>16</v>
      </c>
      <c r="N62">
        <f t="shared" si="6"/>
        <v>-16</v>
      </c>
      <c r="R62" t="s">
        <v>199</v>
      </c>
      <c r="S62">
        <v>0.69146897470941993</v>
      </c>
    </row>
    <row r="63" spans="1:20" x14ac:dyDescent="0.25">
      <c r="A63" t="s">
        <v>51</v>
      </c>
      <c r="B63" t="s">
        <v>209</v>
      </c>
      <c r="E63" s="1" t="s">
        <v>218</v>
      </c>
      <c r="F63" s="1" t="s">
        <v>209</v>
      </c>
      <c r="R63" t="s">
        <v>200</v>
      </c>
      <c r="S63">
        <v>0</v>
      </c>
    </row>
    <row r="64" spans="1:20" x14ac:dyDescent="0.25">
      <c r="A64" t="s">
        <v>51</v>
      </c>
      <c r="B64" t="s">
        <v>209</v>
      </c>
      <c r="E64" s="1" t="s">
        <v>218</v>
      </c>
      <c r="F64" s="1" t="s">
        <v>30</v>
      </c>
      <c r="K64" s="94" t="s">
        <v>225</v>
      </c>
      <c r="L64" s="95"/>
      <c r="M64" s="95"/>
      <c r="N64" s="95"/>
      <c r="R64" t="s">
        <v>201</v>
      </c>
      <c r="S64">
        <v>6</v>
      </c>
    </row>
    <row r="65" spans="1:20" x14ac:dyDescent="0.25">
      <c r="K65" s="95"/>
      <c r="L65" s="95"/>
      <c r="M65" s="95"/>
      <c r="N65" s="95"/>
      <c r="R65" s="65" t="s">
        <v>202</v>
      </c>
      <c r="S65" s="65">
        <v>0.80964836444016364</v>
      </c>
    </row>
    <row r="66" spans="1:20" x14ac:dyDescent="0.25">
      <c r="K66" s="95"/>
      <c r="L66" s="95"/>
      <c r="M66" s="95"/>
      <c r="N66" s="95"/>
      <c r="R66" t="s">
        <v>203</v>
      </c>
      <c r="S66">
        <v>0.22452578059830225</v>
      </c>
    </row>
    <row r="67" spans="1:20" x14ac:dyDescent="0.25">
      <c r="R67" s="65" t="s">
        <v>204</v>
      </c>
      <c r="S67" s="65">
        <v>1.9431802805153031</v>
      </c>
    </row>
    <row r="68" spans="1:20" x14ac:dyDescent="0.25">
      <c r="A68" t="s">
        <v>51</v>
      </c>
      <c r="K68" s="9" t="s">
        <v>117</v>
      </c>
      <c r="L68">
        <v>0.05</v>
      </c>
      <c r="R68" t="s">
        <v>205</v>
      </c>
      <c r="S68">
        <v>0.4490515611966045</v>
      </c>
    </row>
    <row r="69" spans="1:20" ht="13.8" thickBot="1" x14ac:dyDescent="0.3">
      <c r="A69" t="s">
        <v>51</v>
      </c>
      <c r="R69" s="49" t="s">
        <v>206</v>
      </c>
      <c r="S69" s="49">
        <v>2.4469118511449697</v>
      </c>
      <c r="T69" s="49"/>
    </row>
    <row r="70" spans="1:20" x14ac:dyDescent="0.25">
      <c r="A70" t="s">
        <v>30</v>
      </c>
      <c r="K70" s="9" t="s">
        <v>118</v>
      </c>
      <c r="L70" s="9" t="s">
        <v>226</v>
      </c>
    </row>
    <row r="71" spans="1:20" x14ac:dyDescent="0.25">
      <c r="A71" t="s">
        <v>33</v>
      </c>
      <c r="K71" s="9" t="s">
        <v>120</v>
      </c>
      <c r="L71" s="9" t="s">
        <v>227</v>
      </c>
    </row>
    <row r="72" spans="1:20" x14ac:dyDescent="0.25">
      <c r="A72" t="s">
        <v>30</v>
      </c>
    </row>
    <row r="73" spans="1:20" x14ac:dyDescent="0.25">
      <c r="A73" t="s">
        <v>209</v>
      </c>
      <c r="Q73" s="94" t="s">
        <v>228</v>
      </c>
      <c r="R73" s="100"/>
      <c r="S73" s="100"/>
    </row>
    <row r="74" spans="1:20" x14ac:dyDescent="0.25">
      <c r="A74" t="s">
        <v>33</v>
      </c>
      <c r="Q74" s="100"/>
      <c r="R74" s="100"/>
      <c r="S74" s="100"/>
    </row>
    <row r="75" spans="1:20" ht="25.95" customHeight="1" x14ac:dyDescent="0.25">
      <c r="A75" t="s">
        <v>33</v>
      </c>
      <c r="Q75" s="100"/>
      <c r="R75" s="100"/>
      <c r="S75" s="100"/>
    </row>
    <row r="76" spans="1:20" x14ac:dyDescent="0.25">
      <c r="A76" t="s">
        <v>33</v>
      </c>
    </row>
    <row r="77" spans="1:20" x14ac:dyDescent="0.25">
      <c r="A77" t="s">
        <v>33</v>
      </c>
    </row>
    <row r="78" spans="1:20" x14ac:dyDescent="0.25">
      <c r="A78" t="s">
        <v>51</v>
      </c>
      <c r="B78" t="s">
        <v>209</v>
      </c>
      <c r="C78" t="s">
        <v>229</v>
      </c>
    </row>
    <row r="79" spans="1:20" x14ac:dyDescent="0.25">
      <c r="A79" t="s">
        <v>30</v>
      </c>
      <c r="B79" t="s">
        <v>40</v>
      </c>
      <c r="L79">
        <v>0.81</v>
      </c>
      <c r="M79" s="18">
        <v>1.94</v>
      </c>
    </row>
    <row r="80" spans="1:20" x14ac:dyDescent="0.25">
      <c r="A80" t="s">
        <v>51</v>
      </c>
    </row>
    <row r="81" spans="1:14" x14ac:dyDescent="0.25">
      <c r="A81" t="s">
        <v>33</v>
      </c>
    </row>
    <row r="82" spans="1:14" x14ac:dyDescent="0.25">
      <c r="A82" t="s">
        <v>33</v>
      </c>
    </row>
    <row r="83" spans="1:14" x14ac:dyDescent="0.25">
      <c r="A83" t="s">
        <v>33</v>
      </c>
    </row>
    <row r="84" spans="1:14" x14ac:dyDescent="0.25">
      <c r="A84" t="s">
        <v>33</v>
      </c>
      <c r="E84" s="85"/>
      <c r="F84" s="74" t="s">
        <v>232</v>
      </c>
      <c r="G84" s="74" t="s">
        <v>171</v>
      </c>
      <c r="H84" s="74" t="s">
        <v>233</v>
      </c>
      <c r="I84" s="74" t="s">
        <v>234</v>
      </c>
      <c r="J84" s="20"/>
      <c r="K84" s="20"/>
      <c r="L84" s="20"/>
      <c r="M84" s="20"/>
      <c r="N84" s="21"/>
    </row>
    <row r="85" spans="1:14" x14ac:dyDescent="0.25">
      <c r="A85" t="s">
        <v>40</v>
      </c>
      <c r="E85" s="81" t="s">
        <v>51</v>
      </c>
      <c r="F85" s="70">
        <v>36</v>
      </c>
      <c r="G85" s="70">
        <f>L56/SUM($L$56:$L$61)</f>
        <v>0.37894736842105264</v>
      </c>
      <c r="H85" s="70">
        <f>F85*G85</f>
        <v>13.642105263157895</v>
      </c>
      <c r="I85" s="70">
        <f t="shared" ref="I85:I90" si="7">(POWER(F85-H85,2)/H85)</f>
        <v>36.642105263157895</v>
      </c>
      <c r="J85" s="70"/>
      <c r="K85" s="70"/>
      <c r="L85" s="70"/>
      <c r="M85" s="70"/>
      <c r="N85" s="76"/>
    </row>
    <row r="86" spans="1:14" x14ac:dyDescent="0.25">
      <c r="A86" t="s">
        <v>30</v>
      </c>
      <c r="E86" s="81" t="s">
        <v>30</v>
      </c>
      <c r="F86" s="70">
        <v>27</v>
      </c>
      <c r="G86" s="70">
        <f t="shared" ref="G86:G90" si="8">L57/SUM($L$56:$L$61)</f>
        <v>0.28421052631578947</v>
      </c>
      <c r="H86" s="70">
        <f t="shared" ref="H86:H90" si="9">F86*G86</f>
        <v>7.6736842105263161</v>
      </c>
      <c r="I86" s="70">
        <f t="shared" si="7"/>
        <v>48.673684210526304</v>
      </c>
      <c r="J86" s="70"/>
      <c r="K86" s="70"/>
      <c r="L86" s="70"/>
      <c r="M86" s="70"/>
      <c r="N86" s="76"/>
    </row>
    <row r="87" spans="1:14" x14ac:dyDescent="0.25">
      <c r="A87" t="s">
        <v>40</v>
      </c>
      <c r="E87" s="81" t="s">
        <v>34</v>
      </c>
      <c r="F87" s="70">
        <v>20</v>
      </c>
      <c r="G87" s="70">
        <f t="shared" si="8"/>
        <v>0.21052631578947367</v>
      </c>
      <c r="H87" s="70">
        <f t="shared" si="9"/>
        <v>4.2105263157894735</v>
      </c>
      <c r="I87" s="70">
        <f t="shared" si="7"/>
        <v>59.210526315789487</v>
      </c>
      <c r="J87" s="70"/>
      <c r="K87" s="70"/>
      <c r="L87" s="70"/>
      <c r="M87" s="70"/>
      <c r="N87" s="76"/>
    </row>
    <row r="88" spans="1:14" x14ac:dyDescent="0.25">
      <c r="A88" t="s">
        <v>51</v>
      </c>
      <c r="B88" t="s">
        <v>209</v>
      </c>
      <c r="E88" s="81" t="s">
        <v>40</v>
      </c>
      <c r="F88" s="70">
        <v>3</v>
      </c>
      <c r="G88" s="70">
        <f t="shared" si="8"/>
        <v>3.1578947368421054E-2</v>
      </c>
      <c r="H88" s="70">
        <f t="shared" si="9"/>
        <v>9.4736842105263161E-2</v>
      </c>
      <c r="I88" s="70">
        <f t="shared" si="7"/>
        <v>89.094736842105263</v>
      </c>
      <c r="J88" s="70"/>
      <c r="K88" s="70"/>
      <c r="L88" s="70"/>
      <c r="M88" s="70"/>
      <c r="N88" s="76"/>
    </row>
    <row r="89" spans="1:14" x14ac:dyDescent="0.25">
      <c r="A89" t="s">
        <v>51</v>
      </c>
      <c r="E89" s="81" t="s">
        <v>52</v>
      </c>
      <c r="F89" s="70">
        <v>3</v>
      </c>
      <c r="G89" s="70">
        <f t="shared" si="8"/>
        <v>3.1578947368421054E-2</v>
      </c>
      <c r="H89" s="70">
        <f t="shared" si="9"/>
        <v>9.4736842105263161E-2</v>
      </c>
      <c r="I89" s="70">
        <f t="shared" si="7"/>
        <v>89.094736842105263</v>
      </c>
      <c r="J89" s="70"/>
      <c r="K89" s="70"/>
      <c r="L89" s="70"/>
      <c r="M89" s="70"/>
      <c r="N89" s="76"/>
    </row>
    <row r="90" spans="1:14" x14ac:dyDescent="0.25">
      <c r="A90" t="s">
        <v>33</v>
      </c>
      <c r="E90" s="75" t="s">
        <v>39</v>
      </c>
      <c r="F90" s="70">
        <v>6</v>
      </c>
      <c r="G90" s="70">
        <f t="shared" si="8"/>
        <v>6.3157894736842107E-2</v>
      </c>
      <c r="H90" s="70">
        <f t="shared" si="9"/>
        <v>0.37894736842105264</v>
      </c>
      <c r="I90" s="70">
        <f t="shared" si="7"/>
        <v>83.378947368421038</v>
      </c>
      <c r="J90" s="70"/>
      <c r="K90" s="70"/>
      <c r="L90" s="70"/>
      <c r="M90" s="70"/>
      <c r="N90" s="76"/>
    </row>
    <row r="91" spans="1:14" x14ac:dyDescent="0.25">
      <c r="A91" t="s">
        <v>40</v>
      </c>
      <c r="E91" s="81"/>
      <c r="F91" s="70">
        <f>SUM(F85:F90)</f>
        <v>95</v>
      </c>
      <c r="G91" s="70"/>
      <c r="H91" s="70"/>
      <c r="I91" s="70">
        <f>SUM(I85:I90)</f>
        <v>406.09473684210525</v>
      </c>
      <c r="J91" s="77" t="s">
        <v>235</v>
      </c>
      <c r="K91" s="70"/>
      <c r="L91" s="70"/>
      <c r="M91" s="70"/>
      <c r="N91" s="76"/>
    </row>
    <row r="92" spans="1:14" x14ac:dyDescent="0.25">
      <c r="A92" t="s">
        <v>51</v>
      </c>
      <c r="E92" s="75"/>
      <c r="F92" s="70"/>
      <c r="G92" s="70"/>
      <c r="H92" s="70"/>
      <c r="I92" s="70"/>
      <c r="J92" s="70"/>
      <c r="K92" s="70"/>
      <c r="L92" s="70"/>
      <c r="M92" s="70"/>
      <c r="N92" s="76"/>
    </row>
    <row r="93" spans="1:14" x14ac:dyDescent="0.25">
      <c r="A93" t="s">
        <v>51</v>
      </c>
      <c r="B93" t="s">
        <v>40</v>
      </c>
      <c r="E93" s="75"/>
      <c r="F93" s="70"/>
      <c r="G93" s="70"/>
      <c r="H93" s="72" t="s">
        <v>117</v>
      </c>
      <c r="I93" s="70">
        <v>0.05</v>
      </c>
      <c r="J93" s="70"/>
      <c r="K93" s="70"/>
      <c r="L93" s="70"/>
      <c r="M93" s="70"/>
      <c r="N93" s="76"/>
    </row>
    <row r="94" spans="1:14" x14ac:dyDescent="0.25">
      <c r="A94" t="s">
        <v>33</v>
      </c>
      <c r="E94" s="75"/>
      <c r="F94" s="70"/>
      <c r="G94" s="70"/>
      <c r="H94" s="72" t="s">
        <v>236</v>
      </c>
      <c r="I94" s="70">
        <f>COUNT(F85:F90)-1</f>
        <v>5</v>
      </c>
      <c r="J94" s="70"/>
      <c r="K94" s="70"/>
      <c r="L94" s="70"/>
      <c r="M94" s="70"/>
      <c r="N94" s="76"/>
    </row>
    <row r="95" spans="1:14" x14ac:dyDescent="0.25">
      <c r="A95" t="s">
        <v>30</v>
      </c>
      <c r="E95" s="78"/>
      <c r="F95" s="71"/>
      <c r="G95" s="71"/>
      <c r="H95" s="72" t="s">
        <v>237</v>
      </c>
      <c r="I95" s="70">
        <f>_xlfn.CHISQ.INV.RT(I93,I94)</f>
        <v>11.070497693516353</v>
      </c>
      <c r="J95" s="70"/>
      <c r="K95" s="70"/>
      <c r="L95" s="70"/>
      <c r="M95" s="70"/>
      <c r="N95" s="76"/>
    </row>
    <row r="96" spans="1:14" x14ac:dyDescent="0.25">
      <c r="A96" t="s">
        <v>33</v>
      </c>
      <c r="E96" s="79"/>
      <c r="F96" s="66"/>
      <c r="G96" s="66"/>
      <c r="H96" s="70"/>
      <c r="I96" s="70"/>
      <c r="J96" s="70"/>
      <c r="K96" s="70"/>
      <c r="L96" s="70"/>
      <c r="M96" s="70"/>
      <c r="N96" s="76"/>
    </row>
    <row r="97" spans="1:14" x14ac:dyDescent="0.25">
      <c r="A97" t="s">
        <v>51</v>
      </c>
      <c r="E97" s="79"/>
      <c r="F97" s="66"/>
      <c r="G97" s="66"/>
      <c r="H97" s="66"/>
      <c r="I97" s="66"/>
      <c r="J97" s="70"/>
      <c r="K97" s="70"/>
      <c r="L97" s="70"/>
      <c r="M97" s="70"/>
      <c r="N97" s="76"/>
    </row>
    <row r="98" spans="1:14" x14ac:dyDescent="0.25">
      <c r="A98" t="s">
        <v>30</v>
      </c>
      <c r="E98" s="79"/>
      <c r="F98" s="66"/>
      <c r="G98" s="66"/>
      <c r="H98" s="66"/>
      <c r="I98" s="66"/>
      <c r="J98" s="70"/>
      <c r="K98" s="70"/>
      <c r="L98" s="70"/>
      <c r="M98" s="70"/>
      <c r="N98" s="76"/>
    </row>
    <row r="99" spans="1:14" x14ac:dyDescent="0.25">
      <c r="A99" t="s">
        <v>51</v>
      </c>
      <c r="B99" t="s">
        <v>209</v>
      </c>
      <c r="E99" s="79"/>
      <c r="F99" s="66"/>
      <c r="G99" s="66"/>
      <c r="H99" s="66"/>
      <c r="I99" s="66"/>
      <c r="J99" s="70"/>
      <c r="K99" s="70"/>
      <c r="L99" s="70"/>
      <c r="M99" s="70"/>
      <c r="N99" s="76"/>
    </row>
    <row r="100" spans="1:14" x14ac:dyDescent="0.25">
      <c r="A100" t="s">
        <v>30</v>
      </c>
      <c r="E100" s="79"/>
      <c r="F100" s="66"/>
      <c r="G100" s="66"/>
      <c r="H100" s="66"/>
      <c r="I100" s="66"/>
      <c r="J100" s="70"/>
      <c r="K100" s="70"/>
      <c r="L100" s="70"/>
      <c r="M100" s="70"/>
      <c r="N100" s="76"/>
    </row>
    <row r="101" spans="1:14" x14ac:dyDescent="0.25">
      <c r="A101" t="s">
        <v>30</v>
      </c>
      <c r="E101" s="79"/>
      <c r="F101" s="66"/>
      <c r="G101" s="66"/>
      <c r="H101" s="66"/>
      <c r="I101" s="66"/>
      <c r="J101" s="70"/>
      <c r="K101" s="70"/>
      <c r="L101" s="70"/>
      <c r="M101" s="70"/>
      <c r="N101" s="76"/>
    </row>
    <row r="102" spans="1:14" x14ac:dyDescent="0.25">
      <c r="A102" t="s">
        <v>51</v>
      </c>
      <c r="B102" t="s">
        <v>209</v>
      </c>
      <c r="E102" s="79"/>
      <c r="F102" s="66"/>
      <c r="G102" s="66"/>
      <c r="H102" s="66"/>
      <c r="I102" s="66"/>
      <c r="J102" s="70"/>
      <c r="K102" s="70"/>
      <c r="L102" s="70"/>
      <c r="M102" s="70"/>
      <c r="N102" s="76"/>
    </row>
    <row r="103" spans="1:14" x14ac:dyDescent="0.25">
      <c r="A103" t="s">
        <v>209</v>
      </c>
      <c r="E103" s="75"/>
      <c r="F103" s="70"/>
      <c r="G103" s="70"/>
      <c r="H103" s="70"/>
      <c r="I103" s="66"/>
      <c r="J103" s="70"/>
      <c r="K103" s="70"/>
      <c r="L103" s="70"/>
      <c r="M103" s="70"/>
      <c r="N103" s="76"/>
    </row>
    <row r="104" spans="1:14" x14ac:dyDescent="0.25">
      <c r="A104" t="s">
        <v>30</v>
      </c>
      <c r="E104" s="75"/>
      <c r="F104" s="70"/>
      <c r="G104" s="70"/>
      <c r="H104" s="70"/>
      <c r="I104" s="70"/>
      <c r="J104" s="70"/>
      <c r="K104" s="70"/>
      <c r="L104" s="70"/>
      <c r="M104" s="70"/>
      <c r="N104" s="76"/>
    </row>
    <row r="105" spans="1:14" x14ac:dyDescent="0.25">
      <c r="A105" t="s">
        <v>51</v>
      </c>
      <c r="B105" t="s">
        <v>209</v>
      </c>
      <c r="E105" s="75"/>
      <c r="F105" s="70"/>
      <c r="G105" s="80">
        <f>I95</f>
        <v>11.070497693516353</v>
      </c>
      <c r="H105" s="80"/>
      <c r="I105" s="80">
        <f>I91</f>
        <v>406.09473684210525</v>
      </c>
      <c r="J105" s="70"/>
      <c r="K105" s="70"/>
      <c r="L105" s="70"/>
      <c r="M105" s="70"/>
      <c r="N105" s="76"/>
    </row>
    <row r="106" spans="1:14" x14ac:dyDescent="0.25">
      <c r="A106" t="s">
        <v>51</v>
      </c>
      <c r="B106" t="s">
        <v>209</v>
      </c>
      <c r="E106" s="75"/>
      <c r="F106" s="83" t="s">
        <v>243</v>
      </c>
      <c r="G106" s="70"/>
      <c r="H106" s="70"/>
      <c r="I106" s="70"/>
      <c r="J106" s="70"/>
      <c r="K106" s="70"/>
      <c r="L106" s="70"/>
      <c r="M106" s="70"/>
      <c r="N106" s="76"/>
    </row>
    <row r="107" spans="1:14" x14ac:dyDescent="0.25">
      <c r="A107" t="s">
        <v>51</v>
      </c>
      <c r="E107" s="75"/>
      <c r="F107" s="83" t="s">
        <v>242</v>
      </c>
      <c r="G107" s="70"/>
      <c r="H107" s="70"/>
      <c r="I107" s="70"/>
      <c r="J107" s="70"/>
      <c r="K107" s="70"/>
      <c r="L107" s="70"/>
      <c r="M107" s="70"/>
      <c r="N107" s="76"/>
    </row>
    <row r="108" spans="1:14" x14ac:dyDescent="0.25">
      <c r="A108" t="s">
        <v>30</v>
      </c>
      <c r="E108" s="75"/>
      <c r="F108" s="70"/>
      <c r="G108" s="70"/>
      <c r="H108" s="70"/>
      <c r="I108" s="70"/>
      <c r="J108" s="70"/>
      <c r="K108" s="70"/>
      <c r="L108" s="70"/>
      <c r="M108" s="70"/>
      <c r="N108" s="76"/>
    </row>
    <row r="109" spans="1:14" x14ac:dyDescent="0.25">
      <c r="A109" t="s">
        <v>51</v>
      </c>
      <c r="E109" s="84" t="s">
        <v>244</v>
      </c>
      <c r="F109" s="70"/>
      <c r="G109" s="70"/>
      <c r="H109" s="70"/>
      <c r="I109" s="70"/>
      <c r="J109" s="70"/>
      <c r="K109" s="70"/>
      <c r="L109" s="70"/>
      <c r="M109" s="70"/>
      <c r="N109" s="76"/>
    </row>
    <row r="110" spans="1:14" x14ac:dyDescent="0.25">
      <c r="A110" t="s">
        <v>209</v>
      </c>
      <c r="E110" s="82"/>
      <c r="F110" s="27"/>
      <c r="G110" s="27"/>
      <c r="H110" s="27"/>
      <c r="I110" s="27"/>
      <c r="J110" s="27"/>
      <c r="K110" s="27"/>
      <c r="L110" s="27"/>
      <c r="M110" s="27"/>
      <c r="N110" s="28"/>
    </row>
    <row r="111" spans="1:14" x14ac:dyDescent="0.25">
      <c r="A111" t="s">
        <v>51</v>
      </c>
    </row>
    <row r="112" spans="1:14" x14ac:dyDescent="0.25">
      <c r="A112" t="s">
        <v>209</v>
      </c>
    </row>
    <row r="113" spans="1:5" x14ac:dyDescent="0.25">
      <c r="A113" t="s">
        <v>51</v>
      </c>
      <c r="B113" t="s">
        <v>30</v>
      </c>
      <c r="C113" t="s">
        <v>209</v>
      </c>
    </row>
    <row r="114" spans="1:5" x14ac:dyDescent="0.25">
      <c r="A114" t="s">
        <v>33</v>
      </c>
      <c r="E114" t="s">
        <v>265</v>
      </c>
    </row>
    <row r="115" spans="1:5" x14ac:dyDescent="0.25">
      <c r="A115" t="s">
        <v>30</v>
      </c>
    </row>
    <row r="116" spans="1:5" x14ac:dyDescent="0.25">
      <c r="A116" t="s">
        <v>51</v>
      </c>
    </row>
    <row r="117" spans="1:5" x14ac:dyDescent="0.25">
      <c r="A117" t="s">
        <v>51</v>
      </c>
      <c r="B117" t="s">
        <v>209</v>
      </c>
    </row>
    <row r="118" spans="1:5" x14ac:dyDescent="0.25">
      <c r="A118" t="s">
        <v>33</v>
      </c>
    </row>
    <row r="119" spans="1:5" x14ac:dyDescent="0.25">
      <c r="A119" t="s">
        <v>30</v>
      </c>
    </row>
    <row r="120" spans="1:5" x14ac:dyDescent="0.25">
      <c r="A120" t="s">
        <v>209</v>
      </c>
      <c r="B120" t="s">
        <v>30</v>
      </c>
    </row>
    <row r="121" spans="1:5" x14ac:dyDescent="0.25">
      <c r="A121" t="s">
        <v>33</v>
      </c>
    </row>
    <row r="122" spans="1:5" x14ac:dyDescent="0.25">
      <c r="A122" t="s">
        <v>30</v>
      </c>
    </row>
    <row r="123" spans="1:5" x14ac:dyDescent="0.25">
      <c r="A123" t="s">
        <v>30</v>
      </c>
    </row>
    <row r="124" spans="1:5" x14ac:dyDescent="0.25">
      <c r="A124" t="s">
        <v>33</v>
      </c>
    </row>
    <row r="125" spans="1:5" x14ac:dyDescent="0.25">
      <c r="A125" t="s">
        <v>51</v>
      </c>
    </row>
    <row r="126" spans="1:5" x14ac:dyDescent="0.25">
      <c r="A126" t="s">
        <v>209</v>
      </c>
    </row>
    <row r="127" spans="1:5" x14ac:dyDescent="0.25">
      <c r="A127" t="s">
        <v>30</v>
      </c>
    </row>
  </sheetData>
  <mergeCells count="4">
    <mergeCell ref="R4:V4"/>
    <mergeCell ref="R14:V14"/>
    <mergeCell ref="K64:N66"/>
    <mergeCell ref="Q73:S7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45772-536B-4E7A-B72C-92DE9E434486}">
  <dimension ref="B24:J32"/>
  <sheetViews>
    <sheetView topLeftCell="A19" zoomScaleNormal="100" workbookViewId="0">
      <selection activeCell="D37" sqref="D37"/>
    </sheetView>
  </sheetViews>
  <sheetFormatPr baseColWidth="10" defaultRowHeight="13.2" x14ac:dyDescent="0.25"/>
  <cols>
    <col min="2" max="2" width="13" bestFit="1" customWidth="1"/>
    <col min="8" max="8" width="16" bestFit="1" customWidth="1"/>
  </cols>
  <sheetData>
    <row r="24" spans="2:10" x14ac:dyDescent="0.25">
      <c r="B24" t="s">
        <v>248</v>
      </c>
      <c r="C24" s="89">
        <f>+C30</f>
        <v>226.808064</v>
      </c>
      <c r="E24" t="s">
        <v>249</v>
      </c>
      <c r="F24" s="42">
        <f>+C24/C25</f>
        <v>3.7445610698365529E-2</v>
      </c>
      <c r="G24" t="s">
        <v>256</v>
      </c>
    </row>
    <row r="25" spans="2:10" x14ac:dyDescent="0.25">
      <c r="B25" t="s">
        <v>247</v>
      </c>
      <c r="C25">
        <v>6057</v>
      </c>
      <c r="H25" s="92" t="s">
        <v>255</v>
      </c>
      <c r="I25" s="92"/>
      <c r="J25" s="92"/>
    </row>
    <row r="28" spans="2:10" x14ac:dyDescent="0.25">
      <c r="E28" t="s">
        <v>251</v>
      </c>
    </row>
    <row r="29" spans="2:10" x14ac:dyDescent="0.25">
      <c r="E29" t="s">
        <v>164</v>
      </c>
      <c r="F29">
        <v>1.96</v>
      </c>
    </row>
    <row r="30" spans="2:10" x14ac:dyDescent="0.25">
      <c r="B30" t="s">
        <v>250</v>
      </c>
      <c r="C30" s="65">
        <f>+H31/H32</f>
        <v>226.808064</v>
      </c>
      <c r="E30" t="s">
        <v>252</v>
      </c>
      <c r="F30">
        <v>0.82</v>
      </c>
    </row>
    <row r="31" spans="2:10" ht="30" x14ac:dyDescent="0.5">
      <c r="E31" t="s">
        <v>253</v>
      </c>
      <c r="F31">
        <f>1-F30</f>
        <v>0.18000000000000005</v>
      </c>
      <c r="H31" s="90">
        <f>+F29*F29*F30*F31</f>
        <v>0.56702016000000011</v>
      </c>
    </row>
    <row r="32" spans="2:10" ht="30" x14ac:dyDescent="0.5">
      <c r="E32" t="s">
        <v>254</v>
      </c>
      <c r="F32">
        <v>0.05</v>
      </c>
      <c r="H32" s="91">
        <f>+F32*F32</f>
        <v>2.5000000000000005E-3</v>
      </c>
    </row>
  </sheetData>
  <mergeCells count="1">
    <mergeCell ref="H25:J2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FCDD-457D-4C51-A651-0072031BAE64}">
  <dimension ref="A1:W64"/>
  <sheetViews>
    <sheetView topLeftCell="G27" zoomScale="96" zoomScaleNormal="96" workbookViewId="0">
      <selection activeCell="H49" sqref="H49"/>
    </sheetView>
  </sheetViews>
  <sheetFormatPr baseColWidth="10" defaultRowHeight="13.2" x14ac:dyDescent="0.25"/>
  <cols>
    <col min="4" max="5" width="21.44140625" customWidth="1"/>
    <col min="10" max="10" width="12.77734375" bestFit="1" customWidth="1"/>
    <col min="11" max="11" width="10.6640625" bestFit="1" customWidth="1"/>
    <col min="18" max="18" width="11.33203125" bestFit="1" customWidth="1"/>
    <col min="19" max="19" width="12.77734375" bestFit="1" customWidth="1"/>
    <col min="22" max="22" width="12.21875" bestFit="1" customWidth="1"/>
  </cols>
  <sheetData>
    <row r="1" spans="4:19" x14ac:dyDescent="0.25">
      <c r="D1" s="1" t="s">
        <v>1</v>
      </c>
      <c r="E1" s="1" t="s">
        <v>3</v>
      </c>
    </row>
    <row r="2" spans="4:19" x14ac:dyDescent="0.25">
      <c r="D2" s="1" t="s">
        <v>20</v>
      </c>
      <c r="E2" s="1">
        <v>5</v>
      </c>
    </row>
    <row r="3" spans="4:19" x14ac:dyDescent="0.25">
      <c r="D3" s="1" t="s">
        <v>20</v>
      </c>
      <c r="E3" s="1">
        <v>4</v>
      </c>
    </row>
    <row r="4" spans="4:19" x14ac:dyDescent="0.25">
      <c r="D4" s="1" t="s">
        <v>20</v>
      </c>
      <c r="E4" s="1">
        <v>5</v>
      </c>
    </row>
    <row r="5" spans="4:19" x14ac:dyDescent="0.25">
      <c r="D5" s="1" t="s">
        <v>31</v>
      </c>
      <c r="E5" s="1">
        <v>4</v>
      </c>
    </row>
    <row r="6" spans="4:19" ht="15" x14ac:dyDescent="0.25">
      <c r="D6" s="1" t="s">
        <v>20</v>
      </c>
      <c r="E6" s="1">
        <v>2</v>
      </c>
      <c r="K6" s="12" t="s">
        <v>67</v>
      </c>
      <c r="L6" s="12" t="s">
        <v>68</v>
      </c>
      <c r="M6" s="12" t="s">
        <v>69</v>
      </c>
      <c r="Q6" s="12" t="s">
        <v>70</v>
      </c>
      <c r="R6" s="12" t="s">
        <v>68</v>
      </c>
      <c r="S6" s="12" t="s">
        <v>69</v>
      </c>
    </row>
    <row r="7" spans="4:19" ht="15" x14ac:dyDescent="0.25">
      <c r="D7" s="1" t="s">
        <v>20</v>
      </c>
      <c r="E7" s="1">
        <v>4</v>
      </c>
      <c r="K7" s="12" t="s">
        <v>20</v>
      </c>
      <c r="L7" s="12">
        <f>COUNTIF($D$2:$D$61,K7)</f>
        <v>46</v>
      </c>
      <c r="M7" s="13">
        <f>L7/$L$11</f>
        <v>0.76666666666666672</v>
      </c>
      <c r="Q7" s="12">
        <v>1</v>
      </c>
      <c r="R7" s="12">
        <f t="shared" ref="R7:R12" si="0">COUNTIF($E$2:$E$61,Q7)</f>
        <v>1</v>
      </c>
      <c r="S7" s="13">
        <f t="shared" ref="S7:S12" si="1">R7/$R$13</f>
        <v>1.6666666666666666E-2</v>
      </c>
    </row>
    <row r="8" spans="4:19" ht="15" x14ac:dyDescent="0.25">
      <c r="D8" s="1" t="s">
        <v>38</v>
      </c>
      <c r="E8" s="1">
        <v>5</v>
      </c>
      <c r="K8" s="12" t="s">
        <v>38</v>
      </c>
      <c r="L8" s="12">
        <f>COUNTIF($D$2:$D$61,K8)</f>
        <v>13</v>
      </c>
      <c r="M8" s="13">
        <f>L8/$L$11</f>
        <v>0.21666666666666667</v>
      </c>
      <c r="Q8" s="12">
        <v>2</v>
      </c>
      <c r="R8" s="12">
        <f t="shared" si="0"/>
        <v>5</v>
      </c>
      <c r="S8" s="13">
        <f t="shared" si="1"/>
        <v>8.3333333333333329E-2</v>
      </c>
    </row>
    <row r="9" spans="4:19" ht="15" x14ac:dyDescent="0.25">
      <c r="D9" s="1" t="s">
        <v>38</v>
      </c>
      <c r="E9" s="1">
        <v>1</v>
      </c>
      <c r="K9" s="12" t="s">
        <v>31</v>
      </c>
      <c r="L9" s="12">
        <f>COUNTIF($D$2:$D$61,K9)</f>
        <v>1</v>
      </c>
      <c r="M9" s="13">
        <f>L9/$L$11</f>
        <v>1.6666666666666666E-2</v>
      </c>
      <c r="Q9" s="12">
        <v>3</v>
      </c>
      <c r="R9" s="12">
        <f t="shared" si="0"/>
        <v>7</v>
      </c>
      <c r="S9" s="13">
        <f t="shared" si="1"/>
        <v>0.11666666666666667</v>
      </c>
    </row>
    <row r="10" spans="4:19" ht="15" x14ac:dyDescent="0.25">
      <c r="D10" s="1" t="s">
        <v>20</v>
      </c>
      <c r="E10" s="1">
        <v>4</v>
      </c>
      <c r="K10" s="12" t="s">
        <v>71</v>
      </c>
      <c r="L10" s="12">
        <f>COUNTIF($D$2:$D$61,K10)</f>
        <v>0</v>
      </c>
      <c r="M10" s="12">
        <f>L10/$L$11</f>
        <v>0</v>
      </c>
      <c r="Q10" s="12">
        <v>4</v>
      </c>
      <c r="R10" s="12">
        <f t="shared" si="0"/>
        <v>17</v>
      </c>
      <c r="S10" s="13">
        <f t="shared" si="1"/>
        <v>0.28333333333333333</v>
      </c>
    </row>
    <row r="11" spans="4:19" ht="15" x14ac:dyDescent="0.25">
      <c r="D11" s="1" t="s">
        <v>38</v>
      </c>
      <c r="E11" s="1">
        <v>4</v>
      </c>
      <c r="K11" s="12" t="s">
        <v>72</v>
      </c>
      <c r="L11" s="12">
        <f>SUM(L7:L10)</f>
        <v>60</v>
      </c>
      <c r="M11" s="14">
        <f>SUM(M7:M10)</f>
        <v>1</v>
      </c>
      <c r="Q11" s="12">
        <v>5</v>
      </c>
      <c r="R11" s="12">
        <f t="shared" si="0"/>
        <v>28</v>
      </c>
      <c r="S11" s="13">
        <f t="shared" si="1"/>
        <v>0.46666666666666667</v>
      </c>
    </row>
    <row r="12" spans="4:19" ht="15" x14ac:dyDescent="0.25">
      <c r="D12" s="1" t="s">
        <v>38</v>
      </c>
      <c r="E12" s="1">
        <v>5</v>
      </c>
      <c r="Q12" s="12">
        <v>6</v>
      </c>
      <c r="R12" s="12">
        <f t="shared" si="0"/>
        <v>2</v>
      </c>
      <c r="S12" s="13">
        <f t="shared" si="1"/>
        <v>3.3333333333333333E-2</v>
      </c>
    </row>
    <row r="13" spans="4:19" ht="15" x14ac:dyDescent="0.25">
      <c r="D13" s="1" t="s">
        <v>20</v>
      </c>
      <c r="E13" s="1">
        <v>2</v>
      </c>
      <c r="Q13" s="12" t="s">
        <v>72</v>
      </c>
      <c r="R13" s="12">
        <f>SUM(R7:R12)</f>
        <v>60</v>
      </c>
      <c r="S13" s="14">
        <f>SUM(S7:S12)</f>
        <v>1</v>
      </c>
    </row>
    <row r="14" spans="4:19" x14ac:dyDescent="0.25">
      <c r="D14" s="1" t="s">
        <v>20</v>
      </c>
      <c r="E14" s="1">
        <v>2</v>
      </c>
    </row>
    <row r="15" spans="4:19" x14ac:dyDescent="0.25">
      <c r="D15" s="1" t="s">
        <v>38</v>
      </c>
      <c r="E15" s="1">
        <v>4</v>
      </c>
    </row>
    <row r="16" spans="4:19" x14ac:dyDescent="0.25">
      <c r="D16" s="1" t="s">
        <v>20</v>
      </c>
      <c r="E16" s="1">
        <v>5</v>
      </c>
    </row>
    <row r="17" spans="1:22" x14ac:dyDescent="0.25">
      <c r="D17" s="1" t="s">
        <v>20</v>
      </c>
      <c r="E17" s="1">
        <v>4</v>
      </c>
    </row>
    <row r="18" spans="1:22" x14ac:dyDescent="0.25">
      <c r="D18" s="1" t="s">
        <v>20</v>
      </c>
      <c r="E18" s="1">
        <v>5</v>
      </c>
    </row>
    <row r="19" spans="1:22" x14ac:dyDescent="0.25">
      <c r="D19" s="1" t="s">
        <v>38</v>
      </c>
      <c r="E19" s="1">
        <v>3</v>
      </c>
      <c r="V19" t="s">
        <v>257</v>
      </c>
    </row>
    <row r="20" spans="1:22" x14ac:dyDescent="0.25">
      <c r="A20" t="s">
        <v>254</v>
      </c>
      <c r="D20" s="1" t="s">
        <v>38</v>
      </c>
      <c r="E20" s="1">
        <v>3</v>
      </c>
      <c r="V20" t="s">
        <v>258</v>
      </c>
    </row>
    <row r="21" spans="1:22" x14ac:dyDescent="0.25">
      <c r="D21" s="1" t="s">
        <v>20</v>
      </c>
      <c r="E21" s="1">
        <v>5</v>
      </c>
    </row>
    <row r="22" spans="1:22" x14ac:dyDescent="0.25">
      <c r="D22" s="1" t="s">
        <v>20</v>
      </c>
      <c r="E22" s="1">
        <v>5</v>
      </c>
    </row>
    <row r="23" spans="1:22" x14ac:dyDescent="0.25">
      <c r="D23" s="1" t="s">
        <v>20</v>
      </c>
      <c r="E23" s="1">
        <v>5</v>
      </c>
    </row>
    <row r="24" spans="1:22" x14ac:dyDescent="0.25">
      <c r="D24" s="1" t="s">
        <v>20</v>
      </c>
      <c r="E24" s="1">
        <v>5</v>
      </c>
    </row>
    <row r="25" spans="1:22" x14ac:dyDescent="0.25">
      <c r="D25" s="1" t="s">
        <v>20</v>
      </c>
      <c r="E25" s="1">
        <v>5</v>
      </c>
    </row>
    <row r="26" spans="1:22" x14ac:dyDescent="0.25">
      <c r="D26" s="1" t="s">
        <v>20</v>
      </c>
      <c r="E26" s="1">
        <v>5</v>
      </c>
    </row>
    <row r="27" spans="1:22" x14ac:dyDescent="0.25">
      <c r="D27" s="1" t="s">
        <v>20</v>
      </c>
      <c r="E27" s="1">
        <v>5</v>
      </c>
    </row>
    <row r="28" spans="1:22" x14ac:dyDescent="0.25">
      <c r="D28" s="1" t="s">
        <v>20</v>
      </c>
      <c r="E28" s="1">
        <v>5</v>
      </c>
    </row>
    <row r="29" spans="1:22" x14ac:dyDescent="0.25">
      <c r="D29" s="1" t="s">
        <v>20</v>
      </c>
      <c r="E29" s="1">
        <v>5</v>
      </c>
    </row>
    <row r="30" spans="1:22" x14ac:dyDescent="0.25">
      <c r="D30" s="1" t="s">
        <v>20</v>
      </c>
      <c r="E30" s="1">
        <v>5</v>
      </c>
    </row>
    <row r="31" spans="1:22" x14ac:dyDescent="0.25">
      <c r="D31" s="1" t="s">
        <v>20</v>
      </c>
      <c r="E31" s="1">
        <v>5</v>
      </c>
    </row>
    <row r="32" spans="1:22" x14ac:dyDescent="0.25">
      <c r="D32" s="1" t="s">
        <v>20</v>
      </c>
      <c r="E32" s="1">
        <v>5</v>
      </c>
    </row>
    <row r="33" spans="4:22" x14ac:dyDescent="0.25">
      <c r="D33" s="1" t="s">
        <v>20</v>
      </c>
      <c r="E33" s="1">
        <v>6</v>
      </c>
    </row>
    <row r="34" spans="4:22" x14ac:dyDescent="0.25">
      <c r="D34" s="1" t="s">
        <v>20</v>
      </c>
      <c r="E34" s="1">
        <v>5</v>
      </c>
      <c r="J34" t="s">
        <v>270</v>
      </c>
      <c r="R34" s="86" t="s">
        <v>273</v>
      </c>
    </row>
    <row r="35" spans="4:22" x14ac:dyDescent="0.25">
      <c r="D35" s="1" t="s">
        <v>38</v>
      </c>
      <c r="E35" s="1">
        <v>3</v>
      </c>
      <c r="J35" t="s">
        <v>271</v>
      </c>
      <c r="R35" s="86" t="s">
        <v>276</v>
      </c>
    </row>
    <row r="36" spans="4:22" x14ac:dyDescent="0.25">
      <c r="D36" s="1" t="s">
        <v>20</v>
      </c>
      <c r="E36" s="1">
        <v>4</v>
      </c>
    </row>
    <row r="37" spans="4:22" x14ac:dyDescent="0.25">
      <c r="D37" s="1" t="s">
        <v>38</v>
      </c>
      <c r="E37" s="1">
        <v>5</v>
      </c>
    </row>
    <row r="38" spans="4:22" x14ac:dyDescent="0.25">
      <c r="D38" s="1" t="s">
        <v>38</v>
      </c>
      <c r="E38" s="1">
        <v>3</v>
      </c>
      <c r="S38" s="86" t="s">
        <v>232</v>
      </c>
      <c r="T38" s="86" t="s">
        <v>233</v>
      </c>
      <c r="U38" t="str">
        <f>M41</f>
        <v>(fo-fe)^2/fe</v>
      </c>
    </row>
    <row r="39" spans="4:22" x14ac:dyDescent="0.25">
      <c r="D39" s="1" t="s">
        <v>20</v>
      </c>
      <c r="E39" s="1">
        <v>4</v>
      </c>
      <c r="R39">
        <v>1</v>
      </c>
      <c r="S39">
        <f>R7</f>
        <v>1</v>
      </c>
      <c r="T39">
        <f>$S$45/COUNT($S$39:$S$44)</f>
        <v>10</v>
      </c>
      <c r="U39">
        <f>POWER(S39-T39,2)/T39</f>
        <v>8.1</v>
      </c>
    </row>
    <row r="40" spans="4:22" x14ac:dyDescent="0.25">
      <c r="D40" s="1" t="s">
        <v>20</v>
      </c>
      <c r="E40" s="1">
        <v>4</v>
      </c>
      <c r="R40">
        <v>2</v>
      </c>
      <c r="S40">
        <f t="shared" ref="S40:S44" si="2">R8</f>
        <v>5</v>
      </c>
      <c r="T40">
        <f t="shared" ref="T40:T44" si="3">$S$45/COUNT($S$39:$S$44)</f>
        <v>10</v>
      </c>
      <c r="U40">
        <f t="shared" ref="U40:U44" si="4">POWER(S40-T40,2)/T40</f>
        <v>2.5</v>
      </c>
    </row>
    <row r="41" spans="4:22" x14ac:dyDescent="0.25">
      <c r="D41" s="1" t="s">
        <v>20</v>
      </c>
      <c r="E41" s="1">
        <v>5</v>
      </c>
      <c r="K41" s="86" t="s">
        <v>232</v>
      </c>
      <c r="L41" s="86" t="s">
        <v>233</v>
      </c>
      <c r="M41" s="86" t="s">
        <v>234</v>
      </c>
      <c r="R41">
        <v>3</v>
      </c>
      <c r="S41">
        <f t="shared" si="2"/>
        <v>7</v>
      </c>
      <c r="T41">
        <f t="shared" si="3"/>
        <v>10</v>
      </c>
      <c r="U41">
        <f t="shared" si="4"/>
        <v>0.9</v>
      </c>
    </row>
    <row r="42" spans="4:22" x14ac:dyDescent="0.25">
      <c r="D42" s="1" t="s">
        <v>20</v>
      </c>
      <c r="E42" s="1">
        <v>4</v>
      </c>
      <c r="J42" s="86" t="s">
        <v>38</v>
      </c>
      <c r="K42">
        <f>L8</f>
        <v>13</v>
      </c>
      <c r="L42">
        <f>K44/2</f>
        <v>29.5</v>
      </c>
      <c r="M42">
        <f>POWER(K42-L42,2)/L42</f>
        <v>9.2288135593220346</v>
      </c>
      <c r="R42">
        <v>4</v>
      </c>
      <c r="S42">
        <f t="shared" si="2"/>
        <v>17</v>
      </c>
      <c r="T42">
        <f t="shared" si="3"/>
        <v>10</v>
      </c>
      <c r="U42">
        <f t="shared" si="4"/>
        <v>4.9000000000000004</v>
      </c>
    </row>
    <row r="43" spans="4:22" x14ac:dyDescent="0.25">
      <c r="D43" s="1" t="s">
        <v>20</v>
      </c>
      <c r="E43" s="1">
        <v>3</v>
      </c>
      <c r="J43" s="86" t="s">
        <v>20</v>
      </c>
      <c r="K43">
        <f>L7</f>
        <v>46</v>
      </c>
      <c r="L43">
        <f>L42</f>
        <v>29.5</v>
      </c>
      <c r="M43">
        <f>POWER(K43-L43,2)/L43</f>
        <v>9.2288135593220346</v>
      </c>
      <c r="R43">
        <v>5</v>
      </c>
      <c r="S43">
        <f t="shared" si="2"/>
        <v>28</v>
      </c>
      <c r="T43">
        <f t="shared" si="3"/>
        <v>10</v>
      </c>
      <c r="U43">
        <f t="shared" si="4"/>
        <v>32.4</v>
      </c>
    </row>
    <row r="44" spans="4:22" x14ac:dyDescent="0.25">
      <c r="D44" s="1" t="s">
        <v>20</v>
      </c>
      <c r="E44" s="1">
        <v>5</v>
      </c>
      <c r="K44">
        <f>SUM(K42:K43)</f>
        <v>59</v>
      </c>
      <c r="M44">
        <f>SUM(M42:M43)</f>
        <v>18.457627118644069</v>
      </c>
      <c r="N44" s="86" t="s">
        <v>245</v>
      </c>
      <c r="R44">
        <v>6</v>
      </c>
      <c r="S44">
        <f t="shared" si="2"/>
        <v>2</v>
      </c>
      <c r="T44">
        <f t="shared" si="3"/>
        <v>10</v>
      </c>
      <c r="U44">
        <f t="shared" si="4"/>
        <v>6.4</v>
      </c>
    </row>
    <row r="45" spans="4:22" x14ac:dyDescent="0.25">
      <c r="D45" s="1" t="s">
        <v>20</v>
      </c>
      <c r="E45" s="1">
        <v>4</v>
      </c>
      <c r="S45">
        <f>SUM(S39:S44)</f>
        <v>60</v>
      </c>
      <c r="U45">
        <f>SUM(U39:U44)</f>
        <v>55.199999999999996</v>
      </c>
      <c r="V45" s="86" t="s">
        <v>245</v>
      </c>
    </row>
    <row r="46" spans="4:22" x14ac:dyDescent="0.25">
      <c r="D46" s="1" t="s">
        <v>38</v>
      </c>
      <c r="E46" s="1">
        <v>2</v>
      </c>
      <c r="M46" s="86" t="s">
        <v>237</v>
      </c>
      <c r="N46">
        <f>_xlfn.CHISQ.INV.RT(N47,N48)</f>
        <v>3.8414588206941236</v>
      </c>
    </row>
    <row r="47" spans="4:22" x14ac:dyDescent="0.25">
      <c r="D47" s="1" t="s">
        <v>20</v>
      </c>
      <c r="E47" s="1">
        <v>4</v>
      </c>
      <c r="M47" s="86" t="s">
        <v>117</v>
      </c>
      <c r="N47">
        <v>0.05</v>
      </c>
    </row>
    <row r="48" spans="4:22" x14ac:dyDescent="0.25">
      <c r="D48" s="1" t="s">
        <v>20</v>
      </c>
      <c r="E48" s="1">
        <v>5</v>
      </c>
      <c r="M48" s="86" t="s">
        <v>236</v>
      </c>
      <c r="N48">
        <v>1</v>
      </c>
      <c r="U48" s="86" t="s">
        <v>237</v>
      </c>
      <c r="V48">
        <f>_xlfn.CHISQ.INV.RT(V49,V50)</f>
        <v>11.070497693516353</v>
      </c>
    </row>
    <row r="49" spans="4:23" x14ac:dyDescent="0.25">
      <c r="D49" s="1" t="s">
        <v>20</v>
      </c>
      <c r="E49" s="1">
        <v>4</v>
      </c>
      <c r="U49" s="86" t="s">
        <v>117</v>
      </c>
      <c r="V49">
        <v>0.05</v>
      </c>
    </row>
    <row r="50" spans="4:23" x14ac:dyDescent="0.25">
      <c r="D50" s="1" t="s">
        <v>38</v>
      </c>
      <c r="E50" s="1">
        <v>2</v>
      </c>
      <c r="U50" s="86" t="s">
        <v>236</v>
      </c>
      <c r="V50">
        <v>5</v>
      </c>
    </row>
    <row r="51" spans="4:23" x14ac:dyDescent="0.25">
      <c r="D51" s="1" t="s">
        <v>20</v>
      </c>
      <c r="E51" s="1">
        <v>5</v>
      </c>
    </row>
    <row r="52" spans="4:23" x14ac:dyDescent="0.25">
      <c r="D52" s="1" t="s">
        <v>20</v>
      </c>
      <c r="E52" s="1">
        <v>4</v>
      </c>
    </row>
    <row r="53" spans="4:23" x14ac:dyDescent="0.25">
      <c r="D53" s="1" t="s">
        <v>20</v>
      </c>
      <c r="E53" s="1">
        <v>5</v>
      </c>
    </row>
    <row r="54" spans="4:23" x14ac:dyDescent="0.25">
      <c r="D54" s="1" t="s">
        <v>20</v>
      </c>
      <c r="E54" s="1">
        <v>5</v>
      </c>
    </row>
    <row r="55" spans="4:23" x14ac:dyDescent="0.25">
      <c r="D55" s="1" t="s">
        <v>20</v>
      </c>
      <c r="E55" s="1">
        <v>5</v>
      </c>
    </row>
    <row r="56" spans="4:23" x14ac:dyDescent="0.25">
      <c r="D56" s="1" t="s">
        <v>20</v>
      </c>
      <c r="E56" s="1">
        <v>4</v>
      </c>
    </row>
    <row r="57" spans="4:23" x14ac:dyDescent="0.25">
      <c r="D57" s="1" t="s">
        <v>20</v>
      </c>
      <c r="E57" s="1">
        <v>4</v>
      </c>
      <c r="M57" s="63">
        <f>N46</f>
        <v>3.8414588206941236</v>
      </c>
      <c r="N57" s="63"/>
      <c r="O57" s="63">
        <f>M44</f>
        <v>18.457627118644069</v>
      </c>
    </row>
    <row r="58" spans="4:23" x14ac:dyDescent="0.25">
      <c r="D58" s="1" t="s">
        <v>20</v>
      </c>
      <c r="E58" s="1">
        <v>5</v>
      </c>
      <c r="U58" s="63">
        <f>V48</f>
        <v>11.070497693516353</v>
      </c>
      <c r="W58">
        <f>U45</f>
        <v>55.199999999999996</v>
      </c>
    </row>
    <row r="59" spans="4:23" x14ac:dyDescent="0.25">
      <c r="D59" s="1" t="s">
        <v>20</v>
      </c>
      <c r="E59" s="1">
        <v>3</v>
      </c>
      <c r="J59" s="86" t="s">
        <v>272</v>
      </c>
    </row>
    <row r="60" spans="4:23" x14ac:dyDescent="0.25">
      <c r="D60" s="1" t="s">
        <v>20</v>
      </c>
      <c r="E60" s="1">
        <v>6</v>
      </c>
      <c r="J60" s="86" t="s">
        <v>274</v>
      </c>
      <c r="R60" s="86" t="s">
        <v>275</v>
      </c>
    </row>
    <row r="61" spans="4:23" x14ac:dyDescent="0.25">
      <c r="D61" s="1" t="s">
        <v>38</v>
      </c>
      <c r="E61" s="1">
        <v>3</v>
      </c>
      <c r="R61" s="86" t="s">
        <v>277</v>
      </c>
    </row>
    <row r="63" spans="4:23" x14ac:dyDescent="0.25">
      <c r="I63" s="86" t="s">
        <v>171</v>
      </c>
      <c r="J63">
        <f>_xlfn.CHISQ.DIST.RT(M44,1)</f>
        <v>1.7372415303251203E-5</v>
      </c>
      <c r="R63" s="86" t="s">
        <v>171</v>
      </c>
      <c r="S63">
        <f>_xlfn.CHISQ.DIST.RT(U45,V50)</f>
        <v>1.1873589120305543E-10</v>
      </c>
    </row>
    <row r="64" spans="4:23" x14ac:dyDescent="0.25">
      <c r="I64" s="86" t="s">
        <v>281</v>
      </c>
      <c r="R64" s="86" t="s">
        <v>281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8A08D-F689-4827-802B-99C8ECCCA331}">
  <dimension ref="E1:T61"/>
  <sheetViews>
    <sheetView topLeftCell="F7" zoomScale="107" zoomScaleNormal="107" workbookViewId="0">
      <selection activeCell="K30" sqref="K30"/>
    </sheetView>
  </sheetViews>
  <sheetFormatPr baseColWidth="10" defaultRowHeight="13.2" x14ac:dyDescent="0.25"/>
  <cols>
    <col min="5" max="5" width="21.44140625" customWidth="1"/>
    <col min="9" max="9" width="19.33203125" bestFit="1" customWidth="1"/>
    <col min="14" max="14" width="7.6640625" bestFit="1" customWidth="1"/>
    <col min="15" max="15" width="3.109375" bestFit="1" customWidth="1"/>
    <col min="17" max="17" width="11.6640625" bestFit="1" customWidth="1"/>
    <col min="18" max="18" width="14.109375" bestFit="1" customWidth="1"/>
    <col min="19" max="19" width="13.6640625" bestFit="1" customWidth="1"/>
    <col min="20" max="20" width="13.33203125" bestFit="1" customWidth="1"/>
  </cols>
  <sheetData>
    <row r="1" spans="5:20" x14ac:dyDescent="0.25">
      <c r="E1" s="1" t="s">
        <v>2</v>
      </c>
    </row>
    <row r="2" spans="5:20" x14ac:dyDescent="0.25">
      <c r="E2" s="1">
        <v>15</v>
      </c>
    </row>
    <row r="3" spans="5:20" x14ac:dyDescent="0.25">
      <c r="E3" s="1">
        <v>17</v>
      </c>
    </row>
    <row r="4" spans="5:20" x14ac:dyDescent="0.25">
      <c r="E4" s="1">
        <v>17</v>
      </c>
    </row>
    <row r="5" spans="5:20" x14ac:dyDescent="0.25">
      <c r="E5" s="1">
        <v>17</v>
      </c>
      <c r="I5" s="15" t="s">
        <v>73</v>
      </c>
      <c r="J5" s="15"/>
      <c r="M5" t="s">
        <v>74</v>
      </c>
      <c r="N5" t="s">
        <v>75</v>
      </c>
      <c r="O5">
        <v>15</v>
      </c>
    </row>
    <row r="6" spans="5:20" x14ac:dyDescent="0.25">
      <c r="E6" s="1">
        <v>18</v>
      </c>
      <c r="I6" s="16"/>
      <c r="J6" s="16"/>
      <c r="M6" t="s">
        <v>76</v>
      </c>
      <c r="N6" t="s">
        <v>77</v>
      </c>
      <c r="O6" s="17" t="s">
        <v>78</v>
      </c>
      <c r="P6" s="18">
        <v>5</v>
      </c>
    </row>
    <row r="7" spans="5:20" x14ac:dyDescent="0.25">
      <c r="E7" s="1">
        <v>18</v>
      </c>
      <c r="I7" s="16" t="s">
        <v>79</v>
      </c>
      <c r="J7" s="16">
        <v>21.433333333333334</v>
      </c>
      <c r="M7" t="s">
        <v>80</v>
      </c>
      <c r="N7" t="s">
        <v>81</v>
      </c>
      <c r="O7">
        <f>O5/P6</f>
        <v>3</v>
      </c>
    </row>
    <row r="8" spans="5:20" x14ac:dyDescent="0.25">
      <c r="E8" s="1">
        <v>18</v>
      </c>
      <c r="I8" s="16" t="s">
        <v>82</v>
      </c>
      <c r="J8" s="16">
        <v>0.47737906544805703</v>
      </c>
      <c r="M8" t="s">
        <v>83</v>
      </c>
      <c r="N8">
        <f>J19</f>
        <v>60</v>
      </c>
    </row>
    <row r="9" spans="5:20" x14ac:dyDescent="0.25">
      <c r="E9" s="1">
        <v>18</v>
      </c>
      <c r="I9" s="16" t="s">
        <v>84</v>
      </c>
      <c r="J9" s="16">
        <v>20</v>
      </c>
    </row>
    <row r="10" spans="5:20" x14ac:dyDescent="0.25">
      <c r="E10" s="1">
        <v>18</v>
      </c>
      <c r="I10" s="16" t="s">
        <v>85</v>
      </c>
      <c r="J10" s="16">
        <v>20</v>
      </c>
    </row>
    <row r="11" spans="5:20" x14ac:dyDescent="0.25">
      <c r="E11" s="1">
        <v>18</v>
      </c>
      <c r="I11" s="16" t="s">
        <v>86</v>
      </c>
      <c r="J11" s="16">
        <v>3.6977623406167708</v>
      </c>
    </row>
    <row r="12" spans="5:20" x14ac:dyDescent="0.25">
      <c r="E12" s="1">
        <v>18</v>
      </c>
      <c r="I12" s="16" t="s">
        <v>87</v>
      </c>
      <c r="J12" s="16">
        <v>13.673446327683619</v>
      </c>
    </row>
    <row r="13" spans="5:20" x14ac:dyDescent="0.25">
      <c r="E13" s="1">
        <v>18</v>
      </c>
      <c r="I13" s="16" t="s">
        <v>88</v>
      </c>
      <c r="J13" s="16">
        <v>-0.45831589659448646</v>
      </c>
      <c r="L13" s="93" t="s">
        <v>89</v>
      </c>
      <c r="M13" s="93"/>
      <c r="N13" s="93"/>
      <c r="O13" s="93"/>
      <c r="P13" s="16"/>
      <c r="Q13" s="16" t="s">
        <v>90</v>
      </c>
      <c r="R13" s="16" t="s">
        <v>91</v>
      </c>
      <c r="S13" s="16" t="s">
        <v>92</v>
      </c>
      <c r="T13" s="16" t="s">
        <v>93</v>
      </c>
    </row>
    <row r="14" spans="5:20" x14ac:dyDescent="0.25">
      <c r="E14" s="1">
        <v>18</v>
      </c>
      <c r="I14" s="16" t="s">
        <v>94</v>
      </c>
      <c r="J14" s="16">
        <v>0.79217229886921414</v>
      </c>
      <c r="L14" s="19" t="s">
        <v>95</v>
      </c>
      <c r="M14" s="20">
        <v>15</v>
      </c>
      <c r="N14" s="20" t="s">
        <v>96</v>
      </c>
      <c r="O14" s="20">
        <f>M14+$O$7</f>
        <v>18</v>
      </c>
      <c r="P14" s="21" t="s">
        <v>97</v>
      </c>
      <c r="Q14" s="16">
        <v>4</v>
      </c>
      <c r="R14" s="22">
        <f>Q14/$Q$19</f>
        <v>6.6666666666666666E-2</v>
      </c>
      <c r="S14" s="16">
        <f>Q14</f>
        <v>4</v>
      </c>
      <c r="T14" s="22">
        <f>R14</f>
        <v>6.6666666666666666E-2</v>
      </c>
    </row>
    <row r="15" spans="5:20" x14ac:dyDescent="0.25">
      <c r="E15" s="1">
        <v>19</v>
      </c>
      <c r="I15" s="16" t="s">
        <v>74</v>
      </c>
      <c r="J15" s="16">
        <v>15</v>
      </c>
      <c r="L15" s="23" t="s">
        <v>95</v>
      </c>
      <c r="M15" s="24">
        <f>O14</f>
        <v>18</v>
      </c>
      <c r="N15" s="24" t="s">
        <v>96</v>
      </c>
      <c r="O15" s="24">
        <f>M15+$O$7</f>
        <v>21</v>
      </c>
      <c r="P15" s="25" t="s">
        <v>97</v>
      </c>
      <c r="Q15" s="16">
        <v>29</v>
      </c>
      <c r="R15" s="22">
        <f>Q15/$Q$19</f>
        <v>0.48333333333333334</v>
      </c>
      <c r="S15" s="16">
        <f t="shared" ref="S15:T18" si="0">S14+Q15</f>
        <v>33</v>
      </c>
      <c r="T15" s="22">
        <f t="shared" si="0"/>
        <v>0.55000000000000004</v>
      </c>
    </row>
    <row r="16" spans="5:20" x14ac:dyDescent="0.25">
      <c r="E16" s="1">
        <v>19</v>
      </c>
      <c r="I16" s="16" t="s">
        <v>98</v>
      </c>
      <c r="J16" s="16">
        <v>15</v>
      </c>
      <c r="L16" s="23" t="s">
        <v>95</v>
      </c>
      <c r="M16" s="24">
        <f>O15</f>
        <v>21</v>
      </c>
      <c r="N16" s="24" t="s">
        <v>96</v>
      </c>
      <c r="O16" s="24">
        <f>M16+$O$7</f>
        <v>24</v>
      </c>
      <c r="P16" s="25" t="s">
        <v>97</v>
      </c>
      <c r="Q16" s="16">
        <v>11</v>
      </c>
      <c r="R16" s="22">
        <f>Q16/$Q$19</f>
        <v>0.18333333333333332</v>
      </c>
      <c r="S16" s="16">
        <f t="shared" si="0"/>
        <v>44</v>
      </c>
      <c r="T16" s="22">
        <f t="shared" si="0"/>
        <v>0.73333333333333339</v>
      </c>
    </row>
    <row r="17" spans="5:20" x14ac:dyDescent="0.25">
      <c r="E17" s="1">
        <v>19</v>
      </c>
      <c r="I17" s="16" t="s">
        <v>99</v>
      </c>
      <c r="J17" s="16">
        <v>30</v>
      </c>
      <c r="L17" s="23" t="s">
        <v>95</v>
      </c>
      <c r="M17" s="24">
        <f>O16</f>
        <v>24</v>
      </c>
      <c r="N17" s="24" t="s">
        <v>96</v>
      </c>
      <c r="O17" s="24">
        <f>M17+$O$7</f>
        <v>27</v>
      </c>
      <c r="P17" s="25" t="s">
        <v>97</v>
      </c>
      <c r="Q17" s="16">
        <v>5</v>
      </c>
      <c r="R17" s="22">
        <f>Q17/$Q$19</f>
        <v>8.3333333333333329E-2</v>
      </c>
      <c r="S17" s="16">
        <f t="shared" si="0"/>
        <v>49</v>
      </c>
      <c r="T17" s="22">
        <f t="shared" si="0"/>
        <v>0.81666666666666676</v>
      </c>
    </row>
    <row r="18" spans="5:20" x14ac:dyDescent="0.25">
      <c r="E18" s="1">
        <v>19</v>
      </c>
      <c r="I18" s="16" t="s">
        <v>100</v>
      </c>
      <c r="J18" s="16">
        <v>1286</v>
      </c>
      <c r="L18" s="26" t="s">
        <v>95</v>
      </c>
      <c r="M18" s="27">
        <f>O17</f>
        <v>27</v>
      </c>
      <c r="N18" s="27" t="s">
        <v>96</v>
      </c>
      <c r="O18" s="27">
        <f>M18+$O$7</f>
        <v>30</v>
      </c>
      <c r="P18" s="28" t="s">
        <v>101</v>
      </c>
      <c r="Q18" s="16">
        <v>11</v>
      </c>
      <c r="R18" s="22">
        <f>Q18/$Q$19</f>
        <v>0.18333333333333332</v>
      </c>
      <c r="S18" s="16">
        <f t="shared" si="0"/>
        <v>60</v>
      </c>
      <c r="T18" s="22">
        <f t="shared" si="0"/>
        <v>1</v>
      </c>
    </row>
    <row r="19" spans="5:20" x14ac:dyDescent="0.25">
      <c r="E19" s="1">
        <v>19</v>
      </c>
      <c r="I19" s="16" t="s">
        <v>102</v>
      </c>
      <c r="J19" s="16">
        <v>60</v>
      </c>
      <c r="Q19" s="16">
        <f>SUM(Q14:Q18)</f>
        <v>60</v>
      </c>
      <c r="R19" s="22">
        <f>SUM(R14:R18)</f>
        <v>1</v>
      </c>
      <c r="T19" s="29"/>
    </row>
    <row r="20" spans="5:20" x14ac:dyDescent="0.25">
      <c r="E20" s="1">
        <v>19</v>
      </c>
    </row>
    <row r="21" spans="5:20" x14ac:dyDescent="0.25">
      <c r="E21" s="1">
        <v>19</v>
      </c>
      <c r="I21" t="s">
        <v>103</v>
      </c>
      <c r="J21">
        <f>_xlfn.QUARTILE.INC(E2:E61,1)</f>
        <v>19</v>
      </c>
    </row>
    <row r="22" spans="5:20" x14ac:dyDescent="0.25">
      <c r="E22" s="1">
        <v>19</v>
      </c>
      <c r="I22" t="s">
        <v>104</v>
      </c>
      <c r="J22">
        <f>_xlfn.QUARTILE.INC(E2:E61,3)</f>
        <v>24</v>
      </c>
    </row>
    <row r="23" spans="5:20" x14ac:dyDescent="0.25">
      <c r="E23" s="1">
        <v>19</v>
      </c>
      <c r="I23" t="s">
        <v>105</v>
      </c>
      <c r="J23">
        <f>J22-J21</f>
        <v>5</v>
      </c>
    </row>
    <row r="24" spans="5:20" x14ac:dyDescent="0.25">
      <c r="E24" s="1">
        <v>20</v>
      </c>
      <c r="I24" t="s">
        <v>106</v>
      </c>
      <c r="J24">
        <f>J21-1.5*J23</f>
        <v>11.5</v>
      </c>
    </row>
    <row r="25" spans="5:20" x14ac:dyDescent="0.25">
      <c r="E25" s="1">
        <v>20</v>
      </c>
      <c r="I25" t="s">
        <v>107</v>
      </c>
      <c r="J25">
        <f>J22+1.5*J23</f>
        <v>31.5</v>
      </c>
    </row>
    <row r="26" spans="5:20" x14ac:dyDescent="0.25">
      <c r="E26" s="1">
        <v>20</v>
      </c>
    </row>
    <row r="27" spans="5:20" x14ac:dyDescent="0.25">
      <c r="E27" s="1">
        <v>20</v>
      </c>
    </row>
    <row r="28" spans="5:20" x14ac:dyDescent="0.25">
      <c r="E28" s="1">
        <v>20</v>
      </c>
    </row>
    <row r="29" spans="5:20" x14ac:dyDescent="0.25">
      <c r="E29" s="1">
        <v>20</v>
      </c>
    </row>
    <row r="30" spans="5:20" x14ac:dyDescent="0.25">
      <c r="E30" s="1">
        <v>20</v>
      </c>
      <c r="K30" t="s">
        <v>259</v>
      </c>
    </row>
    <row r="31" spans="5:20" x14ac:dyDescent="0.25">
      <c r="E31" s="1">
        <v>20</v>
      </c>
    </row>
    <row r="32" spans="5:20" x14ac:dyDescent="0.25">
      <c r="E32" s="1">
        <v>20</v>
      </c>
    </row>
    <row r="33" spans="5:5" x14ac:dyDescent="0.25">
      <c r="E33" s="1">
        <v>20</v>
      </c>
    </row>
    <row r="34" spans="5:5" x14ac:dyDescent="0.25">
      <c r="E34" s="1">
        <v>20</v>
      </c>
    </row>
    <row r="35" spans="5:5" x14ac:dyDescent="0.25">
      <c r="E35" s="1">
        <v>21</v>
      </c>
    </row>
    <row r="36" spans="5:5" x14ac:dyDescent="0.25">
      <c r="E36" s="1">
        <v>21</v>
      </c>
    </row>
    <row r="37" spans="5:5" x14ac:dyDescent="0.25">
      <c r="E37" s="1">
        <v>21</v>
      </c>
    </row>
    <row r="38" spans="5:5" x14ac:dyDescent="0.25">
      <c r="E38" s="1">
        <v>21</v>
      </c>
    </row>
    <row r="39" spans="5:5" x14ac:dyDescent="0.25">
      <c r="E39" s="1">
        <v>21</v>
      </c>
    </row>
    <row r="40" spans="5:5" x14ac:dyDescent="0.25">
      <c r="E40" s="1">
        <v>21</v>
      </c>
    </row>
    <row r="41" spans="5:5" x14ac:dyDescent="0.25">
      <c r="E41" s="1">
        <v>22</v>
      </c>
    </row>
    <row r="42" spans="5:5" x14ac:dyDescent="0.25">
      <c r="E42" s="1">
        <v>22</v>
      </c>
    </row>
    <row r="43" spans="5:5" x14ac:dyDescent="0.25">
      <c r="E43" s="1">
        <v>22</v>
      </c>
    </row>
    <row r="44" spans="5:5" x14ac:dyDescent="0.25">
      <c r="E44" s="1">
        <v>23</v>
      </c>
    </row>
    <row r="45" spans="5:5" x14ac:dyDescent="0.25">
      <c r="E45" s="1">
        <v>23</v>
      </c>
    </row>
    <row r="46" spans="5:5" x14ac:dyDescent="0.25">
      <c r="E46" s="1">
        <v>24</v>
      </c>
    </row>
    <row r="47" spans="5:5" x14ac:dyDescent="0.25">
      <c r="E47" s="1">
        <v>24</v>
      </c>
    </row>
    <row r="48" spans="5:5" x14ac:dyDescent="0.25">
      <c r="E48" s="1">
        <v>24</v>
      </c>
    </row>
    <row r="49" spans="5:5" x14ac:dyDescent="0.25">
      <c r="E49" s="1">
        <v>24</v>
      </c>
    </row>
    <row r="50" spans="5:5" x14ac:dyDescent="0.25">
      <c r="E50" s="1">
        <v>26</v>
      </c>
    </row>
    <row r="51" spans="5:5" x14ac:dyDescent="0.25">
      <c r="E51" s="1">
        <v>27</v>
      </c>
    </row>
    <row r="52" spans="5:5" x14ac:dyDescent="0.25">
      <c r="E52" s="1">
        <v>27</v>
      </c>
    </row>
    <row r="53" spans="5:5" x14ac:dyDescent="0.25">
      <c r="E53" s="1">
        <v>27</v>
      </c>
    </row>
    <row r="54" spans="5:5" x14ac:dyDescent="0.25">
      <c r="E54" s="1">
        <v>27</v>
      </c>
    </row>
    <row r="55" spans="5:5" x14ac:dyDescent="0.25">
      <c r="E55" s="1">
        <v>28</v>
      </c>
    </row>
    <row r="56" spans="5:5" x14ac:dyDescent="0.25">
      <c r="E56" s="1">
        <v>28</v>
      </c>
    </row>
    <row r="57" spans="5:5" x14ac:dyDescent="0.25">
      <c r="E57" s="1">
        <v>28</v>
      </c>
    </row>
    <row r="58" spans="5:5" x14ac:dyDescent="0.25">
      <c r="E58" s="1">
        <v>28</v>
      </c>
    </row>
    <row r="59" spans="5:5" x14ac:dyDescent="0.25">
      <c r="E59" s="1">
        <v>28</v>
      </c>
    </row>
    <row r="60" spans="5:5" x14ac:dyDescent="0.25">
      <c r="E60" s="1">
        <v>29</v>
      </c>
    </row>
    <row r="61" spans="5:5" x14ac:dyDescent="0.25">
      <c r="E61" s="1">
        <v>30</v>
      </c>
    </row>
  </sheetData>
  <autoFilter ref="E1:E61" xr:uid="{458F67DA-A193-3245-B5DD-630C08C0B194}">
    <sortState xmlns:xlrd2="http://schemas.microsoft.com/office/spreadsheetml/2017/richdata2" ref="E2:E61">
      <sortCondition ref="E1:E61"/>
    </sortState>
  </autoFilter>
  <mergeCells count="1">
    <mergeCell ref="L13:O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02B30-EF50-4694-9AF1-1171EA64912B}">
  <dimension ref="D1:AF92"/>
  <sheetViews>
    <sheetView topLeftCell="A76" zoomScale="80" zoomScaleNormal="80" workbookViewId="0">
      <selection activeCell="D84" sqref="D84"/>
    </sheetView>
  </sheetViews>
  <sheetFormatPr baseColWidth="10" defaultRowHeight="13.2" x14ac:dyDescent="0.25"/>
  <cols>
    <col min="4" max="5" width="32.6640625" style="35" customWidth="1"/>
    <col min="6" max="6" width="28.33203125" customWidth="1"/>
    <col min="7" max="7" width="11.88671875" bestFit="1" customWidth="1"/>
    <col min="8" max="8" width="10.6640625" customWidth="1"/>
    <col min="9" max="9" width="23.33203125" customWidth="1"/>
    <col min="11" max="11" width="8" bestFit="1" customWidth="1"/>
    <col min="13" max="13" width="27" customWidth="1"/>
    <col min="16" max="16" width="20.44140625" customWidth="1"/>
    <col min="17" max="17" width="13.33203125" bestFit="1" customWidth="1"/>
    <col min="20" max="20" width="42.6640625" bestFit="1" customWidth="1"/>
    <col min="24" max="24" width="2" customWidth="1"/>
    <col min="26" max="26" width="8" bestFit="1" customWidth="1"/>
    <col min="28" max="28" width="2.44140625" customWidth="1"/>
    <col min="32" max="32" width="13.33203125" bestFit="1" customWidth="1"/>
  </cols>
  <sheetData>
    <row r="1" spans="4:14" ht="52.8" x14ac:dyDescent="0.25">
      <c r="D1" s="30" t="s">
        <v>108</v>
      </c>
      <c r="E1" s="30" t="s">
        <v>109</v>
      </c>
      <c r="F1" s="86" t="s">
        <v>278</v>
      </c>
    </row>
    <row r="2" spans="4:14" x14ac:dyDescent="0.25">
      <c r="D2" s="31">
        <v>0</v>
      </c>
      <c r="E2" s="31">
        <v>0</v>
      </c>
      <c r="F2">
        <f>D2-E2</f>
        <v>0</v>
      </c>
    </row>
    <row r="3" spans="4:14" x14ac:dyDescent="0.25">
      <c r="D3" s="31">
        <v>0</v>
      </c>
      <c r="E3" s="31">
        <v>0</v>
      </c>
      <c r="F3">
        <f t="shared" ref="F3:F61" si="0">D3-E3</f>
        <v>0</v>
      </c>
    </row>
    <row r="4" spans="4:14" x14ac:dyDescent="0.25">
      <c r="D4" s="31">
        <v>0</v>
      </c>
      <c r="E4" s="31">
        <v>0</v>
      </c>
      <c r="F4">
        <f t="shared" si="0"/>
        <v>0</v>
      </c>
    </row>
    <row r="5" spans="4:14" ht="31.2" customHeight="1" x14ac:dyDescent="0.25">
      <c r="D5" s="31">
        <v>0</v>
      </c>
      <c r="E5" s="31">
        <v>0</v>
      </c>
      <c r="F5">
        <f t="shared" si="0"/>
        <v>0</v>
      </c>
    </row>
    <row r="6" spans="4:14" x14ac:dyDescent="0.25">
      <c r="D6" s="31">
        <v>0</v>
      </c>
      <c r="E6" s="31">
        <v>1</v>
      </c>
      <c r="F6">
        <f t="shared" si="0"/>
        <v>-1</v>
      </c>
      <c r="G6" t="s">
        <v>260</v>
      </c>
    </row>
    <row r="7" spans="4:14" x14ac:dyDescent="0.25">
      <c r="D7" s="31">
        <v>0</v>
      </c>
      <c r="E7" s="31">
        <v>1</v>
      </c>
      <c r="F7">
        <f t="shared" si="0"/>
        <v>-1</v>
      </c>
    </row>
    <row r="8" spans="4:14" x14ac:dyDescent="0.25">
      <c r="D8" s="31">
        <v>0</v>
      </c>
      <c r="E8" s="31">
        <v>1</v>
      </c>
      <c r="F8">
        <f t="shared" si="0"/>
        <v>-1</v>
      </c>
    </row>
    <row r="9" spans="4:14" x14ac:dyDescent="0.25">
      <c r="D9" s="31">
        <v>1</v>
      </c>
      <c r="E9" s="31">
        <v>1</v>
      </c>
      <c r="F9">
        <f t="shared" si="0"/>
        <v>0</v>
      </c>
    </row>
    <row r="10" spans="4:14" x14ac:dyDescent="0.25">
      <c r="D10" s="31">
        <v>1</v>
      </c>
      <c r="E10" s="31">
        <v>1</v>
      </c>
      <c r="F10">
        <f t="shared" si="0"/>
        <v>0</v>
      </c>
    </row>
    <row r="11" spans="4:14" x14ac:dyDescent="0.25">
      <c r="D11" s="31">
        <v>2</v>
      </c>
      <c r="E11" s="31">
        <v>1</v>
      </c>
      <c r="F11">
        <f t="shared" si="0"/>
        <v>1</v>
      </c>
    </row>
    <row r="12" spans="4:14" x14ac:dyDescent="0.25">
      <c r="D12" s="31">
        <v>0</v>
      </c>
      <c r="E12" s="31">
        <v>2</v>
      </c>
      <c r="F12">
        <f t="shared" si="0"/>
        <v>-2</v>
      </c>
    </row>
    <row r="13" spans="4:14" x14ac:dyDescent="0.25">
      <c r="D13" s="31">
        <v>0</v>
      </c>
      <c r="E13" s="31">
        <v>2</v>
      </c>
      <c r="F13">
        <f t="shared" si="0"/>
        <v>-2</v>
      </c>
      <c r="N13" s="88">
        <f>1-O26</f>
        <v>0.81666666666666665</v>
      </c>
    </row>
    <row r="14" spans="4:14" x14ac:dyDescent="0.25">
      <c r="D14" s="31">
        <v>0</v>
      </c>
      <c r="E14" s="31">
        <v>2</v>
      </c>
      <c r="F14">
        <f t="shared" si="0"/>
        <v>-2</v>
      </c>
    </row>
    <row r="15" spans="4:14" x14ac:dyDescent="0.25">
      <c r="D15" s="31">
        <v>0</v>
      </c>
      <c r="E15" s="31">
        <v>2</v>
      </c>
      <c r="F15">
        <f t="shared" si="0"/>
        <v>-2</v>
      </c>
    </row>
    <row r="16" spans="4:14" x14ac:dyDescent="0.25">
      <c r="D16" s="31">
        <v>1</v>
      </c>
      <c r="E16" s="31">
        <v>2</v>
      </c>
      <c r="F16">
        <f t="shared" si="0"/>
        <v>-1</v>
      </c>
    </row>
    <row r="17" spans="4:17" x14ac:dyDescent="0.25">
      <c r="D17" s="31">
        <v>1</v>
      </c>
      <c r="E17" s="31">
        <v>2</v>
      </c>
      <c r="F17">
        <f t="shared" si="0"/>
        <v>-1</v>
      </c>
    </row>
    <row r="18" spans="4:17" x14ac:dyDescent="0.25">
      <c r="D18" s="31">
        <v>1</v>
      </c>
      <c r="E18" s="31">
        <v>2</v>
      </c>
      <c r="F18">
        <f t="shared" si="0"/>
        <v>-1</v>
      </c>
      <c r="I18" s="96" t="s">
        <v>110</v>
      </c>
      <c r="J18" s="97"/>
      <c r="K18" s="97"/>
      <c r="L18" s="97"/>
      <c r="M18" s="97"/>
      <c r="N18" s="97"/>
      <c r="O18" s="97"/>
      <c r="P18" s="97"/>
      <c r="Q18" s="98"/>
    </row>
    <row r="19" spans="4:17" x14ac:dyDescent="0.25">
      <c r="D19" s="31">
        <v>1</v>
      </c>
      <c r="E19" s="31">
        <v>2</v>
      </c>
      <c r="F19">
        <f t="shared" si="0"/>
        <v>-1</v>
      </c>
    </row>
    <row r="20" spans="4:17" x14ac:dyDescent="0.25">
      <c r="D20" s="31">
        <v>1</v>
      </c>
      <c r="E20" s="31">
        <v>2</v>
      </c>
      <c r="F20">
        <f t="shared" si="0"/>
        <v>-1</v>
      </c>
      <c r="J20" t="s">
        <v>74</v>
      </c>
      <c r="K20" t="s">
        <v>75</v>
      </c>
    </row>
    <row r="21" spans="4:17" x14ac:dyDescent="0.25">
      <c r="D21" s="31">
        <v>1</v>
      </c>
      <c r="E21" s="31">
        <v>2</v>
      </c>
      <c r="F21">
        <f t="shared" si="0"/>
        <v>-1</v>
      </c>
      <c r="J21" t="s">
        <v>76</v>
      </c>
      <c r="K21" t="s">
        <v>77</v>
      </c>
      <c r="L21" s="17" t="s">
        <v>78</v>
      </c>
      <c r="M21" s="18">
        <v>5</v>
      </c>
    </row>
    <row r="22" spans="4:17" ht="13.8" x14ac:dyDescent="0.25">
      <c r="D22" s="31">
        <v>1</v>
      </c>
      <c r="E22" s="31">
        <v>2</v>
      </c>
      <c r="F22">
        <f t="shared" si="0"/>
        <v>-1</v>
      </c>
      <c r="J22" t="s">
        <v>80</v>
      </c>
      <c r="K22" t="s">
        <v>81</v>
      </c>
      <c r="L22" s="32" t="s">
        <v>111</v>
      </c>
      <c r="M22" s="33">
        <v>1</v>
      </c>
    </row>
    <row r="23" spans="4:17" x14ac:dyDescent="0.25">
      <c r="D23" s="31">
        <v>1</v>
      </c>
      <c r="E23" s="31">
        <v>2</v>
      </c>
      <c r="F23">
        <f t="shared" si="0"/>
        <v>-1</v>
      </c>
      <c r="J23" t="s">
        <v>83</v>
      </c>
      <c r="K23" s="18">
        <v>60</v>
      </c>
    </row>
    <row r="24" spans="4:17" x14ac:dyDescent="0.25">
      <c r="D24" s="31">
        <v>2</v>
      </c>
      <c r="E24" s="31">
        <v>2</v>
      </c>
      <c r="F24">
        <f t="shared" si="0"/>
        <v>0</v>
      </c>
    </row>
    <row r="25" spans="4:17" x14ac:dyDescent="0.25">
      <c r="D25" s="31">
        <v>2</v>
      </c>
      <c r="E25" s="31">
        <v>2</v>
      </c>
      <c r="F25">
        <f t="shared" si="0"/>
        <v>0</v>
      </c>
      <c r="I25" s="99" t="s">
        <v>89</v>
      </c>
      <c r="J25" s="97"/>
      <c r="K25" s="97"/>
      <c r="L25" s="97"/>
      <c r="M25" s="98"/>
      <c r="N25" s="16" t="s">
        <v>90</v>
      </c>
      <c r="O25" s="16" t="s">
        <v>91</v>
      </c>
      <c r="P25" s="16" t="s">
        <v>92</v>
      </c>
      <c r="Q25" s="16" t="s">
        <v>93</v>
      </c>
    </row>
    <row r="26" spans="4:17" x14ac:dyDescent="0.25">
      <c r="D26" s="31">
        <v>2</v>
      </c>
      <c r="E26" s="31">
        <v>2</v>
      </c>
      <c r="F26">
        <f t="shared" si="0"/>
        <v>0</v>
      </c>
      <c r="I26" s="19" t="s">
        <v>95</v>
      </c>
      <c r="J26" s="20">
        <v>0</v>
      </c>
      <c r="K26" s="20" t="s">
        <v>96</v>
      </c>
      <c r="L26" s="20">
        <v>1</v>
      </c>
      <c r="M26" s="21" t="s">
        <v>97</v>
      </c>
      <c r="N26" s="16">
        <v>11</v>
      </c>
      <c r="O26" s="22">
        <f>N26/$N$31</f>
        <v>0.18333333333333332</v>
      </c>
      <c r="P26" s="16">
        <f>N26</f>
        <v>11</v>
      </c>
      <c r="Q26" s="22">
        <f>O26</f>
        <v>0.18333333333333332</v>
      </c>
    </row>
    <row r="27" spans="4:17" x14ac:dyDescent="0.25">
      <c r="D27" s="31">
        <v>2</v>
      </c>
      <c r="E27" s="31">
        <v>2</v>
      </c>
      <c r="F27">
        <f t="shared" si="0"/>
        <v>0</v>
      </c>
      <c r="I27" s="23" t="s">
        <v>95</v>
      </c>
      <c r="J27" s="24">
        <v>1</v>
      </c>
      <c r="K27" s="24" t="s">
        <v>96</v>
      </c>
      <c r="L27" s="24">
        <v>2</v>
      </c>
      <c r="M27" s="25" t="s">
        <v>97</v>
      </c>
      <c r="N27" s="16">
        <v>18</v>
      </c>
      <c r="O27" s="22">
        <f>N27/$N$31</f>
        <v>0.3</v>
      </c>
      <c r="P27" s="16">
        <f>P26+N27</f>
        <v>29</v>
      </c>
      <c r="Q27" s="22">
        <f>Q26+O27</f>
        <v>0.48333333333333328</v>
      </c>
    </row>
    <row r="28" spans="4:17" x14ac:dyDescent="0.25">
      <c r="D28" s="31">
        <v>2</v>
      </c>
      <c r="E28" s="31">
        <v>2</v>
      </c>
      <c r="F28">
        <f t="shared" si="0"/>
        <v>0</v>
      </c>
      <c r="I28" s="23" t="s">
        <v>95</v>
      </c>
      <c r="J28" s="24">
        <v>2</v>
      </c>
      <c r="K28" s="24" t="s">
        <v>96</v>
      </c>
      <c r="L28" s="24">
        <v>3</v>
      </c>
      <c r="M28" s="25" t="s">
        <v>97</v>
      </c>
      <c r="N28" s="16">
        <v>22</v>
      </c>
      <c r="O28" s="22">
        <f>N28/$N$31</f>
        <v>0.36666666666666664</v>
      </c>
      <c r="P28" s="16">
        <f t="shared" ref="P28:Q30" si="1">P27+N28</f>
        <v>51</v>
      </c>
      <c r="Q28" s="22">
        <f t="shared" si="1"/>
        <v>0.84999999999999987</v>
      </c>
    </row>
    <row r="29" spans="4:17" x14ac:dyDescent="0.25">
      <c r="D29" s="31">
        <v>2</v>
      </c>
      <c r="E29" s="31">
        <v>2</v>
      </c>
      <c r="F29">
        <f t="shared" si="0"/>
        <v>0</v>
      </c>
      <c r="I29" s="23" t="s">
        <v>95</v>
      </c>
      <c r="J29" s="24">
        <v>3</v>
      </c>
      <c r="K29" s="24" t="s">
        <v>96</v>
      </c>
      <c r="L29" s="24">
        <v>4</v>
      </c>
      <c r="M29" s="25" t="s">
        <v>97</v>
      </c>
      <c r="N29" s="16">
        <v>7</v>
      </c>
      <c r="O29" s="22">
        <f>N29/$N$31</f>
        <v>0.11666666666666667</v>
      </c>
      <c r="P29" s="16">
        <f t="shared" si="1"/>
        <v>58</v>
      </c>
      <c r="Q29" s="22">
        <f t="shared" si="1"/>
        <v>0.96666666666666656</v>
      </c>
    </row>
    <row r="30" spans="4:17" x14ac:dyDescent="0.25">
      <c r="D30" s="31">
        <v>2</v>
      </c>
      <c r="E30" s="31">
        <v>2</v>
      </c>
      <c r="F30">
        <f t="shared" si="0"/>
        <v>0</v>
      </c>
      <c r="I30" s="26" t="s">
        <v>95</v>
      </c>
      <c r="J30" s="24">
        <v>4</v>
      </c>
      <c r="K30" s="27" t="s">
        <v>96</v>
      </c>
      <c r="L30" s="24">
        <v>5</v>
      </c>
      <c r="M30" s="28" t="s">
        <v>101</v>
      </c>
      <c r="N30" s="16">
        <v>2</v>
      </c>
      <c r="O30" s="22">
        <f>N30/$N$31</f>
        <v>3.3333333333333333E-2</v>
      </c>
      <c r="P30" s="16">
        <f t="shared" si="1"/>
        <v>60</v>
      </c>
      <c r="Q30" s="22">
        <f t="shared" si="1"/>
        <v>0.99999999999999989</v>
      </c>
    </row>
    <row r="31" spans="4:17" x14ac:dyDescent="0.25">
      <c r="D31" s="31">
        <v>2</v>
      </c>
      <c r="E31" s="31">
        <v>2</v>
      </c>
      <c r="F31">
        <f t="shared" si="0"/>
        <v>0</v>
      </c>
      <c r="N31" s="16">
        <f>SUM(N26:N30)</f>
        <v>60</v>
      </c>
      <c r="O31" s="22">
        <f>SUM(O26:O30)</f>
        <v>0.99999999999999989</v>
      </c>
      <c r="Q31" s="29"/>
    </row>
    <row r="32" spans="4:17" x14ac:dyDescent="0.25">
      <c r="D32" s="31">
        <v>2</v>
      </c>
      <c r="E32" s="31">
        <v>2</v>
      </c>
      <c r="F32">
        <f t="shared" si="0"/>
        <v>0</v>
      </c>
    </row>
    <row r="33" spans="4:32" x14ac:dyDescent="0.25">
      <c r="D33" s="31">
        <v>1</v>
      </c>
      <c r="E33" s="31">
        <v>3</v>
      </c>
      <c r="F33">
        <f t="shared" si="0"/>
        <v>-2</v>
      </c>
    </row>
    <row r="34" spans="4:32" x14ac:dyDescent="0.25">
      <c r="D34" s="31">
        <v>1</v>
      </c>
      <c r="E34" s="31">
        <v>3</v>
      </c>
      <c r="F34">
        <f t="shared" si="0"/>
        <v>-2</v>
      </c>
      <c r="X34" s="96" t="s">
        <v>112</v>
      </c>
      <c r="Y34" s="97"/>
      <c r="Z34" s="97"/>
      <c r="AA34" s="97"/>
      <c r="AB34" s="97"/>
      <c r="AC34" s="97"/>
      <c r="AD34" s="97"/>
      <c r="AE34" s="97"/>
      <c r="AF34" s="98"/>
    </row>
    <row r="35" spans="4:32" x14ac:dyDescent="0.25">
      <c r="D35" s="31">
        <v>1</v>
      </c>
      <c r="E35" s="31">
        <v>3</v>
      </c>
      <c r="F35">
        <f t="shared" si="0"/>
        <v>-2</v>
      </c>
    </row>
    <row r="36" spans="4:32" x14ac:dyDescent="0.25">
      <c r="D36" s="31">
        <v>1</v>
      </c>
      <c r="E36" s="31">
        <v>3</v>
      </c>
      <c r="F36">
        <f t="shared" si="0"/>
        <v>-2</v>
      </c>
      <c r="Y36" t="s">
        <v>74</v>
      </c>
      <c r="Z36" t="s">
        <v>75</v>
      </c>
      <c r="AA36">
        <v>5</v>
      </c>
    </row>
    <row r="37" spans="4:32" x14ac:dyDescent="0.25">
      <c r="D37" s="31">
        <v>1</v>
      </c>
      <c r="E37" s="31">
        <v>3</v>
      </c>
      <c r="F37">
        <f t="shared" si="0"/>
        <v>-2</v>
      </c>
      <c r="Y37" t="s">
        <v>76</v>
      </c>
      <c r="Z37" t="s">
        <v>77</v>
      </c>
      <c r="AA37" s="17" t="s">
        <v>78</v>
      </c>
      <c r="AB37" s="18">
        <v>5</v>
      </c>
    </row>
    <row r="38" spans="4:32" x14ac:dyDescent="0.25">
      <c r="D38" s="31">
        <v>2</v>
      </c>
      <c r="E38" s="31">
        <v>3</v>
      </c>
      <c r="F38">
        <f t="shared" si="0"/>
        <v>-1</v>
      </c>
      <c r="Y38" t="s">
        <v>80</v>
      </c>
      <c r="Z38" t="s">
        <v>81</v>
      </c>
      <c r="AA38">
        <f>AA36/AB37</f>
        <v>1</v>
      </c>
    </row>
    <row r="39" spans="4:32" x14ac:dyDescent="0.25">
      <c r="D39" s="31">
        <v>2</v>
      </c>
      <c r="E39" s="31">
        <v>3</v>
      </c>
      <c r="F39">
        <f t="shared" si="0"/>
        <v>-1</v>
      </c>
      <c r="Y39" t="s">
        <v>83</v>
      </c>
      <c r="Z39" s="18">
        <v>60</v>
      </c>
    </row>
    <row r="40" spans="4:32" x14ac:dyDescent="0.25">
      <c r="D40" s="31">
        <v>2</v>
      </c>
      <c r="E40" s="31">
        <v>3</v>
      </c>
      <c r="F40">
        <f t="shared" si="0"/>
        <v>-1</v>
      </c>
    </row>
    <row r="41" spans="4:32" x14ac:dyDescent="0.25">
      <c r="D41" s="31">
        <v>2</v>
      </c>
      <c r="E41" s="31">
        <v>3</v>
      </c>
      <c r="F41">
        <f t="shared" si="0"/>
        <v>-1</v>
      </c>
      <c r="X41" s="99" t="s">
        <v>89</v>
      </c>
      <c r="Y41" s="97"/>
      <c r="Z41" s="97"/>
      <c r="AA41" s="97"/>
      <c r="AB41" s="98"/>
      <c r="AC41" s="16" t="s">
        <v>90</v>
      </c>
      <c r="AD41" s="16" t="s">
        <v>91</v>
      </c>
      <c r="AE41" s="16" t="s">
        <v>92</v>
      </c>
      <c r="AF41" s="16" t="s">
        <v>93</v>
      </c>
    </row>
    <row r="42" spans="4:32" x14ac:dyDescent="0.25">
      <c r="D42" s="31">
        <v>2</v>
      </c>
      <c r="E42" s="31">
        <v>3</v>
      </c>
      <c r="F42">
        <f t="shared" si="0"/>
        <v>-1</v>
      </c>
      <c r="X42" s="19" t="s">
        <v>95</v>
      </c>
      <c r="Y42" s="20">
        <v>0</v>
      </c>
      <c r="Z42" s="20" t="s">
        <v>96</v>
      </c>
      <c r="AA42" s="20">
        <v>1</v>
      </c>
      <c r="AB42" s="21" t="s">
        <v>97</v>
      </c>
      <c r="AC42" s="16">
        <v>4</v>
      </c>
      <c r="AD42" s="22">
        <f>AC42/$N$31</f>
        <v>6.6666666666666666E-2</v>
      </c>
      <c r="AE42" s="16">
        <f>AC42</f>
        <v>4</v>
      </c>
      <c r="AF42" s="22">
        <f>AD42</f>
        <v>6.6666666666666666E-2</v>
      </c>
    </row>
    <row r="43" spans="4:32" x14ac:dyDescent="0.25">
      <c r="D43" s="31">
        <v>2</v>
      </c>
      <c r="E43" s="31">
        <v>3</v>
      </c>
      <c r="F43">
        <f t="shared" si="0"/>
        <v>-1</v>
      </c>
      <c r="X43" s="23" t="s">
        <v>95</v>
      </c>
      <c r="Y43" s="24">
        <v>1</v>
      </c>
      <c r="Z43" s="24" t="s">
        <v>96</v>
      </c>
      <c r="AA43" s="24">
        <v>2</v>
      </c>
      <c r="AB43" s="25" t="s">
        <v>97</v>
      </c>
      <c r="AC43" s="16">
        <v>6</v>
      </c>
      <c r="AD43" s="22">
        <f>AC43/$N$31</f>
        <v>0.1</v>
      </c>
      <c r="AE43" s="16">
        <f t="shared" ref="AE43:AF46" si="2">AE42+AC43</f>
        <v>10</v>
      </c>
      <c r="AF43" s="22">
        <f t="shared" si="2"/>
        <v>0.16666666666666669</v>
      </c>
    </row>
    <row r="44" spans="4:32" x14ac:dyDescent="0.25">
      <c r="D44" s="31">
        <v>2</v>
      </c>
      <c r="E44" s="31">
        <v>3</v>
      </c>
      <c r="F44">
        <f t="shared" si="0"/>
        <v>-1</v>
      </c>
      <c r="X44" s="23" t="s">
        <v>95</v>
      </c>
      <c r="Y44" s="24">
        <v>2</v>
      </c>
      <c r="Z44" s="24" t="s">
        <v>96</v>
      </c>
      <c r="AA44" s="24">
        <v>3</v>
      </c>
      <c r="AB44" s="25" t="s">
        <v>97</v>
      </c>
      <c r="AC44" s="16">
        <v>21</v>
      </c>
      <c r="AD44" s="22">
        <f>AC44/$N$31</f>
        <v>0.35</v>
      </c>
      <c r="AE44" s="16">
        <f t="shared" si="2"/>
        <v>31</v>
      </c>
      <c r="AF44" s="22">
        <f t="shared" si="2"/>
        <v>0.51666666666666661</v>
      </c>
    </row>
    <row r="45" spans="4:32" x14ac:dyDescent="0.25">
      <c r="D45" s="31">
        <v>1</v>
      </c>
      <c r="E45" s="31">
        <v>4</v>
      </c>
      <c r="F45">
        <f t="shared" si="0"/>
        <v>-3</v>
      </c>
      <c r="X45" s="23" t="s">
        <v>95</v>
      </c>
      <c r="Y45" s="24">
        <v>3</v>
      </c>
      <c r="Z45" s="24" t="s">
        <v>96</v>
      </c>
      <c r="AA45" s="24">
        <v>4</v>
      </c>
      <c r="AB45" s="25" t="s">
        <v>97</v>
      </c>
      <c r="AC45" s="16">
        <v>12</v>
      </c>
      <c r="AD45" s="22">
        <f>AC45/$N$31</f>
        <v>0.2</v>
      </c>
      <c r="AE45" s="16">
        <f t="shared" si="2"/>
        <v>43</v>
      </c>
      <c r="AF45" s="22">
        <f t="shared" si="2"/>
        <v>0.71666666666666656</v>
      </c>
    </row>
    <row r="46" spans="4:32" x14ac:dyDescent="0.25">
      <c r="D46" s="31">
        <v>1</v>
      </c>
      <c r="E46" s="31">
        <v>4</v>
      </c>
      <c r="F46">
        <f t="shared" si="0"/>
        <v>-3</v>
      </c>
      <c r="X46" s="26" t="s">
        <v>95</v>
      </c>
      <c r="Y46" s="24">
        <v>4</v>
      </c>
      <c r="Z46" s="27" t="s">
        <v>96</v>
      </c>
      <c r="AA46" s="24">
        <v>5</v>
      </c>
      <c r="AB46" s="28" t="s">
        <v>101</v>
      </c>
      <c r="AC46" s="16">
        <v>17</v>
      </c>
      <c r="AD46" s="22">
        <f>AC46/$N$31</f>
        <v>0.28333333333333333</v>
      </c>
      <c r="AE46" s="16">
        <f t="shared" si="2"/>
        <v>60</v>
      </c>
      <c r="AF46" s="22">
        <f t="shared" si="2"/>
        <v>0.99999999999999989</v>
      </c>
    </row>
    <row r="47" spans="4:32" x14ac:dyDescent="0.25">
      <c r="D47" s="31">
        <v>2</v>
      </c>
      <c r="E47" s="31">
        <v>4</v>
      </c>
      <c r="F47">
        <f t="shared" si="0"/>
        <v>-2</v>
      </c>
      <c r="AC47" s="16">
        <f>SUM(AC42:AC46)</f>
        <v>60</v>
      </c>
      <c r="AD47" s="22">
        <f>SUM(AD42:AD46)</f>
        <v>0.99999999999999989</v>
      </c>
      <c r="AF47" s="29"/>
    </row>
    <row r="48" spans="4:32" x14ac:dyDescent="0.25">
      <c r="D48" s="31">
        <v>2</v>
      </c>
      <c r="E48" s="31">
        <v>4</v>
      </c>
      <c r="F48">
        <f t="shared" si="0"/>
        <v>-2</v>
      </c>
    </row>
    <row r="49" spans="4:20" x14ac:dyDescent="0.25">
      <c r="D49" s="31">
        <v>2</v>
      </c>
      <c r="E49" s="31">
        <v>4</v>
      </c>
      <c r="F49">
        <f t="shared" si="0"/>
        <v>-2</v>
      </c>
    </row>
    <row r="50" spans="4:20" x14ac:dyDescent="0.25">
      <c r="D50" s="31">
        <v>2</v>
      </c>
      <c r="E50" s="31">
        <v>4</v>
      </c>
      <c r="F50">
        <f t="shared" si="0"/>
        <v>-2</v>
      </c>
    </row>
    <row r="51" spans="4:20" x14ac:dyDescent="0.25">
      <c r="D51" s="31">
        <v>2</v>
      </c>
      <c r="E51" s="31">
        <v>4</v>
      </c>
      <c r="F51">
        <f t="shared" si="0"/>
        <v>-2</v>
      </c>
    </row>
    <row r="52" spans="4:20" x14ac:dyDescent="0.25">
      <c r="D52" s="31">
        <v>3</v>
      </c>
      <c r="E52" s="31">
        <v>4</v>
      </c>
      <c r="F52">
        <f t="shared" si="0"/>
        <v>-1</v>
      </c>
    </row>
    <row r="53" spans="4:20" x14ac:dyDescent="0.25">
      <c r="D53" s="31">
        <v>3</v>
      </c>
      <c r="E53" s="31">
        <v>4</v>
      </c>
      <c r="F53">
        <f t="shared" si="0"/>
        <v>-1</v>
      </c>
    </row>
    <row r="54" spans="4:20" x14ac:dyDescent="0.25">
      <c r="D54" s="31">
        <v>3</v>
      </c>
      <c r="E54" s="31">
        <v>4</v>
      </c>
      <c r="F54">
        <f t="shared" si="0"/>
        <v>-1</v>
      </c>
    </row>
    <row r="55" spans="4:20" x14ac:dyDescent="0.25">
      <c r="D55" s="31">
        <v>3</v>
      </c>
      <c r="E55" s="31">
        <v>4</v>
      </c>
      <c r="F55">
        <f t="shared" si="0"/>
        <v>-1</v>
      </c>
    </row>
    <row r="56" spans="4:20" x14ac:dyDescent="0.25">
      <c r="D56" s="31">
        <v>4</v>
      </c>
      <c r="E56" s="31">
        <v>4</v>
      </c>
      <c r="F56">
        <f t="shared" si="0"/>
        <v>0</v>
      </c>
    </row>
    <row r="57" spans="4:20" x14ac:dyDescent="0.25">
      <c r="D57" s="31">
        <v>1</v>
      </c>
      <c r="E57" s="31">
        <v>5</v>
      </c>
      <c r="F57">
        <f t="shared" si="0"/>
        <v>-4</v>
      </c>
    </row>
    <row r="58" spans="4:20" x14ac:dyDescent="0.25">
      <c r="D58" s="31">
        <v>3</v>
      </c>
      <c r="E58" s="31">
        <v>5</v>
      </c>
      <c r="F58">
        <f t="shared" si="0"/>
        <v>-2</v>
      </c>
    </row>
    <row r="59" spans="4:20" x14ac:dyDescent="0.25">
      <c r="D59" s="31">
        <v>3</v>
      </c>
      <c r="E59" s="31">
        <v>5</v>
      </c>
      <c r="F59">
        <f t="shared" si="0"/>
        <v>-2</v>
      </c>
    </row>
    <row r="60" spans="4:20" ht="26.4" x14ac:dyDescent="0.25">
      <c r="D60" s="31">
        <v>3</v>
      </c>
      <c r="E60" s="31">
        <v>5</v>
      </c>
      <c r="F60">
        <f t="shared" si="0"/>
        <v>-2</v>
      </c>
      <c r="N60" s="34" t="s">
        <v>113</v>
      </c>
      <c r="O60" t="s">
        <v>114</v>
      </c>
      <c r="P60" t="s">
        <v>115</v>
      </c>
      <c r="Q60" t="s">
        <v>116</v>
      </c>
    </row>
    <row r="61" spans="4:20" x14ac:dyDescent="0.25">
      <c r="D61" s="31">
        <v>4</v>
      </c>
      <c r="E61" s="31">
        <v>5</v>
      </c>
      <c r="F61">
        <f t="shared" si="0"/>
        <v>-1</v>
      </c>
      <c r="N61">
        <v>1</v>
      </c>
      <c r="O61">
        <v>11</v>
      </c>
      <c r="P61">
        <v>4</v>
      </c>
      <c r="Q61">
        <f>O61-P61</f>
        <v>7</v>
      </c>
    </row>
    <row r="62" spans="4:20" x14ac:dyDescent="0.25">
      <c r="F62" s="86"/>
      <c r="N62">
        <v>2</v>
      </c>
      <c r="O62">
        <v>18</v>
      </c>
      <c r="P62">
        <v>6</v>
      </c>
      <c r="Q62">
        <f t="shared" ref="Q62:Q65" si="3">O62-P62</f>
        <v>12</v>
      </c>
    </row>
    <row r="63" spans="4:20" x14ac:dyDescent="0.25">
      <c r="D63" s="106" t="s">
        <v>280</v>
      </c>
      <c r="F63" s="86"/>
      <c r="N63">
        <v>3</v>
      </c>
      <c r="O63">
        <v>22</v>
      </c>
      <c r="P63">
        <v>21</v>
      </c>
      <c r="Q63">
        <f t="shared" si="3"/>
        <v>1</v>
      </c>
    </row>
    <row r="64" spans="4:20" x14ac:dyDescent="0.25">
      <c r="D64" s="106" t="s">
        <v>279</v>
      </c>
      <c r="F64" s="86"/>
      <c r="I64" s="86"/>
      <c r="N64">
        <v>4</v>
      </c>
      <c r="O64">
        <v>7</v>
      </c>
      <c r="P64">
        <v>12</v>
      </c>
      <c r="Q64">
        <f t="shared" si="3"/>
        <v>-5</v>
      </c>
      <c r="T64" t="s">
        <v>196</v>
      </c>
    </row>
    <row r="65" spans="4:22" ht="13.8" thickBot="1" x14ac:dyDescent="0.3">
      <c r="D65" t="s">
        <v>196</v>
      </c>
      <c r="E65"/>
      <c r="N65">
        <v>5</v>
      </c>
      <c r="O65">
        <v>2</v>
      </c>
      <c r="P65">
        <v>17</v>
      </c>
      <c r="Q65">
        <f t="shared" si="3"/>
        <v>-15</v>
      </c>
    </row>
    <row r="66" spans="4:22" ht="13.8" thickBot="1" x14ac:dyDescent="0.3">
      <c r="D66"/>
      <c r="E66"/>
      <c r="T66" s="68"/>
      <c r="U66" s="68" t="s">
        <v>114</v>
      </c>
      <c r="V66" s="68" t="s">
        <v>115</v>
      </c>
    </row>
    <row r="67" spans="4:22" ht="63.6" customHeight="1" x14ac:dyDescent="0.25">
      <c r="D67" s="68"/>
      <c r="E67" s="104" t="s">
        <v>108</v>
      </c>
      <c r="F67" s="104" t="s">
        <v>109</v>
      </c>
      <c r="M67" s="100"/>
      <c r="N67" s="9"/>
      <c r="T67" s="66" t="s">
        <v>79</v>
      </c>
      <c r="U67" s="66">
        <v>12</v>
      </c>
      <c r="V67" s="66">
        <v>12</v>
      </c>
    </row>
    <row r="68" spans="4:22" x14ac:dyDescent="0.25">
      <c r="D68" s="66" t="s">
        <v>79</v>
      </c>
      <c r="E68" s="66">
        <v>1.5166666666666666</v>
      </c>
      <c r="F68" s="66">
        <v>2.6166666666666667</v>
      </c>
      <c r="M68" s="95"/>
      <c r="N68" s="9"/>
      <c r="O68" s="9" t="s">
        <v>117</v>
      </c>
      <c r="P68">
        <v>0.05</v>
      </c>
      <c r="Q68">
        <f>AVERAGE(Q61:Q65)</f>
        <v>0</v>
      </c>
      <c r="T68" s="66" t="s">
        <v>197</v>
      </c>
      <c r="U68" s="66">
        <v>65.5</v>
      </c>
      <c r="V68" s="66">
        <v>51.5</v>
      </c>
    </row>
    <row r="69" spans="4:22" x14ac:dyDescent="0.25">
      <c r="D69" s="66" t="s">
        <v>197</v>
      </c>
      <c r="E69" s="66">
        <v>1.0675141242937851</v>
      </c>
      <c r="F69" s="66">
        <v>1.7658192090395481</v>
      </c>
      <c r="T69" s="66" t="s">
        <v>198</v>
      </c>
      <c r="U69" s="66">
        <v>5</v>
      </c>
      <c r="V69" s="66">
        <v>5</v>
      </c>
    </row>
    <row r="70" spans="4:22" x14ac:dyDescent="0.25">
      <c r="D70" s="66" t="s">
        <v>198</v>
      </c>
      <c r="E70" s="66">
        <v>60</v>
      </c>
      <c r="F70" s="66">
        <v>60</v>
      </c>
      <c r="O70" s="9" t="s">
        <v>118</v>
      </c>
      <c r="P70" s="9" t="s">
        <v>119</v>
      </c>
      <c r="T70" s="66" t="s">
        <v>199</v>
      </c>
      <c r="U70" s="66">
        <v>5.1653171248742108E-2</v>
      </c>
      <c r="V70" s="66"/>
    </row>
    <row r="71" spans="4:22" x14ac:dyDescent="0.25">
      <c r="D71" s="66" t="s">
        <v>199</v>
      </c>
      <c r="E71" s="66">
        <v>0.70221983568438684</v>
      </c>
      <c r="F71" s="66"/>
      <c r="O71" s="9" t="s">
        <v>120</v>
      </c>
      <c r="P71" s="9" t="s">
        <v>121</v>
      </c>
      <c r="Q71" s="9"/>
      <c r="T71" s="66" t="s">
        <v>200</v>
      </c>
      <c r="U71" s="66">
        <v>0</v>
      </c>
      <c r="V71" s="66"/>
    </row>
    <row r="72" spans="4:22" x14ac:dyDescent="0.25">
      <c r="D72" s="66" t="s">
        <v>200</v>
      </c>
      <c r="E72" s="66">
        <v>0</v>
      </c>
      <c r="F72" s="66"/>
      <c r="Q72" s="9"/>
      <c r="T72" s="66" t="s">
        <v>201</v>
      </c>
      <c r="U72" s="66">
        <v>4</v>
      </c>
      <c r="V72" s="66"/>
    </row>
    <row r="73" spans="4:22" x14ac:dyDescent="0.25">
      <c r="D73" s="66" t="s">
        <v>201</v>
      </c>
      <c r="E73" s="66">
        <v>59</v>
      </c>
      <c r="F73" s="66"/>
      <c r="N73" s="94" t="s">
        <v>230</v>
      </c>
      <c r="O73" s="95"/>
      <c r="P73" s="95"/>
      <c r="Q73" s="95"/>
      <c r="R73" s="9"/>
      <c r="T73" s="69" t="s">
        <v>202</v>
      </c>
      <c r="U73" s="69">
        <v>0</v>
      </c>
      <c r="V73" s="66"/>
    </row>
    <row r="74" spans="4:22" x14ac:dyDescent="0.25">
      <c r="D74" s="66" t="s">
        <v>202</v>
      </c>
      <c r="E74" s="66">
        <v>-8.956198029636651</v>
      </c>
      <c r="F74" s="66"/>
      <c r="N74" s="95"/>
      <c r="O74" s="95"/>
      <c r="P74" s="95"/>
      <c r="Q74" s="95"/>
      <c r="T74" s="66" t="s">
        <v>203</v>
      </c>
      <c r="U74" s="66">
        <v>0.5</v>
      </c>
      <c r="V74" s="66"/>
    </row>
    <row r="75" spans="4:22" x14ac:dyDescent="0.25">
      <c r="D75" s="66" t="s">
        <v>203</v>
      </c>
      <c r="E75" s="69">
        <v>6.7577822021118008E-13</v>
      </c>
      <c r="F75" s="66"/>
      <c r="N75" s="95"/>
      <c r="O75" s="95"/>
      <c r="P75" s="95"/>
      <c r="Q75" s="95"/>
      <c r="T75" s="69" t="s">
        <v>204</v>
      </c>
      <c r="U75" s="69">
        <v>2.1318467863266499</v>
      </c>
      <c r="V75" s="66"/>
    </row>
    <row r="76" spans="4:22" x14ac:dyDescent="0.25">
      <c r="D76" s="66" t="s">
        <v>204</v>
      </c>
      <c r="E76" s="66">
        <v>1.6710930321038957</v>
      </c>
      <c r="F76" s="66"/>
      <c r="N76" s="95"/>
      <c r="O76" s="95"/>
      <c r="P76" s="95"/>
      <c r="Q76" s="95"/>
      <c r="T76" s="66" t="s">
        <v>205</v>
      </c>
      <c r="U76" s="66">
        <v>1</v>
      </c>
      <c r="V76" s="66"/>
    </row>
    <row r="77" spans="4:22" ht="13.8" thickBot="1" x14ac:dyDescent="0.3">
      <c r="D77" s="66" t="s">
        <v>205</v>
      </c>
      <c r="E77" s="66">
        <v>1.3515564404223602E-12</v>
      </c>
      <c r="F77" s="66"/>
      <c r="T77" s="67" t="s">
        <v>206</v>
      </c>
      <c r="U77" s="67">
        <v>2.7764451051977934</v>
      </c>
      <c r="V77" s="67"/>
    </row>
    <row r="78" spans="4:22" ht="13.8" thickBot="1" x14ac:dyDescent="0.3">
      <c r="D78" s="67" t="s">
        <v>206</v>
      </c>
      <c r="E78" s="67">
        <v>2.0009953780882688</v>
      </c>
      <c r="F78" s="67"/>
    </row>
    <row r="80" spans="4:22" x14ac:dyDescent="0.25">
      <c r="D80" s="105" t="s">
        <v>281</v>
      </c>
    </row>
    <row r="81" spans="4:20" x14ac:dyDescent="0.25">
      <c r="D81" s="106" t="s">
        <v>282</v>
      </c>
      <c r="T81" s="94" t="s">
        <v>231</v>
      </c>
    </row>
    <row r="82" spans="4:20" x14ac:dyDescent="0.25">
      <c r="T82" s="95"/>
    </row>
    <row r="83" spans="4:20" x14ac:dyDescent="0.25">
      <c r="T83" s="95"/>
    </row>
    <row r="84" spans="4:20" x14ac:dyDescent="0.25">
      <c r="T84" s="95"/>
    </row>
    <row r="92" spans="4:20" x14ac:dyDescent="0.25">
      <c r="N92" s="18">
        <v>0</v>
      </c>
      <c r="P92" s="18">
        <v>2.13</v>
      </c>
    </row>
  </sheetData>
  <autoFilter ref="D1:E61" xr:uid="{FD2ADBA7-99C7-AF45-AB03-DE882553F766}">
    <sortState xmlns:xlrd2="http://schemas.microsoft.com/office/spreadsheetml/2017/richdata2" ref="D2:E61">
      <sortCondition ref="E1:E61"/>
    </sortState>
  </autoFilter>
  <mergeCells count="7">
    <mergeCell ref="N73:Q76"/>
    <mergeCell ref="T81:T84"/>
    <mergeCell ref="I18:Q18"/>
    <mergeCell ref="I25:M25"/>
    <mergeCell ref="X34:AF34"/>
    <mergeCell ref="X41:AB41"/>
    <mergeCell ref="M67:M6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34DA-2AE1-40A9-A2BE-8C2552E8A4C2}">
  <dimension ref="D1:Q65"/>
  <sheetViews>
    <sheetView topLeftCell="H40" zoomScale="85" zoomScaleNormal="85" workbookViewId="0">
      <selection activeCell="H68" sqref="H68"/>
    </sheetView>
  </sheetViews>
  <sheetFormatPr baseColWidth="10" defaultRowHeight="13.2" x14ac:dyDescent="0.25"/>
  <cols>
    <col min="4" max="5" width="31.109375" bestFit="1" customWidth="1"/>
    <col min="9" max="9" width="37.44140625" bestFit="1" customWidth="1"/>
    <col min="10" max="10" width="41.44140625" bestFit="1" customWidth="1"/>
    <col min="11" max="11" width="10.33203125" bestFit="1" customWidth="1"/>
    <col min="12" max="12" width="12.33203125" bestFit="1" customWidth="1"/>
    <col min="13" max="13" width="41.44140625" bestFit="1" customWidth="1"/>
    <col min="14" max="14" width="3.6640625" bestFit="1" customWidth="1"/>
    <col min="15" max="15" width="85.44140625" bestFit="1" customWidth="1"/>
  </cols>
  <sheetData>
    <row r="1" spans="4:17" ht="52.8" x14ac:dyDescent="0.25">
      <c r="D1" s="10" t="s">
        <v>122</v>
      </c>
      <c r="E1" s="10" t="s">
        <v>123</v>
      </c>
    </row>
    <row r="2" spans="4:17" x14ac:dyDescent="0.25">
      <c r="D2" s="36" t="s">
        <v>21</v>
      </c>
      <c r="E2" s="36" t="s">
        <v>21</v>
      </c>
    </row>
    <row r="3" spans="4:17" x14ac:dyDescent="0.25">
      <c r="D3" s="36" t="s">
        <v>26</v>
      </c>
      <c r="E3" s="36" t="s">
        <v>27</v>
      </c>
    </row>
    <row r="4" spans="4:17" x14ac:dyDescent="0.25">
      <c r="D4" s="36" t="s">
        <v>21</v>
      </c>
      <c r="E4" s="36" t="s">
        <v>21</v>
      </c>
    </row>
    <row r="5" spans="4:17" x14ac:dyDescent="0.25">
      <c r="D5" s="36" t="s">
        <v>32</v>
      </c>
      <c r="E5" s="36" t="s">
        <v>32</v>
      </c>
    </row>
    <row r="6" spans="4:17" x14ac:dyDescent="0.25">
      <c r="D6" s="36" t="s">
        <v>26</v>
      </c>
      <c r="E6" s="36" t="s">
        <v>21</v>
      </c>
    </row>
    <row r="7" spans="4:17" x14ac:dyDescent="0.25">
      <c r="D7" s="36" t="s">
        <v>26</v>
      </c>
      <c r="E7" s="36" t="s">
        <v>32</v>
      </c>
    </row>
    <row r="8" spans="4:17" x14ac:dyDescent="0.25">
      <c r="D8" s="36" t="s">
        <v>27</v>
      </c>
      <c r="E8" s="36" t="s">
        <v>27</v>
      </c>
    </row>
    <row r="9" spans="4:17" x14ac:dyDescent="0.25">
      <c r="D9" s="36" t="s">
        <v>21</v>
      </c>
      <c r="E9" s="36" t="s">
        <v>21</v>
      </c>
    </row>
    <row r="10" spans="4:17" ht="15" x14ac:dyDescent="0.25">
      <c r="D10" s="36" t="s">
        <v>26</v>
      </c>
      <c r="E10" s="36" t="s">
        <v>27</v>
      </c>
      <c r="I10" s="12" t="s">
        <v>124</v>
      </c>
      <c r="J10" s="12" t="s">
        <v>68</v>
      </c>
      <c r="K10" s="12" t="s">
        <v>69</v>
      </c>
      <c r="O10" s="12" t="s">
        <v>125</v>
      </c>
      <c r="P10" s="12" t="s">
        <v>68</v>
      </c>
      <c r="Q10" s="12" t="s">
        <v>69</v>
      </c>
    </row>
    <row r="11" spans="4:17" ht="15" x14ac:dyDescent="0.25">
      <c r="D11" s="36" t="s">
        <v>32</v>
      </c>
      <c r="E11" s="36" t="s">
        <v>32</v>
      </c>
      <c r="I11" s="37" t="s">
        <v>21</v>
      </c>
      <c r="J11" s="12">
        <f>COUNTIF($D$2:$D$61,I11)</f>
        <v>9</v>
      </c>
      <c r="K11" s="38">
        <f>J11/$J$15</f>
        <v>0.15</v>
      </c>
      <c r="O11" s="37" t="s">
        <v>21</v>
      </c>
      <c r="P11" s="12">
        <f>COUNTIF($E$2:$E$61,O11)</f>
        <v>9</v>
      </c>
      <c r="Q11" s="38">
        <f>P11/$J$15</f>
        <v>0.15</v>
      </c>
    </row>
    <row r="12" spans="4:17" ht="15" x14ac:dyDescent="0.25">
      <c r="D12" s="36" t="s">
        <v>26</v>
      </c>
      <c r="E12" s="36" t="s">
        <v>32</v>
      </c>
      <c r="I12" s="37" t="s">
        <v>26</v>
      </c>
      <c r="J12" s="12">
        <f>COUNTIF($D$2:$D$61,I12)</f>
        <v>31</v>
      </c>
      <c r="K12" s="38">
        <f>J12/$J$15</f>
        <v>0.51666666666666672</v>
      </c>
      <c r="O12" s="37" t="s">
        <v>26</v>
      </c>
      <c r="P12" s="12">
        <f>COUNTIF($E$2:$E$61,O12)</f>
        <v>8</v>
      </c>
      <c r="Q12" s="38">
        <f>P12/$J$15</f>
        <v>0.13333333333333333</v>
      </c>
    </row>
    <row r="13" spans="4:17" ht="15" x14ac:dyDescent="0.25">
      <c r="D13" s="36" t="s">
        <v>26</v>
      </c>
      <c r="E13" s="36" t="s">
        <v>27</v>
      </c>
      <c r="I13" s="37" t="s">
        <v>32</v>
      </c>
      <c r="J13" s="12">
        <f>COUNTIF($D$2:$D$61,I13)</f>
        <v>16</v>
      </c>
      <c r="K13" s="38">
        <f>J13/$J$15</f>
        <v>0.26666666666666666</v>
      </c>
      <c r="O13" s="37" t="s">
        <v>32</v>
      </c>
      <c r="P13" s="12">
        <f>COUNTIF($E$2:$E$61,O13)</f>
        <v>17</v>
      </c>
      <c r="Q13" s="38">
        <f>P13/$J$15</f>
        <v>0.28333333333333333</v>
      </c>
    </row>
    <row r="14" spans="4:17" ht="15" x14ac:dyDescent="0.25">
      <c r="D14" s="36" t="s">
        <v>26</v>
      </c>
      <c r="E14" s="36" t="s">
        <v>27</v>
      </c>
      <c r="I14" s="37" t="s">
        <v>27</v>
      </c>
      <c r="J14" s="12">
        <f>COUNTIF($D$2:$D$61,I14)</f>
        <v>4</v>
      </c>
      <c r="K14" s="38">
        <f>J14/$J$15</f>
        <v>6.6666666666666666E-2</v>
      </c>
      <c r="O14" s="37" t="s">
        <v>27</v>
      </c>
      <c r="P14" s="12">
        <f>COUNTIF($E$2:$E$61,O14)</f>
        <v>26</v>
      </c>
      <c r="Q14" s="38">
        <f>P14/$J$15</f>
        <v>0.43333333333333335</v>
      </c>
    </row>
    <row r="15" spans="4:17" ht="15" x14ac:dyDescent="0.25">
      <c r="D15" s="36" t="s">
        <v>32</v>
      </c>
      <c r="E15" s="36" t="s">
        <v>32</v>
      </c>
      <c r="I15" s="12" t="s">
        <v>72</v>
      </c>
      <c r="J15" s="12">
        <f>SUM(J11:J14)</f>
        <v>60</v>
      </c>
      <c r="K15" s="14">
        <f>SUM(K11:K14)</f>
        <v>1</v>
      </c>
      <c r="O15" s="12" t="s">
        <v>72</v>
      </c>
      <c r="P15" s="12">
        <f>SUM(P11:P14)</f>
        <v>60</v>
      </c>
      <c r="Q15" s="14">
        <f>SUM(Q11:Q14)</f>
        <v>1</v>
      </c>
    </row>
    <row r="16" spans="4:17" x14ac:dyDescent="0.25">
      <c r="D16" s="36" t="s">
        <v>26</v>
      </c>
      <c r="E16" s="36" t="s">
        <v>27</v>
      </c>
    </row>
    <row r="17" spans="4:5" x14ac:dyDescent="0.25">
      <c r="D17" s="36" t="s">
        <v>21</v>
      </c>
      <c r="E17" s="36" t="s">
        <v>21</v>
      </c>
    </row>
    <row r="18" spans="4:5" x14ac:dyDescent="0.25">
      <c r="D18" s="36" t="s">
        <v>32</v>
      </c>
      <c r="E18" s="36" t="s">
        <v>27</v>
      </c>
    </row>
    <row r="19" spans="4:5" x14ac:dyDescent="0.25">
      <c r="D19" s="36" t="s">
        <v>26</v>
      </c>
      <c r="E19" s="36" t="s">
        <v>26</v>
      </c>
    </row>
    <row r="20" spans="4:5" x14ac:dyDescent="0.25">
      <c r="D20" s="36" t="s">
        <v>26</v>
      </c>
      <c r="E20" s="36" t="s">
        <v>32</v>
      </c>
    </row>
    <row r="21" spans="4:5" x14ac:dyDescent="0.25">
      <c r="D21" s="36" t="s">
        <v>26</v>
      </c>
      <c r="E21" s="36" t="s">
        <v>32</v>
      </c>
    </row>
    <row r="22" spans="4:5" x14ac:dyDescent="0.25">
      <c r="D22" s="36" t="s">
        <v>32</v>
      </c>
      <c r="E22" s="36" t="s">
        <v>32</v>
      </c>
    </row>
    <row r="23" spans="4:5" x14ac:dyDescent="0.25">
      <c r="D23" s="36" t="s">
        <v>26</v>
      </c>
      <c r="E23" s="36" t="s">
        <v>26</v>
      </c>
    </row>
    <row r="24" spans="4:5" x14ac:dyDescent="0.25">
      <c r="D24" s="36" t="s">
        <v>32</v>
      </c>
      <c r="E24" s="36" t="s">
        <v>32</v>
      </c>
    </row>
    <row r="25" spans="4:5" x14ac:dyDescent="0.25">
      <c r="D25" s="36" t="s">
        <v>32</v>
      </c>
      <c r="E25" s="36" t="s">
        <v>27</v>
      </c>
    </row>
    <row r="26" spans="4:5" x14ac:dyDescent="0.25">
      <c r="D26" s="36" t="s">
        <v>32</v>
      </c>
      <c r="E26" s="36" t="s">
        <v>27</v>
      </c>
    </row>
    <row r="27" spans="4:5" x14ac:dyDescent="0.25">
      <c r="D27" s="36" t="s">
        <v>27</v>
      </c>
      <c r="E27" s="36" t="s">
        <v>27</v>
      </c>
    </row>
    <row r="28" spans="4:5" x14ac:dyDescent="0.25">
      <c r="D28" s="36" t="s">
        <v>32</v>
      </c>
      <c r="E28" s="36" t="s">
        <v>27</v>
      </c>
    </row>
    <row r="29" spans="4:5" x14ac:dyDescent="0.25">
      <c r="D29" s="36" t="s">
        <v>32</v>
      </c>
      <c r="E29" s="36" t="s">
        <v>32</v>
      </c>
    </row>
    <row r="30" spans="4:5" x14ac:dyDescent="0.25">
      <c r="D30" s="36" t="s">
        <v>26</v>
      </c>
      <c r="E30" s="36" t="s">
        <v>32</v>
      </c>
    </row>
    <row r="31" spans="4:5" x14ac:dyDescent="0.25">
      <c r="D31" s="36" t="s">
        <v>32</v>
      </c>
      <c r="E31" s="36" t="s">
        <v>32</v>
      </c>
    </row>
    <row r="32" spans="4:5" x14ac:dyDescent="0.25">
      <c r="D32" s="36" t="s">
        <v>21</v>
      </c>
      <c r="E32" s="36" t="s">
        <v>21</v>
      </c>
    </row>
    <row r="33" spans="4:14" x14ac:dyDescent="0.25">
      <c r="D33" s="36" t="s">
        <v>26</v>
      </c>
      <c r="E33" s="36" t="s">
        <v>26</v>
      </c>
    </row>
    <row r="34" spans="4:14" x14ac:dyDescent="0.25">
      <c r="D34" s="36" t="s">
        <v>21</v>
      </c>
      <c r="E34" s="36" t="s">
        <v>21</v>
      </c>
    </row>
    <row r="35" spans="4:14" x14ac:dyDescent="0.25">
      <c r="D35" s="36" t="s">
        <v>26</v>
      </c>
      <c r="E35" s="36" t="s">
        <v>26</v>
      </c>
    </row>
    <row r="36" spans="4:14" x14ac:dyDescent="0.25">
      <c r="D36" s="36" t="s">
        <v>26</v>
      </c>
      <c r="E36" s="36" t="s">
        <v>27</v>
      </c>
    </row>
    <row r="37" spans="4:14" x14ac:dyDescent="0.25">
      <c r="D37" s="36" t="s">
        <v>26</v>
      </c>
      <c r="E37" s="36" t="s">
        <v>26</v>
      </c>
    </row>
    <row r="38" spans="4:14" x14ac:dyDescent="0.25">
      <c r="D38" s="36" t="s">
        <v>26</v>
      </c>
      <c r="E38" s="36" t="s">
        <v>26</v>
      </c>
    </row>
    <row r="39" spans="4:14" x14ac:dyDescent="0.25">
      <c r="D39" s="36" t="s">
        <v>26</v>
      </c>
      <c r="E39" s="36" t="s">
        <v>27</v>
      </c>
    </row>
    <row r="40" spans="4:14" x14ac:dyDescent="0.25">
      <c r="D40" s="36" t="s">
        <v>32</v>
      </c>
      <c r="E40" s="36" t="s">
        <v>32</v>
      </c>
    </row>
    <row r="41" spans="4:14" x14ac:dyDescent="0.25">
      <c r="D41" s="36" t="s">
        <v>26</v>
      </c>
      <c r="E41" s="36" t="s">
        <v>27</v>
      </c>
    </row>
    <row r="42" spans="4:14" ht="15" x14ac:dyDescent="0.25">
      <c r="D42" s="36" t="s">
        <v>32</v>
      </c>
      <c r="E42" s="36" t="s">
        <v>27</v>
      </c>
      <c r="J42" s="12" t="s">
        <v>124</v>
      </c>
      <c r="K42" s="12" t="s">
        <v>68</v>
      </c>
      <c r="M42" s="12" t="s">
        <v>125</v>
      </c>
      <c r="N42" s="12" t="s">
        <v>68</v>
      </c>
    </row>
    <row r="43" spans="4:14" ht="15" x14ac:dyDescent="0.25">
      <c r="D43" s="36" t="s">
        <v>26</v>
      </c>
      <c r="E43" s="36" t="s">
        <v>27</v>
      </c>
      <c r="J43" s="37" t="s">
        <v>21</v>
      </c>
      <c r="K43" s="12">
        <f>COUNTIF($D$2:$D$61,J43)</f>
        <v>9</v>
      </c>
      <c r="M43" s="37" t="s">
        <v>21</v>
      </c>
      <c r="N43" s="12">
        <f>COUNTIF($E$2:$E$61,M43)</f>
        <v>9</v>
      </c>
    </row>
    <row r="44" spans="4:14" ht="15" x14ac:dyDescent="0.25">
      <c r="D44" s="36" t="s">
        <v>26</v>
      </c>
      <c r="E44" s="36" t="s">
        <v>32</v>
      </c>
      <c r="J44" s="37" t="s">
        <v>26</v>
      </c>
      <c r="K44" s="12">
        <f>COUNTIF($D$2:$D$61,J44)</f>
        <v>31</v>
      </c>
      <c r="M44" s="37" t="s">
        <v>26</v>
      </c>
      <c r="N44" s="12">
        <f>COUNTIF($E$2:$E$61,M44)</f>
        <v>8</v>
      </c>
    </row>
    <row r="45" spans="4:14" ht="15" x14ac:dyDescent="0.25">
      <c r="D45" s="36" t="s">
        <v>21</v>
      </c>
      <c r="E45" s="36" t="s">
        <v>21</v>
      </c>
      <c r="J45" s="37" t="s">
        <v>32</v>
      </c>
      <c r="K45" s="12">
        <f>COUNTIF($D$2:$D$61,J45)</f>
        <v>16</v>
      </c>
      <c r="M45" s="37" t="s">
        <v>32</v>
      </c>
      <c r="N45" s="12">
        <f>COUNTIF($E$2:$E$61,M45)</f>
        <v>17</v>
      </c>
    </row>
    <row r="46" spans="4:14" ht="15" x14ac:dyDescent="0.25">
      <c r="D46" s="36" t="s">
        <v>21</v>
      </c>
      <c r="E46" s="36" t="s">
        <v>21</v>
      </c>
      <c r="J46" s="37" t="s">
        <v>27</v>
      </c>
      <c r="K46" s="12">
        <f>COUNTIF($D$2:$D$61,J46)</f>
        <v>4</v>
      </c>
      <c r="M46" s="37" t="s">
        <v>27</v>
      </c>
      <c r="N46" s="12">
        <f>COUNTIF($E$2:$E$61,M46)</f>
        <v>26</v>
      </c>
    </row>
    <row r="47" spans="4:14" ht="15" x14ac:dyDescent="0.25">
      <c r="D47" s="36" t="s">
        <v>26</v>
      </c>
      <c r="E47" s="36" t="s">
        <v>27</v>
      </c>
      <c r="J47" s="12"/>
      <c r="K47" s="12">
        <f>SUM(K43:K46)</f>
        <v>60</v>
      </c>
      <c r="M47" s="12" t="s">
        <v>72</v>
      </c>
      <c r="N47" s="12">
        <f>SUM(N43:N46)</f>
        <v>60</v>
      </c>
    </row>
    <row r="48" spans="4:14" x14ac:dyDescent="0.25">
      <c r="D48" s="36" t="s">
        <v>27</v>
      </c>
      <c r="E48" s="36" t="s">
        <v>27</v>
      </c>
    </row>
    <row r="49" spans="4:15" x14ac:dyDescent="0.25">
      <c r="D49" s="36" t="s">
        <v>21</v>
      </c>
      <c r="E49" s="36" t="s">
        <v>27</v>
      </c>
    </row>
    <row r="50" spans="4:15" x14ac:dyDescent="0.25">
      <c r="D50" s="36" t="s">
        <v>27</v>
      </c>
      <c r="E50" s="36" t="s">
        <v>27</v>
      </c>
      <c r="J50" s="9" t="s">
        <v>126</v>
      </c>
      <c r="M50" s="9" t="s">
        <v>127</v>
      </c>
      <c r="O50" s="39"/>
    </row>
    <row r="51" spans="4:15" x14ac:dyDescent="0.25">
      <c r="D51" s="36" t="s">
        <v>32</v>
      </c>
      <c r="E51" s="36" t="s">
        <v>32</v>
      </c>
      <c r="J51" s="40">
        <f>+(K43+K45+K46)/K47</f>
        <v>0.48333333333333334</v>
      </c>
      <c r="K51" s="41"/>
      <c r="L51" s="41"/>
      <c r="M51" s="40">
        <f t="shared" ref="M51" si="0">+(N43+N45+N46)/N47</f>
        <v>0.8666666666666667</v>
      </c>
      <c r="O51" s="42"/>
    </row>
    <row r="52" spans="4:15" x14ac:dyDescent="0.25">
      <c r="D52" s="36" t="s">
        <v>26</v>
      </c>
      <c r="E52" s="36" t="s">
        <v>27</v>
      </c>
    </row>
    <row r="53" spans="4:15" x14ac:dyDescent="0.25">
      <c r="D53" s="36" t="s">
        <v>26</v>
      </c>
      <c r="E53" s="36" t="s">
        <v>27</v>
      </c>
      <c r="J53" s="43" t="s">
        <v>128</v>
      </c>
      <c r="K53" s="44">
        <f>+(K43+K45+K46+N43+N45+N46)/120</f>
        <v>0.67500000000000004</v>
      </c>
      <c r="O53" t="s">
        <v>261</v>
      </c>
    </row>
    <row r="54" spans="4:15" x14ac:dyDescent="0.25">
      <c r="D54" s="36" t="s">
        <v>26</v>
      </c>
      <c r="E54" s="36" t="s">
        <v>32</v>
      </c>
      <c r="H54" s="101" t="s">
        <v>129</v>
      </c>
      <c r="I54" s="101"/>
    </row>
    <row r="55" spans="4:15" x14ac:dyDescent="0.25">
      <c r="D55" s="36" t="s">
        <v>26</v>
      </c>
      <c r="E55" s="36" t="s">
        <v>26</v>
      </c>
      <c r="H55" s="101"/>
      <c r="I55" s="101"/>
      <c r="J55" s="9" t="s">
        <v>130</v>
      </c>
      <c r="K55">
        <v>-4.4835000000000003</v>
      </c>
    </row>
    <row r="56" spans="4:15" x14ac:dyDescent="0.25">
      <c r="D56" s="36" t="s">
        <v>26</v>
      </c>
      <c r="E56" s="36" t="s">
        <v>27</v>
      </c>
      <c r="H56" s="101"/>
      <c r="I56" s="101"/>
      <c r="O56" s="45"/>
    </row>
    <row r="57" spans="4:15" x14ac:dyDescent="0.25">
      <c r="D57" s="36" t="s">
        <v>26</v>
      </c>
      <c r="E57" s="36" t="s">
        <v>27</v>
      </c>
      <c r="H57" s="101"/>
      <c r="I57" s="101"/>
    </row>
    <row r="58" spans="4:15" x14ac:dyDescent="0.25">
      <c r="D58" s="36" t="s">
        <v>32</v>
      </c>
      <c r="E58" s="36" t="s">
        <v>27</v>
      </c>
      <c r="H58" s="101"/>
      <c r="I58" s="101"/>
    </row>
    <row r="59" spans="4:15" x14ac:dyDescent="0.25">
      <c r="D59" s="36" t="s">
        <v>32</v>
      </c>
      <c r="E59" s="36" t="s">
        <v>32</v>
      </c>
      <c r="J59" s="9" t="s">
        <v>131</v>
      </c>
      <c r="K59">
        <v>0.05</v>
      </c>
      <c r="L59">
        <f>+NORMSINV(K59)</f>
        <v>-1.6448536269514726</v>
      </c>
      <c r="M59" s="9" t="s">
        <v>132</v>
      </c>
    </row>
    <row r="60" spans="4:15" ht="13.8" x14ac:dyDescent="0.3">
      <c r="D60" s="36" t="s">
        <v>26</v>
      </c>
      <c r="E60" s="36" t="s">
        <v>27</v>
      </c>
      <c r="H60" s="86" t="s">
        <v>284</v>
      </c>
      <c r="O60" t="s">
        <v>263</v>
      </c>
    </row>
    <row r="61" spans="4:15" x14ac:dyDescent="0.25">
      <c r="D61" s="36" t="s">
        <v>26</v>
      </c>
      <c r="E61" s="36" t="s">
        <v>26</v>
      </c>
      <c r="H61" s="86" t="s">
        <v>285</v>
      </c>
      <c r="O61" t="s">
        <v>262</v>
      </c>
    </row>
    <row r="62" spans="4:15" ht="51" customHeight="1" x14ac:dyDescent="0.25">
      <c r="J62" s="102" t="s">
        <v>135</v>
      </c>
      <c r="K62" s="102"/>
    </row>
    <row r="63" spans="4:15" x14ac:dyDescent="0.25">
      <c r="J63" s="102"/>
      <c r="K63" s="102"/>
    </row>
    <row r="64" spans="4:15" x14ac:dyDescent="0.25">
      <c r="J64" s="102"/>
      <c r="K64" s="102"/>
      <c r="M64">
        <f>+_xlfn.NORM.S.DIST(L59,1)</f>
        <v>5.000000000000001E-2</v>
      </c>
      <c r="N64" s="86" t="s">
        <v>283</v>
      </c>
      <c r="O64">
        <f>_xlfn.NORM.S.DIST(K55,1)</f>
        <v>3.6714301345912391E-6</v>
      </c>
    </row>
    <row r="65" spans="13:13" x14ac:dyDescent="0.25">
      <c r="M65" s="86" t="s">
        <v>281</v>
      </c>
    </row>
  </sheetData>
  <autoFilter ref="D1:D61" xr:uid="{3E730949-AD2F-834D-A7D2-6B7F6B54D2DF}"/>
  <mergeCells count="2">
    <mergeCell ref="H54:I58"/>
    <mergeCell ref="J62:K6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AA632-1A36-4D6B-802D-D13BB0A4C822}">
  <dimension ref="D1:U93"/>
  <sheetViews>
    <sheetView topLeftCell="E55" zoomScale="60" zoomScaleNormal="60" workbookViewId="0">
      <selection activeCell="M83" sqref="M83"/>
    </sheetView>
  </sheetViews>
  <sheetFormatPr baseColWidth="10" defaultRowHeight="13.2" x14ac:dyDescent="0.25"/>
  <cols>
    <col min="5" max="6" width="36.6640625" style="35" customWidth="1"/>
    <col min="10" max="10" width="20.6640625" customWidth="1"/>
    <col min="11" max="11" width="12" bestFit="1" customWidth="1"/>
    <col min="13" max="13" width="11.6640625" bestFit="1" customWidth="1"/>
    <col min="15" max="15" width="21.44140625" customWidth="1"/>
    <col min="16" max="16" width="12" bestFit="1" customWidth="1"/>
    <col min="18" max="18" width="21" bestFit="1" customWidth="1"/>
    <col min="21" max="21" width="21" bestFit="1" customWidth="1"/>
  </cols>
  <sheetData>
    <row r="1" spans="4:16" ht="52.8" x14ac:dyDescent="0.25">
      <c r="D1" t="s">
        <v>136</v>
      </c>
      <c r="E1" s="30" t="s">
        <v>137</v>
      </c>
      <c r="F1" s="30" t="s">
        <v>138</v>
      </c>
      <c r="G1" t="s">
        <v>139</v>
      </c>
    </row>
    <row r="2" spans="4:16" x14ac:dyDescent="0.25">
      <c r="D2" s="46">
        <v>0</v>
      </c>
      <c r="E2" s="46"/>
      <c r="F2" s="46"/>
      <c r="G2" s="46">
        <v>0</v>
      </c>
    </row>
    <row r="3" spans="4:16" x14ac:dyDescent="0.25">
      <c r="D3" s="46">
        <v>0</v>
      </c>
      <c r="E3" s="46"/>
      <c r="F3" s="46"/>
      <c r="G3" s="46">
        <v>0</v>
      </c>
    </row>
    <row r="4" spans="4:16" x14ac:dyDescent="0.25">
      <c r="D4" s="46">
        <v>0</v>
      </c>
      <c r="E4" s="46"/>
      <c r="F4" s="46">
        <v>1</v>
      </c>
      <c r="G4" s="46">
        <v>1</v>
      </c>
    </row>
    <row r="5" spans="4:16" x14ac:dyDescent="0.25">
      <c r="D5" s="46">
        <v>0</v>
      </c>
      <c r="E5" s="46"/>
      <c r="F5" s="46">
        <v>1</v>
      </c>
      <c r="G5" s="46">
        <v>1</v>
      </c>
    </row>
    <row r="6" spans="4:16" x14ac:dyDescent="0.25">
      <c r="D6" s="46">
        <v>0</v>
      </c>
      <c r="E6" s="46"/>
      <c r="F6" s="46">
        <v>1</v>
      </c>
      <c r="G6" s="46">
        <v>1</v>
      </c>
    </row>
    <row r="7" spans="4:16" ht="13.8" thickBot="1" x14ac:dyDescent="0.3">
      <c r="D7" s="46">
        <v>0</v>
      </c>
      <c r="E7" s="46"/>
      <c r="F7" s="46">
        <v>1</v>
      </c>
      <c r="G7" s="46">
        <v>1</v>
      </c>
    </row>
    <row r="8" spans="4:16" x14ac:dyDescent="0.25">
      <c r="D8" s="46">
        <v>0</v>
      </c>
      <c r="E8" s="46"/>
      <c r="F8" s="46">
        <v>1</v>
      </c>
      <c r="G8" s="46">
        <v>1</v>
      </c>
      <c r="J8" s="47" t="s">
        <v>140</v>
      </c>
      <c r="K8" s="47"/>
      <c r="O8" s="47" t="s">
        <v>141</v>
      </c>
      <c r="P8" s="47"/>
    </row>
    <row r="9" spans="4:16" x14ac:dyDescent="0.25">
      <c r="D9" s="46">
        <v>1</v>
      </c>
      <c r="E9" s="46"/>
      <c r="F9" s="46">
        <v>1</v>
      </c>
      <c r="G9" s="46">
        <v>1</v>
      </c>
    </row>
    <row r="10" spans="4:16" x14ac:dyDescent="0.25">
      <c r="D10" s="46">
        <v>1</v>
      </c>
      <c r="E10" s="46"/>
      <c r="F10" s="46">
        <v>1</v>
      </c>
      <c r="G10" s="46">
        <v>1</v>
      </c>
      <c r="J10" t="s">
        <v>79</v>
      </c>
      <c r="K10">
        <v>1.9166666666666667</v>
      </c>
      <c r="O10" t="s">
        <v>79</v>
      </c>
      <c r="P10">
        <v>7.35</v>
      </c>
    </row>
    <row r="11" spans="4:16" x14ac:dyDescent="0.25">
      <c r="D11" s="46">
        <v>0</v>
      </c>
      <c r="E11" s="46"/>
      <c r="F11" s="46">
        <v>2</v>
      </c>
      <c r="G11" s="46">
        <v>2</v>
      </c>
      <c r="J11" t="s">
        <v>82</v>
      </c>
      <c r="K11">
        <v>0.27647055877285243</v>
      </c>
      <c r="O11" t="s">
        <v>82</v>
      </c>
      <c r="P11">
        <v>1.7053960555292393</v>
      </c>
    </row>
    <row r="12" spans="4:16" x14ac:dyDescent="0.25">
      <c r="D12" s="46">
        <v>0</v>
      </c>
      <c r="E12" s="46"/>
      <c r="F12" s="48">
        <v>2</v>
      </c>
      <c r="G12" s="48">
        <v>2</v>
      </c>
      <c r="J12" t="s">
        <v>84</v>
      </c>
      <c r="K12">
        <v>1</v>
      </c>
      <c r="O12" t="s">
        <v>84</v>
      </c>
      <c r="P12">
        <v>4</v>
      </c>
    </row>
    <row r="13" spans="4:16" x14ac:dyDescent="0.25">
      <c r="D13" s="46">
        <v>2</v>
      </c>
      <c r="E13" s="46"/>
      <c r="F13" s="46">
        <v>2</v>
      </c>
      <c r="G13" s="46">
        <v>2</v>
      </c>
      <c r="J13" t="s">
        <v>85</v>
      </c>
      <c r="K13">
        <v>1</v>
      </c>
      <c r="O13" t="s">
        <v>85</v>
      </c>
      <c r="P13">
        <v>3</v>
      </c>
    </row>
    <row r="14" spans="4:16" x14ac:dyDescent="0.25">
      <c r="D14" s="46">
        <v>3</v>
      </c>
      <c r="E14" s="46"/>
      <c r="F14" s="46">
        <v>2</v>
      </c>
      <c r="G14" s="46">
        <v>2</v>
      </c>
      <c r="J14" t="s">
        <v>86</v>
      </c>
      <c r="K14">
        <v>2.1415317396878328</v>
      </c>
      <c r="O14" t="s">
        <v>86</v>
      </c>
      <c r="P14">
        <v>13.209941043505127</v>
      </c>
    </row>
    <row r="15" spans="4:16" x14ac:dyDescent="0.25">
      <c r="D15" s="46">
        <v>3</v>
      </c>
      <c r="E15" s="46"/>
      <c r="F15" s="46">
        <v>2</v>
      </c>
      <c r="G15" s="46">
        <v>2</v>
      </c>
      <c r="J15" t="s">
        <v>87</v>
      </c>
      <c r="K15">
        <v>4.5861581920903962</v>
      </c>
      <c r="O15" t="s">
        <v>87</v>
      </c>
      <c r="P15">
        <v>174.50254237288135</v>
      </c>
    </row>
    <row r="16" spans="4:16" x14ac:dyDescent="0.25">
      <c r="D16" s="46">
        <v>0</v>
      </c>
      <c r="E16" s="46"/>
      <c r="F16" s="46">
        <v>3</v>
      </c>
      <c r="G16" s="46">
        <v>3</v>
      </c>
      <c r="J16" t="s">
        <v>88</v>
      </c>
      <c r="K16">
        <v>5.1653209203367076</v>
      </c>
      <c r="O16" t="s">
        <v>88</v>
      </c>
      <c r="P16">
        <v>42.445164200709016</v>
      </c>
    </row>
    <row r="17" spans="4:16" x14ac:dyDescent="0.25">
      <c r="D17" s="46">
        <v>1</v>
      </c>
      <c r="E17" s="46"/>
      <c r="F17" s="46">
        <v>3</v>
      </c>
      <c r="G17" s="46">
        <v>3</v>
      </c>
      <c r="J17" t="s">
        <v>94</v>
      </c>
      <c r="K17">
        <v>1.9864068192130249</v>
      </c>
      <c r="O17" t="s">
        <v>94</v>
      </c>
      <c r="P17">
        <v>6.1282362535778985</v>
      </c>
    </row>
    <row r="18" spans="4:16" x14ac:dyDescent="0.25">
      <c r="D18" s="46">
        <v>1</v>
      </c>
      <c r="E18" s="46">
        <v>1</v>
      </c>
      <c r="F18" s="46">
        <v>3</v>
      </c>
      <c r="G18" s="46">
        <v>3</v>
      </c>
      <c r="J18" t="s">
        <v>74</v>
      </c>
      <c r="K18">
        <v>10</v>
      </c>
      <c r="O18" t="s">
        <v>74</v>
      </c>
      <c r="P18">
        <v>100</v>
      </c>
    </row>
    <row r="19" spans="4:16" x14ac:dyDescent="0.25">
      <c r="D19" s="46">
        <v>1</v>
      </c>
      <c r="E19" s="46">
        <v>1</v>
      </c>
      <c r="F19" s="46">
        <v>3</v>
      </c>
      <c r="G19" s="46">
        <v>3</v>
      </c>
      <c r="J19" t="s">
        <v>98</v>
      </c>
      <c r="K19">
        <v>0</v>
      </c>
      <c r="O19" t="s">
        <v>98</v>
      </c>
      <c r="P19">
        <v>0</v>
      </c>
    </row>
    <row r="20" spans="4:16" x14ac:dyDescent="0.25">
      <c r="D20" s="46">
        <v>1</v>
      </c>
      <c r="E20" s="46">
        <v>1</v>
      </c>
      <c r="F20" s="46">
        <v>3</v>
      </c>
      <c r="G20" s="46">
        <v>3</v>
      </c>
      <c r="J20" t="s">
        <v>99</v>
      </c>
      <c r="K20">
        <v>10</v>
      </c>
      <c r="O20" t="s">
        <v>99</v>
      </c>
      <c r="P20">
        <v>100</v>
      </c>
    </row>
    <row r="21" spans="4:16" x14ac:dyDescent="0.25">
      <c r="D21" s="46">
        <v>1</v>
      </c>
      <c r="E21" s="46">
        <v>1</v>
      </c>
      <c r="F21" s="46">
        <v>3</v>
      </c>
      <c r="G21" s="46">
        <v>3</v>
      </c>
      <c r="J21" t="s">
        <v>100</v>
      </c>
      <c r="K21">
        <v>115</v>
      </c>
      <c r="O21" t="s">
        <v>100</v>
      </c>
      <c r="P21">
        <v>441</v>
      </c>
    </row>
    <row r="22" spans="4:16" ht="13.8" thickBot="1" x14ac:dyDescent="0.3">
      <c r="D22" s="46">
        <v>1</v>
      </c>
      <c r="E22" s="46">
        <v>1</v>
      </c>
      <c r="F22" s="46">
        <v>3</v>
      </c>
      <c r="G22" s="46">
        <v>3</v>
      </c>
      <c r="J22" s="49" t="s">
        <v>102</v>
      </c>
      <c r="K22" s="49">
        <v>60</v>
      </c>
      <c r="O22" s="49" t="s">
        <v>102</v>
      </c>
      <c r="P22" s="49">
        <v>60</v>
      </c>
    </row>
    <row r="23" spans="4:16" x14ac:dyDescent="0.25">
      <c r="D23" s="46">
        <v>1</v>
      </c>
      <c r="E23" s="46">
        <v>1</v>
      </c>
      <c r="F23" s="46">
        <v>3</v>
      </c>
      <c r="G23" s="46">
        <v>3</v>
      </c>
    </row>
    <row r="24" spans="4:16" x14ac:dyDescent="0.25">
      <c r="D24" s="46">
        <v>4</v>
      </c>
      <c r="E24" s="46">
        <v>1</v>
      </c>
      <c r="F24" s="46">
        <v>3</v>
      </c>
      <c r="G24" s="46">
        <v>3</v>
      </c>
    </row>
    <row r="25" spans="4:16" ht="13.8" thickBot="1" x14ac:dyDescent="0.3">
      <c r="D25" s="46">
        <v>1</v>
      </c>
      <c r="E25" s="46">
        <v>1</v>
      </c>
      <c r="F25" s="46">
        <v>4</v>
      </c>
      <c r="G25" s="46">
        <v>4</v>
      </c>
    </row>
    <row r="26" spans="4:16" x14ac:dyDescent="0.25">
      <c r="D26" s="46">
        <v>1</v>
      </c>
      <c r="E26" s="46">
        <v>1</v>
      </c>
      <c r="F26" s="46">
        <v>4</v>
      </c>
      <c r="G26" s="46">
        <v>4</v>
      </c>
      <c r="J26" s="50" t="s">
        <v>140</v>
      </c>
      <c r="K26" s="47"/>
      <c r="O26" s="50" t="s">
        <v>142</v>
      </c>
      <c r="P26" s="47"/>
    </row>
    <row r="27" spans="4:16" x14ac:dyDescent="0.25">
      <c r="D27" s="46">
        <v>1</v>
      </c>
      <c r="E27" s="46">
        <v>1</v>
      </c>
      <c r="F27" s="46">
        <v>4</v>
      </c>
      <c r="G27" s="46">
        <v>4</v>
      </c>
      <c r="J27" s="51" t="s">
        <v>79</v>
      </c>
      <c r="K27" s="51">
        <v>1.9166666666666667</v>
      </c>
      <c r="O27" s="51" t="s">
        <v>79</v>
      </c>
      <c r="P27" s="51">
        <v>5.7796610169491522</v>
      </c>
    </row>
    <row r="28" spans="4:16" x14ac:dyDescent="0.25">
      <c r="D28" s="46">
        <v>2</v>
      </c>
      <c r="E28" s="46">
        <v>1</v>
      </c>
      <c r="F28" s="46">
        <v>4</v>
      </c>
      <c r="G28" s="46">
        <v>4</v>
      </c>
      <c r="J28" s="52" t="s">
        <v>82</v>
      </c>
      <c r="K28" s="52">
        <v>0.27647055877285243</v>
      </c>
      <c r="O28" s="52" t="s">
        <v>82</v>
      </c>
      <c r="P28" s="52">
        <v>0.67651071138054153</v>
      </c>
    </row>
    <row r="29" spans="4:16" x14ac:dyDescent="0.25">
      <c r="D29" s="46">
        <v>2</v>
      </c>
      <c r="E29" s="46">
        <v>1</v>
      </c>
      <c r="F29" s="46">
        <v>4</v>
      </c>
      <c r="G29" s="46">
        <v>4</v>
      </c>
      <c r="J29" s="52" t="s">
        <v>84</v>
      </c>
      <c r="K29" s="52">
        <v>1</v>
      </c>
      <c r="O29" s="52" t="s">
        <v>84</v>
      </c>
      <c r="P29" s="52">
        <v>4</v>
      </c>
    </row>
    <row r="30" spans="4:16" x14ac:dyDescent="0.25">
      <c r="D30" s="46">
        <v>3</v>
      </c>
      <c r="E30" s="46">
        <v>1</v>
      </c>
      <c r="F30" s="46">
        <v>4</v>
      </c>
      <c r="G30" s="46">
        <v>4</v>
      </c>
      <c r="J30" s="52" t="s">
        <v>85</v>
      </c>
      <c r="K30" s="52">
        <v>1</v>
      </c>
      <c r="O30" s="52" t="s">
        <v>85</v>
      </c>
      <c r="P30" s="52">
        <v>3</v>
      </c>
    </row>
    <row r="31" spans="4:16" x14ac:dyDescent="0.25">
      <c r="D31" s="46">
        <v>3</v>
      </c>
      <c r="E31" s="46">
        <v>1</v>
      </c>
      <c r="F31" s="46">
        <v>4</v>
      </c>
      <c r="G31" s="46">
        <v>4</v>
      </c>
      <c r="J31" s="51" t="s">
        <v>86</v>
      </c>
      <c r="K31" s="51">
        <v>2.1415317396878328</v>
      </c>
      <c r="O31" s="51" t="s">
        <v>86</v>
      </c>
      <c r="P31" s="51">
        <v>5.1963773741082138</v>
      </c>
    </row>
    <row r="32" spans="4:16" x14ac:dyDescent="0.25">
      <c r="D32" s="46">
        <v>4</v>
      </c>
      <c r="E32" s="46">
        <v>1</v>
      </c>
      <c r="F32" s="46">
        <v>4</v>
      </c>
      <c r="G32" s="46">
        <v>4</v>
      </c>
      <c r="J32" s="52" t="s">
        <v>87</v>
      </c>
      <c r="K32" s="52">
        <v>4.5861581920903962</v>
      </c>
      <c r="O32" s="52" t="s">
        <v>87</v>
      </c>
      <c r="P32" s="52">
        <v>27.002337814143775</v>
      </c>
    </row>
    <row r="33" spans="4:16" x14ac:dyDescent="0.25">
      <c r="D33" s="46">
        <v>0</v>
      </c>
      <c r="E33" s="46">
        <v>1</v>
      </c>
      <c r="F33" s="46">
        <v>5</v>
      </c>
      <c r="G33" s="46">
        <v>5</v>
      </c>
      <c r="J33" s="52" t="s">
        <v>88</v>
      </c>
      <c r="K33" s="52">
        <v>5.1653209203367076</v>
      </c>
      <c r="O33" s="52" t="s">
        <v>88</v>
      </c>
      <c r="P33" s="52">
        <v>7.6483480610990089</v>
      </c>
    </row>
    <row r="34" spans="4:16" x14ac:dyDescent="0.25">
      <c r="D34" s="46">
        <v>1</v>
      </c>
      <c r="E34" s="46">
        <v>1</v>
      </c>
      <c r="F34" s="46">
        <v>5</v>
      </c>
      <c r="G34" s="46">
        <v>5</v>
      </c>
      <c r="J34" s="52" t="s">
        <v>94</v>
      </c>
      <c r="K34" s="52">
        <v>1.9864068192130249</v>
      </c>
      <c r="O34" s="52" t="s">
        <v>94</v>
      </c>
      <c r="P34" s="52">
        <v>2.2874652015270573</v>
      </c>
    </row>
    <row r="35" spans="4:16" x14ac:dyDescent="0.25">
      <c r="D35" s="46">
        <v>1</v>
      </c>
      <c r="E35" s="46">
        <v>2</v>
      </c>
      <c r="F35" s="46">
        <v>5</v>
      </c>
      <c r="G35" s="46">
        <v>5</v>
      </c>
      <c r="J35" s="52" t="s">
        <v>74</v>
      </c>
      <c r="K35" s="52">
        <v>10</v>
      </c>
      <c r="O35" s="52" t="s">
        <v>74</v>
      </c>
      <c r="P35" s="52">
        <v>30</v>
      </c>
    </row>
    <row r="36" spans="4:16" x14ac:dyDescent="0.25">
      <c r="D36" s="46">
        <v>1</v>
      </c>
      <c r="E36" s="46">
        <v>2</v>
      </c>
      <c r="F36" s="46">
        <v>5</v>
      </c>
      <c r="G36" s="46">
        <v>5</v>
      </c>
      <c r="J36" s="52" t="s">
        <v>98</v>
      </c>
      <c r="K36" s="52">
        <v>0</v>
      </c>
      <c r="O36" s="52" t="s">
        <v>98</v>
      </c>
      <c r="P36" s="52">
        <v>0</v>
      </c>
    </row>
    <row r="37" spans="4:16" x14ac:dyDescent="0.25">
      <c r="D37" s="46">
        <v>2</v>
      </c>
      <c r="E37" s="46">
        <v>2</v>
      </c>
      <c r="F37" s="46">
        <v>5</v>
      </c>
      <c r="G37" s="46">
        <v>5</v>
      </c>
      <c r="J37" s="52" t="s">
        <v>99</v>
      </c>
      <c r="K37" s="52">
        <v>10</v>
      </c>
      <c r="O37" s="52" t="s">
        <v>99</v>
      </c>
      <c r="P37" s="52">
        <v>30</v>
      </c>
    </row>
    <row r="38" spans="4:16" x14ac:dyDescent="0.25">
      <c r="D38" s="46">
        <v>3</v>
      </c>
      <c r="E38" s="46">
        <v>2</v>
      </c>
      <c r="F38" s="46">
        <v>5</v>
      </c>
      <c r="G38" s="46">
        <v>5</v>
      </c>
      <c r="J38" s="52" t="s">
        <v>100</v>
      </c>
      <c r="K38" s="52">
        <v>115</v>
      </c>
      <c r="O38" s="52" t="s">
        <v>100</v>
      </c>
      <c r="P38" s="52">
        <v>341</v>
      </c>
    </row>
    <row r="39" spans="4:16" x14ac:dyDescent="0.25">
      <c r="D39" s="46">
        <v>0</v>
      </c>
      <c r="E39" s="48">
        <v>2</v>
      </c>
      <c r="F39" s="46">
        <v>6</v>
      </c>
      <c r="G39" s="46">
        <v>6</v>
      </c>
      <c r="J39" s="52" t="s">
        <v>102</v>
      </c>
      <c r="K39" s="52">
        <v>60</v>
      </c>
      <c r="O39" s="52" t="s">
        <v>102</v>
      </c>
      <c r="P39" s="52">
        <v>59</v>
      </c>
    </row>
    <row r="40" spans="4:16" ht="13.8" thickBot="1" x14ac:dyDescent="0.3">
      <c r="D40" s="46">
        <v>3</v>
      </c>
      <c r="E40" s="46">
        <v>2</v>
      </c>
      <c r="F40" s="46">
        <v>6</v>
      </c>
      <c r="G40" s="46">
        <v>6</v>
      </c>
      <c r="J40" s="53" t="s">
        <v>143</v>
      </c>
      <c r="K40" s="53">
        <v>0.55321631028195872</v>
      </c>
      <c r="O40" s="53" t="s">
        <v>143</v>
      </c>
      <c r="P40" s="53">
        <v>1.354183319181961</v>
      </c>
    </row>
    <row r="41" spans="4:16" x14ac:dyDescent="0.25">
      <c r="D41" s="46">
        <v>3</v>
      </c>
      <c r="E41" s="46">
        <v>2</v>
      </c>
      <c r="F41" s="46">
        <v>6</v>
      </c>
      <c r="G41" s="46">
        <v>6</v>
      </c>
      <c r="J41" s="51" t="s">
        <v>144</v>
      </c>
      <c r="K41" s="51">
        <f>K31/K27</f>
        <v>1.1173209076632171</v>
      </c>
      <c r="O41" s="51" t="s">
        <v>144</v>
      </c>
      <c r="P41" s="51">
        <f>P31/P27</f>
        <v>0.89907995622400183</v>
      </c>
    </row>
    <row r="42" spans="4:16" x14ac:dyDescent="0.25">
      <c r="D42" s="46">
        <v>10</v>
      </c>
      <c r="E42" s="46">
        <v>2</v>
      </c>
      <c r="F42" s="46">
        <v>6</v>
      </c>
      <c r="G42" s="46">
        <v>6</v>
      </c>
      <c r="J42" s="54" t="s">
        <v>103</v>
      </c>
      <c r="K42" s="52">
        <f>_xlfn.QUARTILE.INC(E2:E61,1)</f>
        <v>1</v>
      </c>
      <c r="O42" s="54" t="s">
        <v>103</v>
      </c>
      <c r="P42" s="52">
        <f>_xlfn.QUARTILE.INC(F2:F61,1)</f>
        <v>3</v>
      </c>
    </row>
    <row r="43" spans="4:16" x14ac:dyDescent="0.25">
      <c r="D43" s="46">
        <v>0</v>
      </c>
      <c r="E43" s="46">
        <v>2</v>
      </c>
      <c r="F43" s="46">
        <v>7</v>
      </c>
      <c r="G43" s="46">
        <v>7</v>
      </c>
      <c r="J43" s="54" t="s">
        <v>104</v>
      </c>
      <c r="K43" s="52">
        <f>_xlfn.QUARTILE.INC(E2:E61,3)</f>
        <v>3</v>
      </c>
      <c r="O43" s="54" t="s">
        <v>104</v>
      </c>
      <c r="P43" s="52">
        <f>_xlfn.QUARTILE.INC(F2:F61,3)</f>
        <v>7</v>
      </c>
    </row>
    <row r="44" spans="4:16" x14ac:dyDescent="0.25">
      <c r="D44" s="48">
        <v>2</v>
      </c>
      <c r="E44" s="46">
        <v>3</v>
      </c>
      <c r="F44" s="48">
        <v>7</v>
      </c>
      <c r="G44" s="48">
        <v>7</v>
      </c>
      <c r="J44" s="54" t="s">
        <v>105</v>
      </c>
      <c r="K44" s="52">
        <f>K43-K42</f>
        <v>2</v>
      </c>
      <c r="O44" s="54" t="s">
        <v>105</v>
      </c>
      <c r="P44" s="52">
        <f>P43-P42</f>
        <v>4</v>
      </c>
    </row>
    <row r="45" spans="4:16" x14ac:dyDescent="0.25">
      <c r="D45" s="46">
        <v>2</v>
      </c>
      <c r="E45" s="46">
        <v>3</v>
      </c>
      <c r="F45" s="46">
        <v>8</v>
      </c>
      <c r="G45" s="46">
        <v>8</v>
      </c>
      <c r="J45" s="55" t="s">
        <v>145</v>
      </c>
      <c r="K45" s="51">
        <f>K42-1.5*K44</f>
        <v>-2</v>
      </c>
      <c r="O45" s="55" t="s">
        <v>145</v>
      </c>
      <c r="P45" s="51">
        <f>P42-1.5*P44</f>
        <v>-3</v>
      </c>
    </row>
    <row r="46" spans="4:16" x14ac:dyDescent="0.25">
      <c r="D46" s="46">
        <v>6</v>
      </c>
      <c r="E46" s="46">
        <v>3</v>
      </c>
      <c r="F46" s="46">
        <v>8</v>
      </c>
      <c r="G46" s="46">
        <v>8</v>
      </c>
      <c r="J46" s="55" t="s">
        <v>146</v>
      </c>
      <c r="K46" s="51">
        <f>K43+1.5*K44</f>
        <v>6</v>
      </c>
      <c r="O46" s="55" t="s">
        <v>146</v>
      </c>
      <c r="P46" s="51">
        <f>P43+1.5*P44</f>
        <v>13</v>
      </c>
    </row>
    <row r="47" spans="4:16" x14ac:dyDescent="0.25">
      <c r="D47" s="46">
        <v>2</v>
      </c>
      <c r="E47" s="46">
        <v>3</v>
      </c>
      <c r="F47" s="46">
        <v>9</v>
      </c>
      <c r="G47" s="46">
        <v>9</v>
      </c>
    </row>
    <row r="48" spans="4:16" x14ac:dyDescent="0.25">
      <c r="D48" s="46">
        <v>5</v>
      </c>
      <c r="E48" s="46">
        <v>3</v>
      </c>
      <c r="F48" s="46">
        <v>9</v>
      </c>
      <c r="G48" s="46">
        <v>9</v>
      </c>
    </row>
    <row r="49" spans="4:7" x14ac:dyDescent="0.25">
      <c r="D49" s="46">
        <v>0</v>
      </c>
      <c r="E49" s="46">
        <v>3</v>
      </c>
      <c r="F49" s="46">
        <v>10</v>
      </c>
      <c r="G49" s="46">
        <v>10</v>
      </c>
    </row>
    <row r="50" spans="4:7" x14ac:dyDescent="0.25">
      <c r="D50" s="46">
        <v>1</v>
      </c>
      <c r="E50" s="46">
        <v>3</v>
      </c>
      <c r="F50" s="46">
        <v>10</v>
      </c>
      <c r="G50" s="46">
        <v>10</v>
      </c>
    </row>
    <row r="51" spans="4:7" x14ac:dyDescent="0.25">
      <c r="D51" s="46">
        <v>1</v>
      </c>
      <c r="E51" s="46">
        <v>3</v>
      </c>
      <c r="F51" s="46">
        <v>10</v>
      </c>
      <c r="G51" s="46">
        <v>10</v>
      </c>
    </row>
    <row r="52" spans="4:7" x14ac:dyDescent="0.25">
      <c r="D52" s="46">
        <v>2</v>
      </c>
      <c r="E52" s="46">
        <v>4</v>
      </c>
      <c r="F52" s="46">
        <v>10</v>
      </c>
      <c r="G52" s="46">
        <v>10</v>
      </c>
    </row>
    <row r="53" spans="4:7" x14ac:dyDescent="0.25">
      <c r="D53" s="46">
        <v>3</v>
      </c>
      <c r="E53" s="46">
        <v>4</v>
      </c>
      <c r="F53" s="46">
        <v>10</v>
      </c>
      <c r="G53" s="46">
        <v>10</v>
      </c>
    </row>
    <row r="54" spans="4:7" x14ac:dyDescent="0.25">
      <c r="D54" s="46">
        <v>4</v>
      </c>
      <c r="E54" s="46">
        <v>4</v>
      </c>
      <c r="F54" s="46">
        <v>10</v>
      </c>
      <c r="G54" s="46">
        <v>10</v>
      </c>
    </row>
    <row r="55" spans="4:7" x14ac:dyDescent="0.25">
      <c r="D55" s="46">
        <v>5</v>
      </c>
      <c r="E55" s="48">
        <v>4</v>
      </c>
      <c r="F55" s="46">
        <v>10</v>
      </c>
      <c r="G55" s="46">
        <v>10</v>
      </c>
    </row>
    <row r="56" spans="4:7" x14ac:dyDescent="0.25">
      <c r="D56" s="46">
        <v>0</v>
      </c>
      <c r="E56" s="46">
        <v>4</v>
      </c>
      <c r="F56" s="46">
        <v>13</v>
      </c>
      <c r="G56" s="46">
        <v>13</v>
      </c>
    </row>
    <row r="57" spans="4:7" x14ac:dyDescent="0.25">
      <c r="D57" s="46">
        <v>2</v>
      </c>
      <c r="E57" s="46">
        <v>5</v>
      </c>
      <c r="F57" s="46"/>
      <c r="G57" s="46">
        <v>15</v>
      </c>
    </row>
    <row r="58" spans="4:7" x14ac:dyDescent="0.25">
      <c r="D58" s="48">
        <v>4</v>
      </c>
      <c r="E58" s="46">
        <v>5</v>
      </c>
      <c r="F58" s="46"/>
      <c r="G58" s="46">
        <v>15</v>
      </c>
    </row>
    <row r="59" spans="4:7" x14ac:dyDescent="0.25">
      <c r="D59" s="46">
        <v>4</v>
      </c>
      <c r="E59" s="46">
        <v>6</v>
      </c>
      <c r="F59" s="46"/>
      <c r="G59" s="46">
        <v>20</v>
      </c>
    </row>
    <row r="60" spans="4:7" x14ac:dyDescent="0.25">
      <c r="D60" s="46">
        <v>0</v>
      </c>
      <c r="E60" s="46"/>
      <c r="F60" s="46"/>
      <c r="G60" s="46">
        <v>30</v>
      </c>
    </row>
    <row r="61" spans="4:7" x14ac:dyDescent="0.25">
      <c r="D61" s="46">
        <v>10</v>
      </c>
      <c r="E61" s="46"/>
      <c r="F61" s="46"/>
      <c r="G61" s="46">
        <v>100</v>
      </c>
    </row>
    <row r="72" spans="10:18" ht="13.8" thickBot="1" x14ac:dyDescent="0.3"/>
    <row r="73" spans="10:18" ht="22.8" x14ac:dyDescent="0.4">
      <c r="J73" s="50" t="s">
        <v>140</v>
      </c>
      <c r="K73" s="47"/>
      <c r="O73" s="47" t="s">
        <v>142</v>
      </c>
      <c r="P73" s="47"/>
      <c r="R73" s="56" t="s">
        <v>147</v>
      </c>
    </row>
    <row r="74" spans="10:18" ht="22.8" x14ac:dyDescent="0.4">
      <c r="J74" s="51" t="s">
        <v>79</v>
      </c>
      <c r="K74" s="51">
        <v>2.2619047619047619</v>
      </c>
      <c r="O74" s="51" t="s">
        <v>79</v>
      </c>
      <c r="P74" s="51">
        <v>4.9245283018867898</v>
      </c>
      <c r="R74" s="56" t="s">
        <v>148</v>
      </c>
    </row>
    <row r="75" spans="10:18" x14ac:dyDescent="0.25">
      <c r="J75" s="52" t="s">
        <v>82</v>
      </c>
      <c r="K75" s="52">
        <v>0.21024714125512148</v>
      </c>
      <c r="O75" s="52" t="s">
        <v>82</v>
      </c>
      <c r="P75" s="52">
        <v>0.4266597035287259</v>
      </c>
    </row>
    <row r="76" spans="10:18" x14ac:dyDescent="0.25">
      <c r="J76" s="52" t="s">
        <v>84</v>
      </c>
      <c r="K76" s="52">
        <v>2</v>
      </c>
      <c r="O76" s="52" t="s">
        <v>84</v>
      </c>
      <c r="P76" s="52">
        <v>4</v>
      </c>
    </row>
    <row r="77" spans="10:18" x14ac:dyDescent="0.25">
      <c r="J77" s="52" t="s">
        <v>85</v>
      </c>
      <c r="K77" s="52">
        <v>1</v>
      </c>
      <c r="O77" s="52" t="s">
        <v>85</v>
      </c>
      <c r="P77" s="52">
        <v>3</v>
      </c>
    </row>
    <row r="78" spans="10:18" x14ac:dyDescent="0.25">
      <c r="J78" s="51" t="s">
        <v>86</v>
      </c>
      <c r="K78" s="51">
        <v>1.362557205055972</v>
      </c>
      <c r="O78" s="51" t="s">
        <v>86</v>
      </c>
      <c r="P78" s="51">
        <v>3.1061295270169715</v>
      </c>
      <c r="Q78" s="41"/>
    </row>
    <row r="79" spans="10:18" x14ac:dyDescent="0.25">
      <c r="J79" s="52" t="s">
        <v>87</v>
      </c>
      <c r="K79" s="52">
        <v>1.8565621370499419</v>
      </c>
      <c r="O79" s="52" t="s">
        <v>87</v>
      </c>
      <c r="P79" s="52">
        <v>9.648040638606675</v>
      </c>
    </row>
    <row r="80" spans="10:18" x14ac:dyDescent="0.25">
      <c r="J80" s="52" t="s">
        <v>88</v>
      </c>
      <c r="K80" s="52">
        <v>3.4489113939400795E-2</v>
      </c>
      <c r="O80" s="52" t="s">
        <v>88</v>
      </c>
      <c r="P80" s="52">
        <v>-0.43889913048052076</v>
      </c>
    </row>
    <row r="81" spans="10:21" x14ac:dyDescent="0.25">
      <c r="J81" s="52" t="s">
        <v>94</v>
      </c>
      <c r="K81" s="52">
        <v>0.89532015617018246</v>
      </c>
      <c r="O81" s="52" t="s">
        <v>94</v>
      </c>
      <c r="P81" s="52">
        <v>0.69329189205137898</v>
      </c>
    </row>
    <row r="82" spans="10:21" x14ac:dyDescent="0.25">
      <c r="J82" s="52" t="s">
        <v>74</v>
      </c>
      <c r="K82" s="52">
        <v>5</v>
      </c>
      <c r="O82" s="52" t="s">
        <v>74</v>
      </c>
      <c r="P82" s="52">
        <v>12</v>
      </c>
    </row>
    <row r="83" spans="10:21" x14ac:dyDescent="0.25">
      <c r="J83" s="52" t="s">
        <v>98</v>
      </c>
      <c r="K83" s="52">
        <v>1</v>
      </c>
      <c r="O83" s="52" t="s">
        <v>98</v>
      </c>
      <c r="P83" s="52">
        <v>1</v>
      </c>
    </row>
    <row r="84" spans="10:21" x14ac:dyDescent="0.25">
      <c r="J84" s="52" t="s">
        <v>99</v>
      </c>
      <c r="K84" s="52">
        <v>6</v>
      </c>
      <c r="O84" s="52" t="s">
        <v>99</v>
      </c>
      <c r="P84" s="52">
        <v>13</v>
      </c>
    </row>
    <row r="85" spans="10:21" x14ac:dyDescent="0.25">
      <c r="J85" s="52" t="s">
        <v>100</v>
      </c>
      <c r="K85" s="52">
        <v>95</v>
      </c>
      <c r="O85" s="52" t="s">
        <v>100</v>
      </c>
      <c r="P85" s="52">
        <v>261</v>
      </c>
      <c r="U85" s="9" t="s">
        <v>149</v>
      </c>
    </row>
    <row r="86" spans="10:21" x14ac:dyDescent="0.25">
      <c r="J86" s="52" t="s">
        <v>102</v>
      </c>
      <c r="K86" s="52">
        <v>42</v>
      </c>
      <c r="O86" s="52" t="s">
        <v>102</v>
      </c>
      <c r="P86" s="52">
        <v>53</v>
      </c>
    </row>
    <row r="87" spans="10:21" x14ac:dyDescent="0.25">
      <c r="J87" s="51" t="s">
        <v>144</v>
      </c>
      <c r="K87" s="51">
        <f>K78/K74</f>
        <v>0.60239371170895606</v>
      </c>
      <c r="O87" s="55" t="s">
        <v>144</v>
      </c>
      <c r="P87" s="51">
        <f>P78/P74</f>
        <v>0.6307466089344812</v>
      </c>
    </row>
    <row r="88" spans="10:21" x14ac:dyDescent="0.25">
      <c r="J88" s="52" t="s">
        <v>103</v>
      </c>
      <c r="K88" s="52">
        <v>1</v>
      </c>
      <c r="O88" s="54" t="s">
        <v>103</v>
      </c>
      <c r="P88" s="52">
        <f>+_xlfn.QUARTILE.INC(F4:F58,1)</f>
        <v>3</v>
      </c>
    </row>
    <row r="89" spans="10:21" x14ac:dyDescent="0.25">
      <c r="J89" s="52" t="s">
        <v>104</v>
      </c>
      <c r="K89" s="52">
        <v>3</v>
      </c>
      <c r="O89" s="54" t="s">
        <v>104</v>
      </c>
      <c r="P89" s="52">
        <f>+_xlfn.QUARTILE.INC(F4:F58,3)</f>
        <v>7</v>
      </c>
    </row>
    <row r="90" spans="10:21" x14ac:dyDescent="0.25">
      <c r="J90" s="52" t="s">
        <v>105</v>
      </c>
      <c r="K90" s="52">
        <v>2</v>
      </c>
      <c r="O90" s="54" t="s">
        <v>105</v>
      </c>
      <c r="P90" s="52">
        <f>+P89-P88</f>
        <v>4</v>
      </c>
      <c r="R90" s="103" t="s">
        <v>150</v>
      </c>
      <c r="S90" s="103"/>
      <c r="T90" s="103"/>
      <c r="U90">
        <f>+_xlfn.T.DIST.RT(0.05,52)</f>
        <v>0.48015697668875634</v>
      </c>
    </row>
    <row r="91" spans="10:21" x14ac:dyDescent="0.25">
      <c r="J91" s="51" t="s">
        <v>145</v>
      </c>
      <c r="K91" s="51">
        <v>-2</v>
      </c>
      <c r="O91" s="55" t="s">
        <v>145</v>
      </c>
      <c r="P91" s="51">
        <f>+P88-1.5*P90</f>
        <v>-3</v>
      </c>
      <c r="R91" s="103"/>
      <c r="S91" s="103"/>
      <c r="T91" s="103"/>
    </row>
    <row r="92" spans="10:21" x14ac:dyDescent="0.25">
      <c r="J92" s="51" t="s">
        <v>146</v>
      </c>
      <c r="K92" s="51">
        <v>6</v>
      </c>
      <c r="O92" s="55" t="s">
        <v>146</v>
      </c>
      <c r="P92" s="51">
        <f>+P89+1.5*P90</f>
        <v>13</v>
      </c>
      <c r="R92" s="103"/>
      <c r="S92" s="103"/>
      <c r="T92" s="103"/>
    </row>
    <row r="93" spans="10:21" x14ac:dyDescent="0.25">
      <c r="R93" s="103"/>
      <c r="S93" s="103"/>
      <c r="T93" s="103"/>
    </row>
  </sheetData>
  <mergeCells count="1">
    <mergeCell ref="R90:T9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B499-6DA6-42BF-9EC5-E500149B943D}">
  <dimension ref="D1:W104"/>
  <sheetViews>
    <sheetView zoomScale="70" zoomScaleNormal="70" workbookViewId="0">
      <selection activeCell="I15" sqref="I15"/>
    </sheetView>
  </sheetViews>
  <sheetFormatPr baseColWidth="10" defaultRowHeight="13.2" x14ac:dyDescent="0.25"/>
  <cols>
    <col min="5" max="6" width="39.6640625" customWidth="1"/>
    <col min="11" max="11" width="24" bestFit="1" customWidth="1"/>
    <col min="15" max="15" width="24" bestFit="1" customWidth="1"/>
    <col min="18" max="18" width="23.44140625" bestFit="1" customWidth="1"/>
  </cols>
  <sheetData>
    <row r="1" spans="4:16" ht="52.8" x14ac:dyDescent="0.25">
      <c r="D1" s="9" t="s">
        <v>151</v>
      </c>
      <c r="E1" s="10" t="s">
        <v>152</v>
      </c>
      <c r="F1" s="10" t="s">
        <v>153</v>
      </c>
      <c r="G1" s="9" t="s">
        <v>154</v>
      </c>
    </row>
    <row r="2" spans="4:16" x14ac:dyDescent="0.25">
      <c r="D2" s="57">
        <v>50000</v>
      </c>
      <c r="E2" s="57"/>
      <c r="F2" s="57"/>
      <c r="G2" s="57">
        <v>200000</v>
      </c>
    </row>
    <row r="3" spans="4:16" x14ac:dyDescent="0.25">
      <c r="D3" s="57">
        <v>60000</v>
      </c>
      <c r="E3" s="57"/>
      <c r="F3" s="57"/>
      <c r="G3" s="57">
        <v>50000</v>
      </c>
    </row>
    <row r="4" spans="4:16" x14ac:dyDescent="0.25">
      <c r="D4" s="57">
        <v>80000</v>
      </c>
      <c r="E4" s="57"/>
      <c r="F4" s="57"/>
      <c r="G4" s="57">
        <v>180000</v>
      </c>
    </row>
    <row r="5" spans="4:16" x14ac:dyDescent="0.25">
      <c r="D5" s="57">
        <v>50000</v>
      </c>
      <c r="E5" s="57"/>
      <c r="F5" s="57">
        <v>20000</v>
      </c>
      <c r="G5" s="57">
        <v>80000</v>
      </c>
    </row>
    <row r="6" spans="4:16" x14ac:dyDescent="0.25">
      <c r="D6" s="57">
        <v>0</v>
      </c>
      <c r="E6" s="57"/>
      <c r="F6" s="57">
        <v>30000</v>
      </c>
      <c r="G6" s="57">
        <v>50000</v>
      </c>
    </row>
    <row r="7" spans="4:16" x14ac:dyDescent="0.25">
      <c r="D7" s="57">
        <v>50000</v>
      </c>
      <c r="E7" s="57"/>
      <c r="F7" s="57">
        <v>40000</v>
      </c>
      <c r="G7" s="57">
        <v>50000</v>
      </c>
    </row>
    <row r="8" spans="4:16" x14ac:dyDescent="0.25">
      <c r="D8" s="57">
        <v>30000</v>
      </c>
      <c r="E8" s="57"/>
      <c r="F8" s="57">
        <v>40000</v>
      </c>
      <c r="G8" s="57">
        <v>40000</v>
      </c>
    </row>
    <row r="9" spans="4:16" ht="13.8" thickBot="1" x14ac:dyDescent="0.3">
      <c r="D9" s="57">
        <v>0</v>
      </c>
      <c r="E9" s="57"/>
      <c r="F9" s="57">
        <v>40000</v>
      </c>
      <c r="G9" s="57">
        <v>0</v>
      </c>
    </row>
    <row r="10" spans="4:16" x14ac:dyDescent="0.25">
      <c r="D10" s="57">
        <v>0</v>
      </c>
      <c r="E10" s="57"/>
      <c r="F10" s="57">
        <v>50000</v>
      </c>
      <c r="G10" s="57">
        <v>500000</v>
      </c>
      <c r="K10" s="47" t="s">
        <v>140</v>
      </c>
      <c r="L10" s="47"/>
      <c r="O10" s="47" t="s">
        <v>142</v>
      </c>
      <c r="P10" s="47"/>
    </row>
    <row r="11" spans="4:16" x14ac:dyDescent="0.25">
      <c r="D11" s="57">
        <v>15000</v>
      </c>
      <c r="E11" s="57"/>
      <c r="F11" s="57">
        <v>50000</v>
      </c>
      <c r="G11" s="57">
        <v>60000</v>
      </c>
      <c r="K11" s="51" t="s">
        <v>79</v>
      </c>
      <c r="L11" s="51">
        <v>67333.333333333328</v>
      </c>
      <c r="O11" s="51" t="s">
        <v>79</v>
      </c>
      <c r="P11" s="51">
        <v>226833.33333333334</v>
      </c>
    </row>
    <row r="12" spans="4:16" x14ac:dyDescent="0.25">
      <c r="D12" s="57">
        <v>0</v>
      </c>
      <c r="E12" s="57"/>
      <c r="F12" s="57">
        <v>50000</v>
      </c>
      <c r="G12" s="57">
        <v>40000</v>
      </c>
      <c r="K12" s="52" t="s">
        <v>82</v>
      </c>
      <c r="L12" s="52">
        <v>10219.668271802535</v>
      </c>
      <c r="O12" s="52" t="s">
        <v>82</v>
      </c>
      <c r="P12" s="52">
        <v>51773.349854716835</v>
      </c>
    </row>
    <row r="13" spans="4:16" x14ac:dyDescent="0.25">
      <c r="D13" s="57">
        <v>0</v>
      </c>
      <c r="E13" s="57"/>
      <c r="F13" s="57">
        <v>50000</v>
      </c>
      <c r="G13" s="57">
        <v>0</v>
      </c>
      <c r="K13" s="52" t="s">
        <v>84</v>
      </c>
      <c r="L13" s="52">
        <v>45000</v>
      </c>
      <c r="O13" s="52" t="s">
        <v>84</v>
      </c>
      <c r="P13" s="52">
        <v>100000</v>
      </c>
    </row>
    <row r="14" spans="4:16" x14ac:dyDescent="0.25">
      <c r="D14" s="57">
        <v>50000</v>
      </c>
      <c r="E14" s="57"/>
      <c r="F14" s="57">
        <v>50000</v>
      </c>
      <c r="G14" s="57">
        <v>150000</v>
      </c>
      <c r="K14" s="52" t="s">
        <v>85</v>
      </c>
      <c r="L14" s="52">
        <v>0</v>
      </c>
      <c r="O14" s="52" t="s">
        <v>85</v>
      </c>
      <c r="P14" s="52">
        <v>100000</v>
      </c>
    </row>
    <row r="15" spans="4:16" x14ac:dyDescent="0.25">
      <c r="D15" s="57">
        <v>40000</v>
      </c>
      <c r="E15" s="57"/>
      <c r="F15" s="57">
        <v>50000</v>
      </c>
      <c r="G15" s="57">
        <v>100000</v>
      </c>
      <c r="K15" s="51" t="s">
        <v>86</v>
      </c>
      <c r="L15" s="51">
        <v>79161.210040911101</v>
      </c>
      <c r="O15" s="51" t="s">
        <v>86</v>
      </c>
      <c r="P15" s="51">
        <v>401034.643529377</v>
      </c>
    </row>
    <row r="16" spans="4:16" x14ac:dyDescent="0.25">
      <c r="D16" s="57">
        <v>150000</v>
      </c>
      <c r="E16" s="57"/>
      <c r="F16" s="57">
        <v>50000</v>
      </c>
      <c r="G16" s="57">
        <v>0</v>
      </c>
      <c r="K16" s="52" t="s">
        <v>87</v>
      </c>
      <c r="L16" s="52">
        <v>6266497175.1412439</v>
      </c>
      <c r="O16" s="52" t="s">
        <v>87</v>
      </c>
      <c r="P16" s="52">
        <v>160828785310.73447</v>
      </c>
    </row>
    <row r="17" spans="4:16" x14ac:dyDescent="0.25">
      <c r="D17" s="57">
        <v>150000</v>
      </c>
      <c r="E17" s="57"/>
      <c r="F17" s="57">
        <v>60000</v>
      </c>
      <c r="G17" s="57">
        <v>150000</v>
      </c>
      <c r="K17" s="52" t="s">
        <v>88</v>
      </c>
      <c r="L17" s="52">
        <v>1.9256534761149351</v>
      </c>
      <c r="O17" s="52" t="s">
        <v>88</v>
      </c>
      <c r="P17" s="52">
        <v>39.841542543845783</v>
      </c>
    </row>
    <row r="18" spans="4:16" x14ac:dyDescent="0.25">
      <c r="D18" s="57">
        <v>30000</v>
      </c>
      <c r="E18" s="57">
        <v>15000</v>
      </c>
      <c r="F18" s="57">
        <v>60000</v>
      </c>
      <c r="G18" s="57">
        <v>120000</v>
      </c>
      <c r="K18" s="52" t="s">
        <v>94</v>
      </c>
      <c r="L18" s="52">
        <v>1.5629482661404877</v>
      </c>
      <c r="O18" s="52" t="s">
        <v>94</v>
      </c>
      <c r="P18" s="52">
        <v>5.8337013004076095</v>
      </c>
    </row>
    <row r="19" spans="4:16" x14ac:dyDescent="0.25">
      <c r="D19" s="57">
        <v>30000</v>
      </c>
      <c r="E19" s="57">
        <v>15000</v>
      </c>
      <c r="F19" s="57">
        <v>80000</v>
      </c>
      <c r="G19" s="57">
        <v>30000</v>
      </c>
      <c r="K19" s="52" t="s">
        <v>74</v>
      </c>
      <c r="L19" s="52">
        <v>300000</v>
      </c>
      <c r="O19" s="52" t="s">
        <v>74</v>
      </c>
      <c r="P19" s="52">
        <v>3000000</v>
      </c>
    </row>
    <row r="20" spans="4:16" x14ac:dyDescent="0.25">
      <c r="D20" s="57">
        <v>50000</v>
      </c>
      <c r="E20" s="57">
        <v>20000</v>
      </c>
      <c r="F20" s="57">
        <v>80000</v>
      </c>
      <c r="G20" s="57">
        <v>300000</v>
      </c>
      <c r="K20" s="52" t="s">
        <v>98</v>
      </c>
      <c r="L20" s="52">
        <v>0</v>
      </c>
      <c r="O20" s="52" t="s">
        <v>98</v>
      </c>
      <c r="P20" s="52">
        <v>0</v>
      </c>
    </row>
    <row r="21" spans="4:16" x14ac:dyDescent="0.25">
      <c r="D21" s="57">
        <v>0</v>
      </c>
      <c r="E21" s="57">
        <v>20000</v>
      </c>
      <c r="F21" s="57">
        <v>100000</v>
      </c>
      <c r="G21" s="57">
        <v>400000</v>
      </c>
      <c r="K21" s="52" t="s">
        <v>99</v>
      </c>
      <c r="L21" s="52">
        <v>300000</v>
      </c>
      <c r="O21" s="52" t="s">
        <v>99</v>
      </c>
      <c r="P21" s="52">
        <v>3000000</v>
      </c>
    </row>
    <row r="22" spans="4:16" x14ac:dyDescent="0.25">
      <c r="D22" s="57">
        <v>50000</v>
      </c>
      <c r="E22" s="57">
        <v>20000</v>
      </c>
      <c r="F22" s="57">
        <v>100000</v>
      </c>
      <c r="G22" s="57">
        <v>100000</v>
      </c>
      <c r="K22" s="52" t="s">
        <v>100</v>
      </c>
      <c r="L22" s="52">
        <v>4040000</v>
      </c>
      <c r="O22" s="52" t="s">
        <v>100</v>
      </c>
      <c r="P22" s="52">
        <v>13610000</v>
      </c>
    </row>
    <row r="23" spans="4:16" x14ac:dyDescent="0.25">
      <c r="D23" s="57">
        <v>300000</v>
      </c>
      <c r="E23" s="57">
        <v>30000</v>
      </c>
      <c r="F23" s="57">
        <v>100000</v>
      </c>
      <c r="G23" s="57">
        <v>500000</v>
      </c>
      <c r="K23" s="52" t="s">
        <v>102</v>
      </c>
      <c r="L23" s="52">
        <v>60</v>
      </c>
      <c r="O23" s="52" t="s">
        <v>102</v>
      </c>
      <c r="P23" s="52">
        <v>60</v>
      </c>
    </row>
    <row r="24" spans="4:16" ht="13.8" thickBot="1" x14ac:dyDescent="0.3">
      <c r="D24" s="57">
        <v>200000</v>
      </c>
      <c r="E24" s="57">
        <v>30000</v>
      </c>
      <c r="F24" s="57">
        <v>100000</v>
      </c>
      <c r="G24" s="57"/>
      <c r="K24" s="53" t="s">
        <v>143</v>
      </c>
      <c r="L24" s="53">
        <v>20449.508977472196</v>
      </c>
      <c r="O24" s="53" t="s">
        <v>143</v>
      </c>
      <c r="P24" s="53">
        <v>103598.23376743533</v>
      </c>
    </row>
    <row r="25" spans="4:16" x14ac:dyDescent="0.25">
      <c r="D25" s="57">
        <v>60000</v>
      </c>
      <c r="E25" s="57">
        <v>30000</v>
      </c>
      <c r="F25" s="57">
        <v>100000</v>
      </c>
      <c r="G25" s="57">
        <v>120000</v>
      </c>
      <c r="K25" s="51" t="s">
        <v>144</v>
      </c>
      <c r="L25" s="51">
        <f>L15/L11</f>
        <v>1.175661535261056</v>
      </c>
      <c r="O25" s="51" t="s">
        <v>144</v>
      </c>
      <c r="P25" s="51">
        <f>P15/P11</f>
        <v>1.7679705078444246</v>
      </c>
    </row>
    <row r="26" spans="4:16" x14ac:dyDescent="0.25">
      <c r="D26" s="57">
        <v>100000</v>
      </c>
      <c r="E26" s="57">
        <v>30000</v>
      </c>
      <c r="F26" s="57">
        <v>100000</v>
      </c>
      <c r="G26" s="57">
        <v>250000</v>
      </c>
      <c r="K26" s="54" t="s">
        <v>103</v>
      </c>
      <c r="L26" s="52">
        <f>_xlfn.QUARTILE.INC(E2:E61,1)</f>
        <v>40000</v>
      </c>
      <c r="O26" s="54" t="s">
        <v>103</v>
      </c>
      <c r="P26" s="52">
        <f>_xlfn.QUARTILE.INC(F2:F61,1)</f>
        <v>50000</v>
      </c>
    </row>
    <row r="27" spans="4:16" x14ac:dyDescent="0.25">
      <c r="D27" s="57">
        <v>90000</v>
      </c>
      <c r="E27" s="57">
        <v>30000</v>
      </c>
      <c r="F27" s="57">
        <v>100000</v>
      </c>
      <c r="G27" s="57">
        <v>700000</v>
      </c>
      <c r="K27" s="54" t="s">
        <v>104</v>
      </c>
      <c r="L27" s="52">
        <f>_xlfn.QUARTILE.INC(E2:E61,3)</f>
        <v>150000</v>
      </c>
      <c r="O27" s="54" t="s">
        <v>104</v>
      </c>
      <c r="P27" s="52">
        <f>_xlfn.QUARTILE.INC(F2:F61,3)</f>
        <v>120000</v>
      </c>
    </row>
    <row r="28" spans="4:16" x14ac:dyDescent="0.25">
      <c r="D28" s="57">
        <v>30000</v>
      </c>
      <c r="E28" s="57">
        <v>40000</v>
      </c>
      <c r="F28" s="57">
        <v>100000</v>
      </c>
      <c r="G28" s="57">
        <v>120000</v>
      </c>
      <c r="K28" s="54" t="s">
        <v>105</v>
      </c>
      <c r="L28" s="52">
        <f>L27-L26</f>
        <v>110000</v>
      </c>
      <c r="O28" s="54" t="s">
        <v>105</v>
      </c>
      <c r="P28" s="52">
        <f>P27-P26</f>
        <v>70000</v>
      </c>
    </row>
    <row r="29" spans="4:16" x14ac:dyDescent="0.25">
      <c r="D29" s="57">
        <v>200000</v>
      </c>
      <c r="E29" s="57">
        <v>40000</v>
      </c>
      <c r="F29" s="57">
        <v>100000</v>
      </c>
      <c r="G29" s="57">
        <v>500000</v>
      </c>
      <c r="K29" s="55" t="s">
        <v>145</v>
      </c>
      <c r="L29" s="51">
        <f>L26-1.5*L28</f>
        <v>-125000</v>
      </c>
      <c r="O29" s="55" t="s">
        <v>145</v>
      </c>
      <c r="P29" s="51">
        <f>P26-1.5*P28</f>
        <v>-55000</v>
      </c>
    </row>
    <row r="30" spans="4:16" x14ac:dyDescent="0.25">
      <c r="D30" s="57">
        <v>50000</v>
      </c>
      <c r="E30" s="57">
        <v>40000</v>
      </c>
      <c r="F30" s="57">
        <v>100000</v>
      </c>
      <c r="G30" s="57">
        <v>150000</v>
      </c>
      <c r="K30" s="55" t="s">
        <v>146</v>
      </c>
      <c r="L30" s="51">
        <f>L27+1.5*L28</f>
        <v>315000</v>
      </c>
      <c r="O30" s="55" t="s">
        <v>146</v>
      </c>
      <c r="P30" s="58">
        <f>P27+1.5*P28</f>
        <v>225000</v>
      </c>
    </row>
    <row r="31" spans="4:16" x14ac:dyDescent="0.25">
      <c r="D31" s="57">
        <v>50000</v>
      </c>
      <c r="E31" s="57">
        <v>40000</v>
      </c>
      <c r="F31" s="57">
        <v>100000</v>
      </c>
      <c r="G31" s="57">
        <v>200000</v>
      </c>
    </row>
    <row r="32" spans="4:16" x14ac:dyDescent="0.25">
      <c r="D32" s="57">
        <v>150000</v>
      </c>
      <c r="E32" s="57">
        <v>50000</v>
      </c>
      <c r="F32" s="57">
        <v>100000</v>
      </c>
      <c r="G32" s="57">
        <v>300000</v>
      </c>
    </row>
    <row r="33" spans="4:7" x14ac:dyDescent="0.25">
      <c r="D33" s="57">
        <v>15000</v>
      </c>
      <c r="E33" s="57">
        <v>50000</v>
      </c>
      <c r="F33" s="57">
        <v>120000</v>
      </c>
      <c r="G33" s="57">
        <v>50000</v>
      </c>
    </row>
    <row r="34" spans="4:7" x14ac:dyDescent="0.25">
      <c r="D34" s="57">
        <v>150000</v>
      </c>
      <c r="E34" s="57">
        <v>50000</v>
      </c>
      <c r="F34" s="57">
        <v>120000</v>
      </c>
      <c r="G34" s="57">
        <v>300000</v>
      </c>
    </row>
    <row r="35" spans="4:7" x14ac:dyDescent="0.25">
      <c r="D35" s="57">
        <v>0</v>
      </c>
      <c r="E35" s="57">
        <v>50000</v>
      </c>
      <c r="F35" s="57">
        <v>120000</v>
      </c>
      <c r="G35" s="57">
        <v>100000</v>
      </c>
    </row>
    <row r="36" spans="4:7" x14ac:dyDescent="0.25">
      <c r="D36" s="57">
        <v>40000</v>
      </c>
      <c r="E36" s="57">
        <v>50000</v>
      </c>
      <c r="F36" s="57">
        <v>120000</v>
      </c>
      <c r="G36" s="57">
        <v>100000</v>
      </c>
    </row>
    <row r="37" spans="4:7" x14ac:dyDescent="0.25">
      <c r="D37" s="57">
        <v>20000</v>
      </c>
      <c r="E37" s="57">
        <v>50000</v>
      </c>
      <c r="F37" s="57">
        <v>150000</v>
      </c>
      <c r="G37" s="57">
        <v>40000</v>
      </c>
    </row>
    <row r="38" spans="4:7" x14ac:dyDescent="0.25">
      <c r="D38" s="57">
        <v>0</v>
      </c>
      <c r="E38" s="57">
        <v>50000</v>
      </c>
      <c r="F38" s="57">
        <v>150000</v>
      </c>
      <c r="G38" s="57">
        <v>100000</v>
      </c>
    </row>
    <row r="39" spans="4:7" x14ac:dyDescent="0.25">
      <c r="D39" s="57">
        <v>40000</v>
      </c>
      <c r="E39" s="57">
        <v>50000</v>
      </c>
      <c r="F39" s="57">
        <v>150000</v>
      </c>
      <c r="G39" s="57">
        <v>100000</v>
      </c>
    </row>
    <row r="40" spans="4:7" x14ac:dyDescent="0.25">
      <c r="D40" s="57">
        <v>100000</v>
      </c>
      <c r="E40" s="57">
        <v>50000</v>
      </c>
      <c r="F40" s="57">
        <v>180000</v>
      </c>
      <c r="G40" s="57">
        <v>200000</v>
      </c>
    </row>
    <row r="41" spans="4:7" x14ac:dyDescent="0.25">
      <c r="D41" s="57">
        <v>40000</v>
      </c>
      <c r="E41" s="57">
        <v>50000</v>
      </c>
      <c r="F41" s="57">
        <v>200000</v>
      </c>
      <c r="G41" s="57">
        <v>500000</v>
      </c>
    </row>
    <row r="42" spans="4:7" x14ac:dyDescent="0.25">
      <c r="D42" s="57">
        <v>150000</v>
      </c>
      <c r="E42" s="57">
        <v>60000</v>
      </c>
      <c r="F42" s="57">
        <v>200000</v>
      </c>
      <c r="G42" s="57">
        <v>200000</v>
      </c>
    </row>
    <row r="43" spans="4:7" x14ac:dyDescent="0.25">
      <c r="D43" s="57">
        <v>300000</v>
      </c>
      <c r="E43" s="57">
        <v>60000</v>
      </c>
      <c r="F43" s="57">
        <v>200000</v>
      </c>
      <c r="G43" s="57">
        <v>300000</v>
      </c>
    </row>
    <row r="44" spans="4:7" x14ac:dyDescent="0.25">
      <c r="D44" s="57">
        <v>50000</v>
      </c>
      <c r="E44" s="57">
        <v>80000</v>
      </c>
      <c r="F44" s="57">
        <v>200000</v>
      </c>
      <c r="G44" s="57">
        <v>200000</v>
      </c>
    </row>
    <row r="45" spans="4:7" x14ac:dyDescent="0.25">
      <c r="D45" s="57">
        <v>20000</v>
      </c>
      <c r="E45" s="57">
        <v>90000</v>
      </c>
      <c r="F45" s="57">
        <v>200000</v>
      </c>
      <c r="G45" s="57">
        <v>60000</v>
      </c>
    </row>
    <row r="46" spans="4:7" x14ac:dyDescent="0.25">
      <c r="D46" s="57">
        <v>100000</v>
      </c>
      <c r="E46" s="57">
        <v>100000</v>
      </c>
      <c r="F46" s="57"/>
      <c r="G46" s="57">
        <v>100000</v>
      </c>
    </row>
    <row r="47" spans="4:7" x14ac:dyDescent="0.25">
      <c r="D47" s="57">
        <v>20000</v>
      </c>
      <c r="E47" s="57">
        <v>100000</v>
      </c>
      <c r="F47" s="57"/>
      <c r="G47" s="57">
        <v>100000</v>
      </c>
    </row>
    <row r="48" spans="4:7" x14ac:dyDescent="0.25">
      <c r="D48" s="57">
        <v>100000</v>
      </c>
      <c r="E48" s="57">
        <v>100000</v>
      </c>
      <c r="F48" s="57"/>
      <c r="G48" s="57">
        <v>600000</v>
      </c>
    </row>
    <row r="49" spans="4:7" x14ac:dyDescent="0.25">
      <c r="D49" s="57">
        <v>200000</v>
      </c>
      <c r="E49" s="57">
        <v>100000</v>
      </c>
      <c r="F49" s="57"/>
      <c r="G49" s="57">
        <v>80000</v>
      </c>
    </row>
    <row r="50" spans="4:7" x14ac:dyDescent="0.25">
      <c r="D50" s="57">
        <v>0</v>
      </c>
      <c r="E50" s="57">
        <v>150000</v>
      </c>
      <c r="F50" s="57"/>
      <c r="G50" s="57">
        <v>100000</v>
      </c>
    </row>
    <row r="51" spans="4:7" x14ac:dyDescent="0.25">
      <c r="D51" s="57">
        <v>50000</v>
      </c>
      <c r="E51" s="57">
        <v>150000</v>
      </c>
      <c r="F51" s="57"/>
      <c r="G51" s="57">
        <v>100000</v>
      </c>
    </row>
    <row r="52" spans="4:7" x14ac:dyDescent="0.25">
      <c r="D52" s="57">
        <v>0</v>
      </c>
      <c r="E52" s="57">
        <v>150000</v>
      </c>
      <c r="F52" s="57"/>
      <c r="G52" s="57">
        <v>500000</v>
      </c>
    </row>
    <row r="53" spans="4:7" x14ac:dyDescent="0.25">
      <c r="D53" s="57">
        <v>30000</v>
      </c>
      <c r="E53" s="57">
        <v>150000</v>
      </c>
      <c r="F53" s="57"/>
      <c r="G53" s="57">
        <v>100000</v>
      </c>
    </row>
    <row r="54" spans="4:7" x14ac:dyDescent="0.25">
      <c r="D54" s="57">
        <v>300000</v>
      </c>
      <c r="E54" s="57">
        <v>150000</v>
      </c>
      <c r="F54" s="57"/>
      <c r="G54" s="57">
        <v>350000</v>
      </c>
    </row>
    <row r="55" spans="4:7" x14ac:dyDescent="0.25">
      <c r="D55" s="57">
        <v>0</v>
      </c>
      <c r="E55" s="57">
        <v>200000</v>
      </c>
      <c r="F55" s="57"/>
      <c r="G55" s="57">
        <v>20000</v>
      </c>
    </row>
    <row r="56" spans="4:7" x14ac:dyDescent="0.25">
      <c r="D56" s="57">
        <v>0</v>
      </c>
      <c r="E56" s="57">
        <v>200000</v>
      </c>
      <c r="F56" s="57"/>
      <c r="G56" s="57">
        <v>50000</v>
      </c>
    </row>
    <row r="57" spans="4:7" x14ac:dyDescent="0.25">
      <c r="D57" s="57">
        <v>0</v>
      </c>
      <c r="E57" s="57">
        <v>200000</v>
      </c>
      <c r="F57" s="57"/>
      <c r="G57" s="57">
        <v>50000</v>
      </c>
    </row>
    <row r="58" spans="4:7" x14ac:dyDescent="0.25">
      <c r="D58" s="57">
        <v>200000</v>
      </c>
      <c r="E58" s="57">
        <v>200000</v>
      </c>
      <c r="F58" s="57"/>
      <c r="G58" s="57">
        <v>500000</v>
      </c>
    </row>
    <row r="59" spans="4:7" x14ac:dyDescent="0.25">
      <c r="D59" s="57">
        <v>0</v>
      </c>
      <c r="E59" s="57">
        <v>300000</v>
      </c>
      <c r="F59" s="57"/>
      <c r="G59" s="57">
        <v>50000</v>
      </c>
    </row>
    <row r="60" spans="4:7" x14ac:dyDescent="0.25">
      <c r="D60" s="57">
        <v>0</v>
      </c>
      <c r="E60" s="57">
        <v>300000</v>
      </c>
      <c r="F60" s="57"/>
      <c r="G60" s="57">
        <v>120000</v>
      </c>
    </row>
    <row r="61" spans="4:7" x14ac:dyDescent="0.25">
      <c r="D61" s="57">
        <v>0</v>
      </c>
      <c r="E61" s="57">
        <v>300000</v>
      </c>
      <c r="F61" s="57"/>
      <c r="G61" s="57">
        <v>100000</v>
      </c>
    </row>
    <row r="68" spans="5:16" x14ac:dyDescent="0.25">
      <c r="E68" t="s">
        <v>267</v>
      </c>
    </row>
    <row r="69" spans="5:16" x14ac:dyDescent="0.25">
      <c r="E69" t="s">
        <v>268</v>
      </c>
    </row>
    <row r="70" spans="5:16" x14ac:dyDescent="0.25">
      <c r="E70" t="s">
        <v>269</v>
      </c>
    </row>
    <row r="74" spans="5:16" ht="13.8" thickBot="1" x14ac:dyDescent="0.3"/>
    <row r="75" spans="5:16" x14ac:dyDescent="0.25">
      <c r="K75" s="47" t="s">
        <v>140</v>
      </c>
      <c r="L75" s="47"/>
      <c r="O75" s="47" t="s">
        <v>142</v>
      </c>
      <c r="P75" s="47"/>
    </row>
    <row r="76" spans="5:16" x14ac:dyDescent="0.25">
      <c r="K76" s="52" t="s">
        <v>79</v>
      </c>
      <c r="L76" s="52">
        <v>91818.181818181823</v>
      </c>
      <c r="O76" s="51" t="s">
        <v>79</v>
      </c>
      <c r="P76" s="51">
        <v>100243.90243902439</v>
      </c>
    </row>
    <row r="77" spans="5:16" x14ac:dyDescent="0.25">
      <c r="K77" s="52" t="s">
        <v>82</v>
      </c>
      <c r="L77" s="52">
        <v>11963.752192323102</v>
      </c>
      <c r="O77" s="52" t="s">
        <v>82</v>
      </c>
      <c r="P77" s="52">
        <v>8156.1573693687633</v>
      </c>
    </row>
    <row r="78" spans="5:16" x14ac:dyDescent="0.25">
      <c r="K78" s="51" t="s">
        <v>84</v>
      </c>
      <c r="L78" s="51">
        <v>50000</v>
      </c>
      <c r="O78" s="52" t="s">
        <v>84</v>
      </c>
      <c r="P78" s="52">
        <v>100000</v>
      </c>
    </row>
    <row r="79" spans="5:16" x14ac:dyDescent="0.25">
      <c r="K79" s="52" t="s">
        <v>85</v>
      </c>
      <c r="L79" s="52">
        <v>50000</v>
      </c>
      <c r="O79" s="52" t="s">
        <v>85</v>
      </c>
      <c r="P79" s="52">
        <v>100000</v>
      </c>
    </row>
    <row r="80" spans="5:16" x14ac:dyDescent="0.25">
      <c r="K80" s="51" t="s">
        <v>86</v>
      </c>
      <c r="L80" s="51">
        <v>79358.554213455121</v>
      </c>
      <c r="O80" s="51" t="s">
        <v>86</v>
      </c>
      <c r="P80" s="51">
        <v>52224.888936121672</v>
      </c>
    </row>
    <row r="81" spans="11:20" x14ac:dyDescent="0.25">
      <c r="K81" s="52" t="s">
        <v>87</v>
      </c>
      <c r="L81" s="52">
        <v>6297780126.8498945</v>
      </c>
      <c r="O81" s="52" t="s">
        <v>87</v>
      </c>
      <c r="P81" s="52">
        <v>2727439024.3902435</v>
      </c>
    </row>
    <row r="82" spans="11:20" x14ac:dyDescent="0.25">
      <c r="K82" s="52" t="s">
        <v>88</v>
      </c>
      <c r="L82" s="52">
        <v>1.1773110042720645</v>
      </c>
      <c r="O82" s="52" t="s">
        <v>88</v>
      </c>
      <c r="P82" s="52">
        <v>-0.465907624654323</v>
      </c>
    </row>
    <row r="83" spans="11:20" x14ac:dyDescent="0.25">
      <c r="K83" s="51" t="s">
        <v>94</v>
      </c>
      <c r="L83" s="51">
        <v>1.392519040705541</v>
      </c>
      <c r="O83" s="51" t="s">
        <v>94</v>
      </c>
      <c r="P83" s="51">
        <v>0.61206093836393338</v>
      </c>
    </row>
    <row r="84" spans="11:20" x14ac:dyDescent="0.25">
      <c r="K84" s="52" t="s">
        <v>74</v>
      </c>
      <c r="L84" s="52">
        <v>285000</v>
      </c>
      <c r="O84" s="52" t="s">
        <v>74</v>
      </c>
      <c r="P84" s="52">
        <v>180000</v>
      </c>
    </row>
    <row r="85" spans="11:20" x14ac:dyDescent="0.25">
      <c r="K85" s="52" t="s">
        <v>98</v>
      </c>
      <c r="L85" s="52">
        <v>15000</v>
      </c>
      <c r="O85" s="52" t="s">
        <v>98</v>
      </c>
      <c r="P85" s="52">
        <v>20000</v>
      </c>
    </row>
    <row r="86" spans="11:20" ht="20.399999999999999" x14ac:dyDescent="0.35">
      <c r="K86" s="52" t="s">
        <v>99</v>
      </c>
      <c r="L86" s="52">
        <v>300000</v>
      </c>
      <c r="O86" s="52" t="s">
        <v>99</v>
      </c>
      <c r="P86" s="52">
        <v>200000</v>
      </c>
      <c r="R86" s="59" t="s">
        <v>155</v>
      </c>
    </row>
    <row r="87" spans="11:20" ht="20.399999999999999" x14ac:dyDescent="0.35">
      <c r="K87" s="52" t="s">
        <v>100</v>
      </c>
      <c r="L87" s="52">
        <v>4040000</v>
      </c>
      <c r="O87" s="52" t="s">
        <v>100</v>
      </c>
      <c r="P87" s="52">
        <v>4110000</v>
      </c>
      <c r="R87" s="59" t="s">
        <v>156</v>
      </c>
    </row>
    <row r="88" spans="11:20" x14ac:dyDescent="0.25">
      <c r="K88" s="52" t="s">
        <v>102</v>
      </c>
      <c r="L88" s="52">
        <v>44</v>
      </c>
      <c r="O88" s="52" t="s">
        <v>102</v>
      </c>
      <c r="P88" s="52">
        <v>41</v>
      </c>
    </row>
    <row r="89" spans="11:20" x14ac:dyDescent="0.25">
      <c r="K89" s="52" t="s">
        <v>144</v>
      </c>
      <c r="L89" s="52">
        <f>L80/L76</f>
        <v>0.86430108549307549</v>
      </c>
      <c r="O89" s="52" t="s">
        <v>144</v>
      </c>
      <c r="P89" s="52">
        <f>P80/P76</f>
        <v>0.52097821079829409</v>
      </c>
      <c r="T89" s="9" t="s">
        <v>157</v>
      </c>
    </row>
    <row r="90" spans="11:20" x14ac:dyDescent="0.25">
      <c r="K90" s="52" t="s">
        <v>103</v>
      </c>
      <c r="L90" s="52">
        <v>40000</v>
      </c>
      <c r="O90" s="52" t="s">
        <v>103</v>
      </c>
      <c r="P90" s="52">
        <v>50000</v>
      </c>
    </row>
    <row r="91" spans="11:20" x14ac:dyDescent="0.25">
      <c r="K91" s="52" t="s">
        <v>104</v>
      </c>
      <c r="L91" s="52">
        <v>150000</v>
      </c>
      <c r="O91" s="52" t="s">
        <v>104</v>
      </c>
      <c r="P91" s="52">
        <v>120000</v>
      </c>
    </row>
    <row r="92" spans="11:20" x14ac:dyDescent="0.25">
      <c r="K92" s="52" t="s">
        <v>105</v>
      </c>
      <c r="L92" s="52">
        <v>110000</v>
      </c>
      <c r="O92" s="52" t="s">
        <v>105</v>
      </c>
      <c r="P92" s="52">
        <v>70000</v>
      </c>
    </row>
    <row r="93" spans="11:20" x14ac:dyDescent="0.25">
      <c r="K93" s="51" t="s">
        <v>145</v>
      </c>
      <c r="L93" s="51">
        <v>-125000</v>
      </c>
      <c r="O93" s="51" t="s">
        <v>145</v>
      </c>
      <c r="P93" s="51">
        <v>-55000</v>
      </c>
    </row>
    <row r="94" spans="11:20" x14ac:dyDescent="0.25">
      <c r="K94" s="51" t="s">
        <v>146</v>
      </c>
      <c r="L94" s="51">
        <v>315000</v>
      </c>
      <c r="O94" s="51" t="s">
        <v>146</v>
      </c>
      <c r="P94" s="51">
        <v>225000</v>
      </c>
    </row>
    <row r="100" spans="17:23" x14ac:dyDescent="0.25">
      <c r="W100" s="9" t="s">
        <v>158</v>
      </c>
    </row>
    <row r="102" spans="17:23" x14ac:dyDescent="0.25">
      <c r="Q102" s="103" t="s">
        <v>159</v>
      </c>
      <c r="R102" s="103"/>
      <c r="S102" s="103"/>
    </row>
    <row r="103" spans="17:23" x14ac:dyDescent="0.25">
      <c r="Q103" s="103"/>
      <c r="R103" s="103"/>
      <c r="S103" s="103"/>
    </row>
    <row r="104" spans="17:23" x14ac:dyDescent="0.25">
      <c r="Q104" s="103"/>
      <c r="R104" s="103"/>
      <c r="S104" s="103"/>
    </row>
  </sheetData>
  <mergeCells count="1">
    <mergeCell ref="Q102:S104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26D4-AE2D-4B10-BA63-8F122C9F1896}">
  <dimension ref="E4:T64"/>
  <sheetViews>
    <sheetView topLeftCell="C24" zoomScale="85" zoomScaleNormal="85" workbookViewId="0">
      <selection activeCell="I38" sqref="I38"/>
    </sheetView>
  </sheetViews>
  <sheetFormatPr baseColWidth="10" defaultRowHeight="13.2" x14ac:dyDescent="0.25"/>
  <cols>
    <col min="5" max="6" width="35.44140625" customWidth="1"/>
    <col min="11" max="11" width="12.33203125" customWidth="1"/>
    <col min="14" max="14" width="12.33203125" bestFit="1" customWidth="1"/>
    <col min="18" max="18" width="12.33203125" customWidth="1"/>
  </cols>
  <sheetData>
    <row r="4" spans="5:20" ht="52.8" x14ac:dyDescent="0.25">
      <c r="E4" s="10" t="s">
        <v>160</v>
      </c>
      <c r="F4" s="10" t="s">
        <v>161</v>
      </c>
    </row>
    <row r="5" spans="5:20" x14ac:dyDescent="0.25">
      <c r="E5" s="36">
        <v>4</v>
      </c>
      <c r="F5" s="36">
        <v>5</v>
      </c>
    </row>
    <row r="6" spans="5:20" x14ac:dyDescent="0.25">
      <c r="E6" s="36">
        <v>4</v>
      </c>
      <c r="F6" s="36">
        <v>2</v>
      </c>
    </row>
    <row r="7" spans="5:20" x14ac:dyDescent="0.25">
      <c r="E7" s="36">
        <v>4</v>
      </c>
      <c r="F7" s="36">
        <v>4</v>
      </c>
    </row>
    <row r="8" spans="5:20" x14ac:dyDescent="0.25">
      <c r="E8" s="36">
        <v>4</v>
      </c>
      <c r="F8" s="36">
        <v>4</v>
      </c>
    </row>
    <row r="9" spans="5:20" x14ac:dyDescent="0.25">
      <c r="E9" s="36">
        <v>3</v>
      </c>
      <c r="F9" s="36">
        <v>3</v>
      </c>
    </row>
    <row r="10" spans="5:20" x14ac:dyDescent="0.25">
      <c r="E10" s="36">
        <v>4</v>
      </c>
      <c r="F10" s="36">
        <v>4</v>
      </c>
    </row>
    <row r="11" spans="5:20" x14ac:dyDescent="0.25">
      <c r="E11" s="36">
        <v>5</v>
      </c>
      <c r="F11" s="36">
        <v>5</v>
      </c>
    </row>
    <row r="12" spans="5:20" x14ac:dyDescent="0.25">
      <c r="E12" s="36">
        <v>4</v>
      </c>
      <c r="F12" s="36">
        <v>4</v>
      </c>
    </row>
    <row r="13" spans="5:20" x14ac:dyDescent="0.25">
      <c r="E13" s="36">
        <v>3</v>
      </c>
      <c r="F13" s="36">
        <v>3</v>
      </c>
    </row>
    <row r="14" spans="5:20" ht="60" x14ac:dyDescent="0.25">
      <c r="E14" s="36">
        <v>4</v>
      </c>
      <c r="F14" s="36">
        <v>5</v>
      </c>
      <c r="K14" s="60" t="s">
        <v>162</v>
      </c>
      <c r="L14" s="12" t="s">
        <v>68</v>
      </c>
      <c r="M14" s="12" t="s">
        <v>69</v>
      </c>
      <c r="R14" s="60" t="s">
        <v>163</v>
      </c>
      <c r="S14" s="12" t="s">
        <v>68</v>
      </c>
      <c r="T14" s="12" t="s">
        <v>69</v>
      </c>
    </row>
    <row r="15" spans="5:20" ht="15" x14ac:dyDescent="0.25">
      <c r="E15" s="36">
        <v>3</v>
      </c>
      <c r="F15" s="36">
        <v>5</v>
      </c>
      <c r="K15" s="12">
        <v>1</v>
      </c>
      <c r="L15" s="12">
        <f>COUNTIF($E$5:$E$64,K15)</f>
        <v>2</v>
      </c>
      <c r="M15" s="38">
        <f>L15/$L$20</f>
        <v>3.3333333333333333E-2</v>
      </c>
      <c r="R15" s="12">
        <v>1</v>
      </c>
      <c r="S15" s="12">
        <f>COUNTIF($F$5:$F$64,R15)</f>
        <v>0</v>
      </c>
      <c r="T15" s="38">
        <f>S15/$L$20</f>
        <v>0</v>
      </c>
    </row>
    <row r="16" spans="5:20" ht="15" x14ac:dyDescent="0.25">
      <c r="E16" s="36">
        <v>3</v>
      </c>
      <c r="F16" s="36">
        <v>3</v>
      </c>
      <c r="K16" s="12">
        <v>2</v>
      </c>
      <c r="L16" s="12">
        <f>COUNTIF($E$5:$E$64,K16)</f>
        <v>4</v>
      </c>
      <c r="M16" s="38">
        <f>L16/$L$20</f>
        <v>6.6666666666666666E-2</v>
      </c>
      <c r="R16" s="12">
        <v>2</v>
      </c>
      <c r="S16" s="12">
        <f>COUNTIF($F$5:$F$64,R16)</f>
        <v>6</v>
      </c>
      <c r="T16" s="38">
        <f>S16/$L$20</f>
        <v>0.1</v>
      </c>
    </row>
    <row r="17" spans="5:20" ht="15" x14ac:dyDescent="0.25">
      <c r="E17" s="36">
        <v>2</v>
      </c>
      <c r="F17" s="36">
        <v>2</v>
      </c>
      <c r="K17" s="12">
        <v>3</v>
      </c>
      <c r="L17" s="12">
        <f>COUNTIF($E$5:$E$64,K17)</f>
        <v>24</v>
      </c>
      <c r="M17" s="38">
        <f>L17/$L$20</f>
        <v>0.4</v>
      </c>
      <c r="R17" s="12">
        <v>3</v>
      </c>
      <c r="S17" s="12">
        <f>COUNTIF($F$5:$F$64,R17)</f>
        <v>14</v>
      </c>
      <c r="T17" s="38">
        <f>S17/$L$20</f>
        <v>0.23333333333333334</v>
      </c>
    </row>
    <row r="18" spans="5:20" ht="15" x14ac:dyDescent="0.25">
      <c r="E18" s="36">
        <v>4</v>
      </c>
      <c r="F18" s="36">
        <v>4</v>
      </c>
      <c r="K18" s="12">
        <v>4</v>
      </c>
      <c r="L18" s="12">
        <f>COUNTIF($E$5:$E$64,K18)</f>
        <v>26</v>
      </c>
      <c r="M18" s="38">
        <f>L18/$L$20</f>
        <v>0.43333333333333335</v>
      </c>
      <c r="R18" s="12">
        <v>4</v>
      </c>
      <c r="S18" s="12">
        <f>COUNTIF($F$5:$F$64,R18)</f>
        <v>24</v>
      </c>
      <c r="T18" s="38">
        <f>S18/$L$20</f>
        <v>0.4</v>
      </c>
    </row>
    <row r="19" spans="5:20" ht="15" x14ac:dyDescent="0.25">
      <c r="E19" s="36">
        <v>4</v>
      </c>
      <c r="F19" s="36">
        <v>3</v>
      </c>
      <c r="K19" s="12">
        <v>5</v>
      </c>
      <c r="L19" s="12">
        <f>COUNTIF($E$5:$E$64,K19)</f>
        <v>4</v>
      </c>
      <c r="M19" s="38">
        <f>L19/$L$20</f>
        <v>6.6666666666666666E-2</v>
      </c>
      <c r="R19" s="12">
        <v>5</v>
      </c>
      <c r="S19" s="12">
        <f>COUNTIF($F$5:$F$64,R19)</f>
        <v>16</v>
      </c>
      <c r="T19" s="38">
        <f>S19/$L$20</f>
        <v>0.26666666666666666</v>
      </c>
    </row>
    <row r="20" spans="5:20" ht="15" x14ac:dyDescent="0.25">
      <c r="E20" s="36">
        <v>4</v>
      </c>
      <c r="F20" s="36">
        <v>4</v>
      </c>
      <c r="K20" s="12" t="s">
        <v>72</v>
      </c>
      <c r="L20" s="12">
        <f>SUM(L15:L19)</f>
        <v>60</v>
      </c>
      <c r="M20" s="14">
        <f>SUM(M15:M19)</f>
        <v>1</v>
      </c>
      <c r="R20" s="12" t="s">
        <v>72</v>
      </c>
      <c r="S20" s="12">
        <f>SUM(S15:S19)</f>
        <v>60</v>
      </c>
      <c r="T20" s="14">
        <f>SUM(T15:T19)</f>
        <v>1</v>
      </c>
    </row>
    <row r="21" spans="5:20" x14ac:dyDescent="0.25">
      <c r="E21" s="36">
        <v>3</v>
      </c>
      <c r="F21" s="36">
        <v>5</v>
      </c>
    </row>
    <row r="22" spans="5:20" x14ac:dyDescent="0.25">
      <c r="E22" s="36">
        <v>4</v>
      </c>
      <c r="F22" s="36">
        <v>4</v>
      </c>
    </row>
    <row r="23" spans="5:20" x14ac:dyDescent="0.25">
      <c r="E23" s="36">
        <v>4</v>
      </c>
      <c r="F23" s="36">
        <v>5</v>
      </c>
    </row>
    <row r="24" spans="5:20" x14ac:dyDescent="0.25">
      <c r="E24" s="36">
        <v>1</v>
      </c>
      <c r="F24" s="36">
        <v>4</v>
      </c>
      <c r="K24" s="9" t="s">
        <v>85</v>
      </c>
      <c r="L24">
        <f>_xlfn.MODE.SNGL(F5:F64)</f>
        <v>4</v>
      </c>
      <c r="R24" s="9" t="s">
        <v>85</v>
      </c>
      <c r="S24">
        <f>_xlfn.MODE.SNGL(F5:F64)</f>
        <v>4</v>
      </c>
    </row>
    <row r="25" spans="5:20" x14ac:dyDescent="0.25">
      <c r="E25" s="36">
        <v>4</v>
      </c>
      <c r="F25" s="36">
        <v>4</v>
      </c>
    </row>
    <row r="26" spans="5:20" x14ac:dyDescent="0.25">
      <c r="E26" s="36">
        <v>4</v>
      </c>
      <c r="F26" s="36">
        <v>4</v>
      </c>
    </row>
    <row r="27" spans="5:20" x14ac:dyDescent="0.25">
      <c r="E27" s="36">
        <v>3</v>
      </c>
      <c r="F27" s="36">
        <v>4</v>
      </c>
    </row>
    <row r="28" spans="5:20" x14ac:dyDescent="0.25">
      <c r="E28" s="36">
        <v>3</v>
      </c>
      <c r="F28" s="36">
        <v>3</v>
      </c>
    </row>
    <row r="29" spans="5:20" x14ac:dyDescent="0.25">
      <c r="E29" s="36">
        <v>3</v>
      </c>
      <c r="F29" s="36">
        <v>4</v>
      </c>
    </row>
    <row r="30" spans="5:20" x14ac:dyDescent="0.25">
      <c r="E30" s="36">
        <v>4</v>
      </c>
      <c r="F30" s="36">
        <v>5</v>
      </c>
    </row>
    <row r="31" spans="5:20" x14ac:dyDescent="0.25">
      <c r="E31" s="36">
        <v>3</v>
      </c>
      <c r="F31" s="36">
        <v>5</v>
      </c>
    </row>
    <row r="32" spans="5:20" x14ac:dyDescent="0.25">
      <c r="E32" s="36">
        <v>5</v>
      </c>
      <c r="F32" s="36">
        <v>5</v>
      </c>
    </row>
    <row r="33" spans="5:16" x14ac:dyDescent="0.25">
      <c r="E33" s="36">
        <v>5</v>
      </c>
      <c r="F33" s="36">
        <v>5</v>
      </c>
    </row>
    <row r="34" spans="5:16" x14ac:dyDescent="0.25">
      <c r="E34" s="36">
        <v>2</v>
      </c>
      <c r="F34" s="36">
        <v>5</v>
      </c>
    </row>
    <row r="35" spans="5:16" x14ac:dyDescent="0.25">
      <c r="E35" s="36">
        <v>4</v>
      </c>
      <c r="F35" s="36">
        <v>4</v>
      </c>
    </row>
    <row r="36" spans="5:16" x14ac:dyDescent="0.25">
      <c r="E36" s="36">
        <v>4</v>
      </c>
      <c r="F36" s="36">
        <v>4</v>
      </c>
    </row>
    <row r="37" spans="5:16" x14ac:dyDescent="0.25">
      <c r="E37" s="36">
        <v>4</v>
      </c>
      <c r="F37" s="36">
        <v>4</v>
      </c>
    </row>
    <row r="38" spans="5:16" x14ac:dyDescent="0.25">
      <c r="E38" s="36">
        <v>3</v>
      </c>
      <c r="F38" s="36">
        <v>2</v>
      </c>
    </row>
    <row r="39" spans="5:16" x14ac:dyDescent="0.25">
      <c r="E39" s="36">
        <v>3</v>
      </c>
      <c r="F39" s="36">
        <v>3</v>
      </c>
    </row>
    <row r="40" spans="5:16" x14ac:dyDescent="0.25">
      <c r="E40" s="36">
        <v>4</v>
      </c>
      <c r="F40" s="36">
        <v>4</v>
      </c>
    </row>
    <row r="41" spans="5:16" x14ac:dyDescent="0.25">
      <c r="E41" s="36">
        <v>3</v>
      </c>
      <c r="F41" s="36">
        <v>2</v>
      </c>
    </row>
    <row r="42" spans="5:16" x14ac:dyDescent="0.25">
      <c r="E42" s="36">
        <v>3</v>
      </c>
      <c r="F42" s="36">
        <v>3</v>
      </c>
    </row>
    <row r="43" spans="5:16" x14ac:dyDescent="0.25">
      <c r="E43" s="36">
        <v>3</v>
      </c>
      <c r="F43" s="36">
        <v>3</v>
      </c>
    </row>
    <row r="44" spans="5:16" x14ac:dyDescent="0.25">
      <c r="E44" s="36">
        <v>3</v>
      </c>
      <c r="F44" s="36">
        <v>5</v>
      </c>
    </row>
    <row r="45" spans="5:16" x14ac:dyDescent="0.25">
      <c r="E45" s="36">
        <v>4</v>
      </c>
      <c r="F45" s="36">
        <v>3</v>
      </c>
    </row>
    <row r="46" spans="5:16" x14ac:dyDescent="0.25">
      <c r="E46" s="36">
        <v>3</v>
      </c>
      <c r="F46" s="36">
        <v>2</v>
      </c>
    </row>
    <row r="47" spans="5:16" x14ac:dyDescent="0.25">
      <c r="E47" s="36">
        <v>3</v>
      </c>
      <c r="F47" s="36">
        <v>4</v>
      </c>
      <c r="K47" s="9" t="s">
        <v>133</v>
      </c>
    </row>
    <row r="48" spans="5:16" x14ac:dyDescent="0.25">
      <c r="E48" s="36">
        <v>1</v>
      </c>
      <c r="F48" s="36">
        <v>4</v>
      </c>
      <c r="K48" s="9" t="s">
        <v>134</v>
      </c>
      <c r="M48" s="9" t="s">
        <v>126</v>
      </c>
      <c r="N48" s="9" t="s">
        <v>127</v>
      </c>
      <c r="P48" s="9" t="s">
        <v>128</v>
      </c>
    </row>
    <row r="49" spans="5:20" x14ac:dyDescent="0.25">
      <c r="E49" s="36">
        <v>4</v>
      </c>
      <c r="F49" s="36">
        <v>4</v>
      </c>
      <c r="M49">
        <f>+(L18+L19)/L20</f>
        <v>0.5</v>
      </c>
      <c r="N49">
        <f>+(S18+S19)/S20</f>
        <v>0.66666666666666663</v>
      </c>
      <c r="P49">
        <f>+(L18+L19+S18+S19)/120</f>
        <v>0.58333333333333337</v>
      </c>
    </row>
    <row r="50" spans="5:20" x14ac:dyDescent="0.25">
      <c r="E50" s="36">
        <v>5</v>
      </c>
      <c r="F50" s="36">
        <v>5</v>
      </c>
    </row>
    <row r="51" spans="5:20" x14ac:dyDescent="0.25">
      <c r="E51" s="36">
        <v>2</v>
      </c>
      <c r="F51" s="36">
        <v>4</v>
      </c>
    </row>
    <row r="52" spans="5:20" x14ac:dyDescent="0.25">
      <c r="E52" s="36">
        <v>3</v>
      </c>
      <c r="F52" s="36">
        <v>4</v>
      </c>
      <c r="K52" s="86" t="s">
        <v>245</v>
      </c>
      <c r="L52" s="9" t="s">
        <v>164</v>
      </c>
      <c r="M52">
        <v>-1.8515999999999999</v>
      </c>
      <c r="N52" s="9"/>
    </row>
    <row r="53" spans="5:20" x14ac:dyDescent="0.25">
      <c r="E53" s="36">
        <v>3</v>
      </c>
      <c r="F53" s="36">
        <v>3</v>
      </c>
    </row>
    <row r="54" spans="5:20" x14ac:dyDescent="0.25">
      <c r="E54" s="36">
        <v>4</v>
      </c>
      <c r="F54" s="36">
        <v>4</v>
      </c>
      <c r="L54" s="9" t="s">
        <v>165</v>
      </c>
      <c r="M54">
        <v>0.05</v>
      </c>
      <c r="N54">
        <f>+NORMSINV(M54)</f>
        <v>-1.6448536269514726</v>
      </c>
      <c r="O54" s="87" t="s">
        <v>246</v>
      </c>
    </row>
    <row r="55" spans="5:20" x14ac:dyDescent="0.25">
      <c r="E55" s="36">
        <v>3</v>
      </c>
      <c r="F55" s="36">
        <v>3</v>
      </c>
    </row>
    <row r="56" spans="5:20" x14ac:dyDescent="0.25">
      <c r="E56" s="36">
        <v>2</v>
      </c>
      <c r="F56" s="36">
        <v>5</v>
      </c>
    </row>
    <row r="57" spans="5:20" x14ac:dyDescent="0.25">
      <c r="E57" s="36">
        <v>4</v>
      </c>
      <c r="F57" s="36">
        <v>3</v>
      </c>
    </row>
    <row r="58" spans="5:20" x14ac:dyDescent="0.25">
      <c r="E58" s="36">
        <v>3</v>
      </c>
      <c r="F58" s="36">
        <v>3</v>
      </c>
      <c r="L58" s="103" t="s">
        <v>166</v>
      </c>
      <c r="M58" s="103"/>
      <c r="N58" s="103"/>
      <c r="O58" s="103"/>
      <c r="R58">
        <v>-1.8515999999999999</v>
      </c>
      <c r="T58">
        <v>-1.6448</v>
      </c>
    </row>
    <row r="59" spans="5:20" x14ac:dyDescent="0.25">
      <c r="E59" s="36">
        <v>4</v>
      </c>
      <c r="F59" s="36">
        <v>5</v>
      </c>
      <c r="L59" s="103"/>
      <c r="M59" s="103"/>
      <c r="N59" s="103"/>
      <c r="O59" s="103"/>
    </row>
    <row r="60" spans="5:20" x14ac:dyDescent="0.25">
      <c r="E60" s="36">
        <v>4</v>
      </c>
      <c r="F60" s="36">
        <v>5</v>
      </c>
      <c r="L60" s="103"/>
      <c r="M60" s="103"/>
      <c r="N60" s="103"/>
      <c r="O60" s="103"/>
    </row>
    <row r="61" spans="5:20" x14ac:dyDescent="0.25">
      <c r="E61" s="36">
        <v>3</v>
      </c>
      <c r="F61" s="36">
        <v>4</v>
      </c>
      <c r="L61" s="103"/>
      <c r="M61" s="103"/>
      <c r="N61" s="103"/>
      <c r="O61" s="103"/>
    </row>
    <row r="62" spans="5:20" x14ac:dyDescent="0.25">
      <c r="E62" s="36">
        <v>3</v>
      </c>
      <c r="F62" s="36">
        <v>3</v>
      </c>
    </row>
    <row r="63" spans="5:20" x14ac:dyDescent="0.25">
      <c r="E63" s="36">
        <v>4</v>
      </c>
      <c r="F63" s="36">
        <v>4</v>
      </c>
    </row>
    <row r="64" spans="5:20" x14ac:dyDescent="0.25">
      <c r="E64" s="36">
        <v>3</v>
      </c>
      <c r="F64" s="36">
        <v>2</v>
      </c>
    </row>
  </sheetData>
  <mergeCells count="1">
    <mergeCell ref="L58:O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Respuestas de formulario 1</vt:lpstr>
      <vt:lpstr>Tamaño de Muestra</vt:lpstr>
      <vt:lpstr>1. Genero y estrato</vt:lpstr>
      <vt:lpstr>2. Edad</vt:lpstr>
      <vt:lpstr>3. Cantidad streaming</vt:lpstr>
      <vt:lpstr>4.Metodos de pago</vt:lpstr>
      <vt:lpstr>5. Cantidad pedidos</vt:lpstr>
      <vt:lpstr>6. Gasto promedio</vt:lpstr>
      <vt:lpstr>7. Satisfacción envios</vt:lpstr>
      <vt:lpstr>8. Satisfacción productos</vt:lpstr>
      <vt:lpstr>9. Consumo productos</vt:lpstr>
      <vt:lpstr>10. Establecimientos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Alejandro Garcia Marcos</dc:creator>
  <cp:lastModifiedBy>Jose Alejandro Garcia Marcos</cp:lastModifiedBy>
  <dcterms:created xsi:type="dcterms:W3CDTF">2021-04-14T03:22:04Z</dcterms:created>
  <dcterms:modified xsi:type="dcterms:W3CDTF">2021-04-25T01:17:35Z</dcterms:modified>
</cp:coreProperties>
</file>