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Mariusz\Desktop\DCF\NVIDIA\"/>
    </mc:Choice>
  </mc:AlternateContent>
  <xr:revisionPtr revIDLastSave="0" documentId="13_ncr:1_{D9123BE6-BB2B-4AE4-A22E-16BD28B9FA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CF_NVIDIA" sheetId="1" r:id="rId1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2" i="1" l="1"/>
  <c r="H202" i="1" s="1"/>
  <c r="I202" i="1" s="1"/>
  <c r="J202" i="1" s="1"/>
  <c r="G200" i="1"/>
  <c r="H200" i="1" s="1"/>
  <c r="I200" i="1" s="1"/>
  <c r="J200" i="1" s="1"/>
  <c r="G201" i="1"/>
  <c r="H201" i="1" s="1"/>
  <c r="B237" i="1"/>
  <c r="B235" i="1"/>
  <c r="B221" i="1"/>
  <c r="B238" i="1"/>
  <c r="G204" i="1"/>
  <c r="H204" i="1"/>
  <c r="I204" i="1"/>
  <c r="J204" i="1"/>
  <c r="F204" i="1"/>
  <c r="F199" i="1"/>
  <c r="F193" i="1"/>
  <c r="G195" i="1"/>
  <c r="H195" i="1" s="1"/>
  <c r="I195" i="1" s="1"/>
  <c r="J195" i="1" s="1"/>
  <c r="G196" i="1"/>
  <c r="H196" i="1" s="1"/>
  <c r="I196" i="1" s="1"/>
  <c r="J196" i="1" s="1"/>
  <c r="G194" i="1"/>
  <c r="G199" i="1" l="1"/>
  <c r="I201" i="1"/>
  <c r="J201" i="1" s="1"/>
  <c r="J199" i="1" s="1"/>
  <c r="H199" i="1"/>
  <c r="I199" i="1"/>
  <c r="G193" i="1"/>
  <c r="H194" i="1"/>
  <c r="I194" i="1" l="1"/>
  <c r="H193" i="1"/>
  <c r="J194" i="1" l="1"/>
  <c r="J193" i="1" s="1"/>
  <c r="I193" i="1"/>
  <c r="B173" i="1" l="1"/>
  <c r="B171" i="1"/>
  <c r="B168" i="1"/>
  <c r="B175" i="1" s="1"/>
  <c r="E12" i="1"/>
  <c r="E193" i="1" s="1"/>
  <c r="D12" i="1"/>
  <c r="D193" i="1" s="1"/>
  <c r="B222" i="1"/>
  <c r="B234" i="1" s="1"/>
  <c r="B236" i="1" s="1"/>
  <c r="G5" i="1"/>
  <c r="H5" i="1" s="1"/>
  <c r="I5" i="1" s="1"/>
  <c r="J5" i="1" s="1"/>
  <c r="D192" i="1"/>
  <c r="E192" i="1"/>
  <c r="F192" i="1" s="1"/>
  <c r="F135" i="1" s="1"/>
  <c r="G131" i="1" s="1"/>
  <c r="D198" i="1"/>
  <c r="E198" i="1"/>
  <c r="C198" i="1"/>
  <c r="C193" i="1"/>
  <c r="C192" i="1"/>
  <c r="C136" i="1"/>
  <c r="D142" i="1"/>
  <c r="E139" i="1" s="1"/>
  <c r="E142" i="1"/>
  <c r="F139" i="1" s="1"/>
  <c r="F140" i="1" s="1"/>
  <c r="F142" i="1" s="1"/>
  <c r="G139" i="1" s="1"/>
  <c r="G140" i="1" s="1"/>
  <c r="G142" i="1" s="1"/>
  <c r="H139" i="1" s="1"/>
  <c r="H140" i="1" s="1"/>
  <c r="C142" i="1"/>
  <c r="D139" i="1" s="1"/>
  <c r="D150" i="1"/>
  <c r="E150" i="1"/>
  <c r="C150" i="1"/>
  <c r="D147" i="1"/>
  <c r="E147" i="1"/>
  <c r="F147" i="1" s="1"/>
  <c r="D148" i="1"/>
  <c r="E148" i="1"/>
  <c r="C148" i="1"/>
  <c r="C147" i="1"/>
  <c r="D155" i="1"/>
  <c r="D156" i="1" s="1"/>
  <c r="E155" i="1"/>
  <c r="E156" i="1" s="1"/>
  <c r="D157" i="1"/>
  <c r="D158" i="1" s="1"/>
  <c r="E157" i="1"/>
  <c r="E158" i="1" s="1"/>
  <c r="D159" i="1"/>
  <c r="D160" i="1" s="1"/>
  <c r="E159" i="1"/>
  <c r="E160" i="1" s="1"/>
  <c r="C159" i="1"/>
  <c r="C160" i="1" s="1"/>
  <c r="C157" i="1"/>
  <c r="C158" i="1" s="1"/>
  <c r="C155" i="1"/>
  <c r="C156" i="1" s="1"/>
  <c r="F157" i="1" l="1"/>
  <c r="F159" i="1"/>
  <c r="G192" i="1"/>
  <c r="G135" i="1" s="1"/>
  <c r="H131" i="1" s="1"/>
  <c r="F155" i="1"/>
  <c r="B177" i="1"/>
  <c r="B172" i="1"/>
  <c r="B176" i="1" s="1"/>
  <c r="D199" i="1"/>
  <c r="D140" i="1"/>
  <c r="D141" i="1" s="1"/>
  <c r="C199" i="1"/>
  <c r="E199" i="1"/>
  <c r="E140" i="1"/>
  <c r="E141" i="1" s="1"/>
  <c r="C149" i="1"/>
  <c r="D151" i="1" s="1"/>
  <c r="H142" i="1"/>
  <c r="D149" i="1"/>
  <c r="E151" i="1" s="1"/>
  <c r="E149" i="1"/>
  <c r="D161" i="1"/>
  <c r="F148" i="1"/>
  <c r="G147" i="1"/>
  <c r="C161" i="1"/>
  <c r="E161" i="1"/>
  <c r="G157" i="1" l="1"/>
  <c r="G159" i="1"/>
  <c r="H192" i="1"/>
  <c r="H135" i="1" s="1"/>
  <c r="I131" i="1" s="1"/>
  <c r="G155" i="1"/>
  <c r="B178" i="1"/>
  <c r="B180" i="1" s="1"/>
  <c r="B186" i="1" s="1"/>
  <c r="I139" i="1"/>
  <c r="I140" i="1" s="1"/>
  <c r="I142" i="1" s="1"/>
  <c r="H147" i="1"/>
  <c r="G148" i="1"/>
  <c r="H157" i="1" l="1"/>
  <c r="H159" i="1"/>
  <c r="I192" i="1"/>
  <c r="I135" i="1" s="1"/>
  <c r="J131" i="1" s="1"/>
  <c r="H155" i="1"/>
  <c r="C248" i="1"/>
  <c r="C247" i="1" s="1"/>
  <c r="C251" i="1"/>
  <c r="C250" i="1"/>
  <c r="G215" i="1"/>
  <c r="H215" i="1"/>
  <c r="J215" i="1"/>
  <c r="F215" i="1"/>
  <c r="I215" i="1"/>
  <c r="J139" i="1"/>
  <c r="J140" i="1" s="1"/>
  <c r="J142" i="1" s="1"/>
  <c r="H148" i="1"/>
  <c r="I147" i="1"/>
  <c r="F131" i="1"/>
  <c r="E135" i="1"/>
  <c r="E136" i="1" s="1"/>
  <c r="E131" i="1"/>
  <c r="D135" i="1"/>
  <c r="D136" i="1" s="1"/>
  <c r="D131" i="1"/>
  <c r="D132" i="1"/>
  <c r="E132" i="1"/>
  <c r="I157" i="1" l="1"/>
  <c r="I159" i="1"/>
  <c r="J192" i="1"/>
  <c r="I155" i="1"/>
  <c r="J147" i="1"/>
  <c r="I148" i="1"/>
  <c r="D134" i="1"/>
  <c r="F132" i="1"/>
  <c r="F207" i="1" s="1"/>
  <c r="E134" i="1"/>
  <c r="J159" i="1" l="1"/>
  <c r="J135" i="1"/>
  <c r="J155" i="1"/>
  <c r="J157" i="1"/>
  <c r="D133" i="1"/>
  <c r="J148" i="1"/>
  <c r="E133" i="1"/>
  <c r="C31" i="1"/>
  <c r="C204" i="1" s="1"/>
  <c r="D31" i="1"/>
  <c r="D204" i="1" s="1"/>
  <c r="E31" i="1"/>
  <c r="E204" i="1" s="1"/>
  <c r="C20" i="1"/>
  <c r="D20" i="1"/>
  <c r="E20" i="1"/>
  <c r="C18" i="1"/>
  <c r="D18" i="1"/>
  <c r="E18" i="1"/>
  <c r="F198" i="1"/>
  <c r="D16" i="1"/>
  <c r="E16" i="1"/>
  <c r="C16" i="1"/>
  <c r="D14" i="1"/>
  <c r="E14" i="1"/>
  <c r="C14" i="1"/>
  <c r="G198" i="1" l="1"/>
  <c r="H198" i="1" l="1"/>
  <c r="I198" i="1" l="1"/>
  <c r="F161" i="1"/>
  <c r="F211" i="1" s="1"/>
  <c r="G161" i="1" l="1"/>
  <c r="G211" i="1" s="1"/>
  <c r="J198" i="1" l="1"/>
  <c r="G205" i="1"/>
  <c r="H161" i="1"/>
  <c r="H211" i="1" s="1"/>
  <c r="I149" i="1"/>
  <c r="I150" i="1" s="1"/>
  <c r="G149" i="1"/>
  <c r="G150" i="1" s="1"/>
  <c r="F149" i="1"/>
  <c r="F150" i="1" s="1"/>
  <c r="J149" i="1"/>
  <c r="J150" i="1" s="1"/>
  <c r="H149" i="1"/>
  <c r="H150" i="1" s="1"/>
  <c r="I161" i="1" l="1"/>
  <c r="I211" i="1" s="1"/>
  <c r="J161" i="1"/>
  <c r="H205" i="1"/>
  <c r="I205" i="1"/>
  <c r="J211" i="1" l="1"/>
  <c r="J205" i="1" l="1"/>
  <c r="G132" i="1" l="1"/>
  <c r="F134" i="1"/>
  <c r="F209" i="1" s="1"/>
  <c r="J132" i="1"/>
  <c r="I132" i="1"/>
  <c r="H132" i="1"/>
  <c r="J134" i="1" l="1"/>
  <c r="J209" i="1" s="1"/>
  <c r="J207" i="1"/>
  <c r="H134" i="1"/>
  <c r="H209" i="1" s="1"/>
  <c r="H207" i="1"/>
  <c r="I134" i="1"/>
  <c r="I209" i="1" s="1"/>
  <c r="I207" i="1"/>
  <c r="G134" i="1"/>
  <c r="G209" i="1" s="1"/>
  <c r="G207" i="1"/>
  <c r="G213" i="1" l="1"/>
  <c r="G216" i="1" s="1"/>
  <c r="I213" i="1"/>
  <c r="I216" i="1" s="1"/>
  <c r="H213" i="1"/>
  <c r="H216" i="1" s="1"/>
  <c r="J213" i="1"/>
  <c r="J216" i="1" s="1"/>
  <c r="B218" i="1" s="1"/>
  <c r="B219" i="1" s="1"/>
  <c r="F205" i="1" l="1"/>
  <c r="F213" i="1" s="1"/>
  <c r="F216" i="1" s="1"/>
  <c r="B220" i="1" s="1"/>
  <c r="B223" i="1" l="1"/>
  <c r="B225" i="1" s="1"/>
  <c r="B227" i="1" s="1"/>
  <c r="B239" i="1" l="1"/>
  <c r="B240" i="1"/>
  <c r="B228" i="1"/>
  <c r="C246" i="1"/>
</calcChain>
</file>

<file path=xl/sharedStrings.xml><?xml version="1.0" encoding="utf-8"?>
<sst xmlns="http://schemas.openxmlformats.org/spreadsheetml/2006/main" count="208" uniqueCount="185">
  <si>
    <t>Revenue</t>
  </si>
  <si>
    <t>Cost of revenue</t>
  </si>
  <si>
    <t>Gross profit</t>
  </si>
  <si>
    <t>Research and development</t>
  </si>
  <si>
    <t>Sales, general and administrative</t>
  </si>
  <si>
    <t>Acquisition termination cost</t>
  </si>
  <si>
    <t>Operating expenses</t>
  </si>
  <si>
    <t>Operating income</t>
  </si>
  <si>
    <t>Interest income</t>
  </si>
  <si>
    <t>Interest expense</t>
  </si>
  <si>
    <t>Other, net</t>
  </si>
  <si>
    <t>Other income (expense), net</t>
  </si>
  <si>
    <t>Income before income tax</t>
  </si>
  <si>
    <t>Income tax (expense) benefit</t>
  </si>
  <si>
    <t>Net income</t>
  </si>
  <si>
    <t>Cash and cash equivalents</t>
  </si>
  <si>
    <t>Marketable securities</t>
  </si>
  <si>
    <t>Accounts receivable, net</t>
  </si>
  <si>
    <t>Inventories</t>
  </si>
  <si>
    <t>Prepaid expenses and other current assets</t>
  </si>
  <si>
    <t>Current assets</t>
  </si>
  <si>
    <t>Property and equipment, net</t>
  </si>
  <si>
    <t>Operating lease assets</t>
  </si>
  <si>
    <t>Goodwill</t>
  </si>
  <si>
    <t>Intangible assets, net</t>
  </si>
  <si>
    <t>Deferred income tax assets</t>
  </si>
  <si>
    <t>Prepaid supply and capacity agreements</t>
  </si>
  <si>
    <t>Investment in non-affiliated entities</t>
  </si>
  <si>
    <t>Prepaid royalties</t>
  </si>
  <si>
    <t>Advanced consideration for acquisition</t>
  </si>
  <si>
    <t>Other</t>
  </si>
  <si>
    <t>Other assets</t>
  </si>
  <si>
    <t>Long-term assets</t>
  </si>
  <si>
    <t>Total assets</t>
  </si>
  <si>
    <t>Accounts payable</t>
  </si>
  <si>
    <t>Customer program accruals</t>
  </si>
  <si>
    <t>Excess inventory purchase obligations</t>
  </si>
  <si>
    <t>Deferred revenue</t>
  </si>
  <si>
    <t>Accrued payroll and related expenses</t>
  </si>
  <si>
    <t>Product warranty and return provisions</t>
  </si>
  <si>
    <t>Taxes payable</t>
  </si>
  <si>
    <t>Short-term operating lease liabilities</t>
  </si>
  <si>
    <t>Unsettled share repurchases</t>
  </si>
  <si>
    <t>Licenses and royalties</t>
  </si>
  <si>
    <t>Accrued and other current liabilities</t>
  </si>
  <si>
    <t>Short-term debt</t>
  </si>
  <si>
    <t>Current liabilities</t>
  </si>
  <si>
    <t>Long-term debt</t>
  </si>
  <si>
    <t>Long-term operating lease liabilities</t>
  </si>
  <si>
    <t>Income tax payable</t>
  </si>
  <si>
    <t>Deferred income tax</t>
  </si>
  <si>
    <t>Licenses payable</t>
  </si>
  <si>
    <t>Other long-term liabilities</t>
  </si>
  <si>
    <t>Long-term liabilities</t>
  </si>
  <si>
    <t>Total liabilities</t>
  </si>
  <si>
    <t>Preferred stock, $.001 par value; none issued</t>
  </si>
  <si>
    <t>Common stock, $.001 par value</t>
  </si>
  <si>
    <t>Additional paid-in capital</t>
  </si>
  <si>
    <t>Treasury stock, at cost</t>
  </si>
  <si>
    <t>Accumulated other comprehensive income (loss)</t>
  </si>
  <si>
    <t>Retained earnings</t>
  </si>
  <si>
    <t>Shareholders’ equity</t>
  </si>
  <si>
    <t>Total liabilities and shareholders’ equity</t>
  </si>
  <si>
    <t>PPE, BoP</t>
  </si>
  <si>
    <t>PPE, EoP</t>
  </si>
  <si>
    <t>D&amp;A</t>
  </si>
  <si>
    <t>Stock-based compensation expense</t>
  </si>
  <si>
    <t>Depreciation and amortization</t>
  </si>
  <si>
    <t>Deferred income taxes</t>
  </si>
  <si>
    <t>(Gains) losses on investments in non-affiliates, net</t>
  </si>
  <si>
    <t>Accounts receivable</t>
  </si>
  <si>
    <t>Prepaid expenses and other assets</t>
  </si>
  <si>
    <t>Changes in operating assets and liabilities, net of acquisitions</t>
  </si>
  <si>
    <t>Adjustments to reconcile net income to net cash provided by operating activities</t>
  </si>
  <si>
    <t>Net cash provided by operating activities</t>
  </si>
  <si>
    <t>Proceeds from maturities of marketable securities</t>
  </si>
  <si>
    <t>Proceeds from sales of marketable securities</t>
  </si>
  <si>
    <t>Purchases of marketable securities</t>
  </si>
  <si>
    <t>Purchases related to property and equipment and intangible assets</t>
  </si>
  <si>
    <t>Acquisitions, net of cash acquired</t>
  </si>
  <si>
    <t>Investments in non-affiliated entities and other, net</t>
  </si>
  <si>
    <t>Net cash (used in) provided by investing activities</t>
  </si>
  <si>
    <t>Proceeds related to employee stock plans</t>
  </si>
  <si>
    <t>Payments related to repurchases of common stock</t>
  </si>
  <si>
    <t>Payments related to tax on restricted stock units</t>
  </si>
  <si>
    <t>Repayment of debt</t>
  </si>
  <si>
    <t>Dividends paid</t>
  </si>
  <si>
    <t>Principal payments on property and equipment and intangible assets</t>
  </si>
  <si>
    <t>Issuance of debt, net of issuance costs</t>
  </si>
  <si>
    <t>Net cash provided by (used in) financing activities</t>
  </si>
  <si>
    <t>Change in cash and cash equivalents</t>
  </si>
  <si>
    <t>Cash and cash equivalents at beginning of period</t>
  </si>
  <si>
    <t>Cash and cash equivalents at end of period</t>
  </si>
  <si>
    <t>CapEx</t>
  </si>
  <si>
    <t>Debt Schedule</t>
  </si>
  <si>
    <t>Net Working Capital Schedule</t>
  </si>
  <si>
    <t>Accounts Receivables Turnover</t>
  </si>
  <si>
    <t>Accounts Payables Turnover</t>
  </si>
  <si>
    <t>Net Working Capital</t>
  </si>
  <si>
    <t>Accounts Receivable</t>
  </si>
  <si>
    <t>Inventories Turnover</t>
  </si>
  <si>
    <t>Accounts Payable</t>
  </si>
  <si>
    <t>Debt, BoP</t>
  </si>
  <si>
    <t>Debt, EoP</t>
  </si>
  <si>
    <t>Interest</t>
  </si>
  <si>
    <t>Short-termDebt</t>
  </si>
  <si>
    <t>Long-Term Debt</t>
  </si>
  <si>
    <t>Interest [%]</t>
  </si>
  <si>
    <t>Depreciation</t>
  </si>
  <si>
    <t>Intangibles</t>
  </si>
  <si>
    <t>Intangibles, BoP</t>
  </si>
  <si>
    <t>Intangibles, EoP</t>
  </si>
  <si>
    <t>Amortization</t>
  </si>
  <si>
    <t>Depreciation [%]</t>
  </si>
  <si>
    <t>Amortization [%]</t>
  </si>
  <si>
    <t>PPE Turnover</t>
  </si>
  <si>
    <t>Revenue [%]</t>
  </si>
  <si>
    <t>EBIT</t>
  </si>
  <si>
    <t>EBIT [%]</t>
  </si>
  <si>
    <t>Tax Rate [%]</t>
  </si>
  <si>
    <t>Unlevered Free Cash Flows</t>
  </si>
  <si>
    <t>Discounting Factor [WACC]</t>
  </si>
  <si>
    <t>Discounted Cash Flows</t>
  </si>
  <si>
    <t>WACC</t>
  </si>
  <si>
    <t xml:space="preserve">Scenario </t>
  </si>
  <si>
    <t>Tax Rate [% of ]</t>
  </si>
  <si>
    <t>2024A</t>
  </si>
  <si>
    <t>2023A</t>
  </si>
  <si>
    <t>2022A</t>
  </si>
  <si>
    <t>2025E</t>
  </si>
  <si>
    <t>2026E</t>
  </si>
  <si>
    <t>2027E</t>
  </si>
  <si>
    <t>2028E</t>
  </si>
  <si>
    <t>2029E</t>
  </si>
  <si>
    <t>Enterprise Value [$M]</t>
  </si>
  <si>
    <t>Equity Value [$M]</t>
  </si>
  <si>
    <t>Implied Stock Price [$]</t>
  </si>
  <si>
    <t>Current Price [$]</t>
  </si>
  <si>
    <t>Diluted Shares [M]</t>
  </si>
  <si>
    <t>(+) Cash [$M]</t>
  </si>
  <si>
    <t>(-) Debt [$M]</t>
  </si>
  <si>
    <t>Terminal Value [$M]</t>
  </si>
  <si>
    <t>Discounted Terminal Value [$M]</t>
  </si>
  <si>
    <t>Upside/Downside Opportunity [%]</t>
  </si>
  <si>
    <t>NOPAT</t>
  </si>
  <si>
    <t>PPE &amp; Intangibles Schedule</t>
  </si>
  <si>
    <t>Income Statement</t>
  </si>
  <si>
    <t>Equity &amp; Liabilities</t>
  </si>
  <si>
    <t>Assets</t>
  </si>
  <si>
    <t>Cash Flow Statement</t>
  </si>
  <si>
    <t>Beta</t>
  </si>
  <si>
    <t>Risk Free Rate [%]</t>
  </si>
  <si>
    <t>Cost of Equity [%]</t>
  </si>
  <si>
    <t>Cost of Debt [%]</t>
  </si>
  <si>
    <t>Debt [$M]</t>
  </si>
  <si>
    <t>Interest [$M]</t>
  </si>
  <si>
    <t>Market Return Rate [%]</t>
  </si>
  <si>
    <t>Market Risk Premium [%]</t>
  </si>
  <si>
    <t>Equity [% of Capitalization]</t>
  </si>
  <si>
    <t>Debt [% of Capitalization]</t>
  </si>
  <si>
    <t>Equity [$M]</t>
  </si>
  <si>
    <t>Total [$M]</t>
  </si>
  <si>
    <t>Undervalued/Overvalued</t>
  </si>
  <si>
    <t>Optimistic</t>
  </si>
  <si>
    <t>Base</t>
  </si>
  <si>
    <t>Conservative</t>
  </si>
  <si>
    <t>WACC [%]</t>
  </si>
  <si>
    <t>Perpetual Growth Rate [%]</t>
  </si>
  <si>
    <t>DCF Calculations</t>
  </si>
  <si>
    <t>Change in Net Working Capital</t>
  </si>
  <si>
    <t>Scenario Analysis</t>
  </si>
  <si>
    <t>Important Notes</t>
  </si>
  <si>
    <t>DCF Assumptions</t>
  </si>
  <si>
    <t>DCF Model</t>
  </si>
  <si>
    <t>Multiples</t>
  </si>
  <si>
    <t>Enterprise Value</t>
  </si>
  <si>
    <t>EBITDA</t>
  </si>
  <si>
    <t>EV/EBITDA [x1.0]</t>
  </si>
  <si>
    <t>EV/EBIT [x1.0]</t>
  </si>
  <si>
    <t>Cash [$M]</t>
  </si>
  <si>
    <t>Market Capitalization [$M]</t>
  </si>
  <si>
    <t>This file is for educational purposes only and should not be used for any other reason.</t>
  </si>
  <si>
    <t>This file cannot be considered investment advice.</t>
  </si>
  <si>
    <t>Disclaimer #1:</t>
  </si>
  <si>
    <t>Disclaimer #2: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</si>
</sst>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);\(#,##0\);&quot;—&quot;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252525"/>
      <name val="Calibri"/>
      <family val="2"/>
      <charset val="238"/>
    </font>
    <font>
      <b/>
      <sz val="11"/>
      <color rgb="FF252525"/>
      <name val="Calibri"/>
      <family val="2"/>
      <charset val="238"/>
    </font>
    <font>
      <i/>
      <sz val="11"/>
      <color rgb="FF252525"/>
      <name val="Calibri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1"/>
      <color rgb="FF252525"/>
      <name val="Calibri"/>
      <family val="2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</font>
    <font>
      <i/>
      <sz val="1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ashed">
        <color auto="1"/>
      </right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</cellStyleXfs>
  <cellXfs count="142">
    <xf numFmtId="0" fontId="0" fillId="0" borderId="0" xfId="0"/>
    <xf numFmtId="0" fontId="14" fillId="2" borderId="0" xfId="0" applyFont="1" applyFill="1"/>
    <xf numFmtId="0" fontId="12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164" fontId="4" fillId="3" borderId="0" xfId="3" applyNumberFormat="1" applyFill="1" applyAlignment="1">
      <alignment horizontal="right"/>
    </xf>
    <xf numFmtId="165" fontId="0" fillId="3" borderId="0" xfId="1" applyNumberFormat="1" applyFont="1" applyFill="1" applyAlignment="1">
      <alignment wrapText="1"/>
    </xf>
    <xf numFmtId="10" fontId="7" fillId="3" borderId="0" xfId="2" applyNumberFormat="1" applyFont="1" applyFill="1" applyAlignment="1">
      <alignment wrapText="1"/>
    </xf>
    <xf numFmtId="10" fontId="7" fillId="3" borderId="0" xfId="0" applyNumberFormat="1" applyFont="1" applyFill="1" applyAlignment="1">
      <alignment wrapText="1"/>
    </xf>
    <xf numFmtId="165" fontId="0" fillId="3" borderId="0" xfId="0" applyNumberFormat="1" applyFill="1" applyAlignment="1">
      <alignment wrapText="1"/>
    </xf>
    <xf numFmtId="10" fontId="0" fillId="3" borderId="0" xfId="0" applyNumberFormat="1" applyFill="1" applyAlignment="1">
      <alignment wrapText="1"/>
    </xf>
    <xf numFmtId="9" fontId="0" fillId="3" borderId="0" xfId="0" applyNumberFormat="1" applyFill="1" applyAlignment="1">
      <alignment wrapText="1"/>
    </xf>
    <xf numFmtId="165" fontId="3" fillId="3" borderId="0" xfId="1" applyNumberFormat="1" applyFont="1" applyFill="1" applyAlignment="1">
      <alignment wrapText="1"/>
    </xf>
    <xf numFmtId="165" fontId="2" fillId="3" borderId="0" xfId="1" applyNumberFormat="1" applyFont="1" applyFill="1" applyAlignment="1">
      <alignment wrapText="1"/>
    </xf>
    <xf numFmtId="9" fontId="0" fillId="3" borderId="0" xfId="2" applyFont="1" applyFill="1" applyAlignment="1">
      <alignment wrapText="1"/>
    </xf>
    <xf numFmtId="0" fontId="4" fillId="3" borderId="0" xfId="3" applyFill="1" applyAlignment="1">
      <alignment horizontal="left" wrapText="1" indent="1"/>
    </xf>
    <xf numFmtId="0" fontId="5" fillId="3" borderId="0" xfId="3" applyFont="1" applyFill="1" applyAlignment="1">
      <alignment horizontal="left" wrapText="1" indent="2"/>
    </xf>
    <xf numFmtId="165" fontId="0" fillId="3" borderId="0" xfId="0" applyNumberFormat="1" applyFill="1"/>
    <xf numFmtId="164" fontId="0" fillId="3" borderId="0" xfId="0" applyNumberFormat="1" applyFill="1"/>
    <xf numFmtId="0" fontId="4" fillId="3" borderId="0" xfId="3" applyFill="1" applyAlignment="1">
      <alignment horizontal="left" wrapText="1" indent="2"/>
    </xf>
    <xf numFmtId="0" fontId="5" fillId="3" borderId="0" xfId="3" applyFont="1" applyFill="1" applyAlignment="1">
      <alignment horizontal="left" wrapText="1" indent="3"/>
    </xf>
    <xf numFmtId="0" fontId="5" fillId="3" borderId="0" xfId="3" applyFont="1" applyFill="1" applyAlignment="1">
      <alignment horizontal="left" wrapText="1" indent="1"/>
    </xf>
    <xf numFmtId="0" fontId="5" fillId="3" borderId="0" xfId="3" applyFont="1" applyFill="1" applyAlignment="1">
      <alignment horizontal="left" wrapText="1" indent="4"/>
    </xf>
    <xf numFmtId="164" fontId="5" fillId="3" borderId="0" xfId="3" applyNumberFormat="1" applyFont="1" applyFill="1" applyAlignment="1">
      <alignment horizontal="right"/>
    </xf>
    <xf numFmtId="0" fontId="3" fillId="3" borderId="0" xfId="0" applyFont="1" applyFill="1"/>
    <xf numFmtId="164" fontId="3" fillId="3" borderId="0" xfId="0" applyNumberFormat="1" applyFont="1" applyFill="1"/>
    <xf numFmtId="165" fontId="3" fillId="3" borderId="0" xfId="0" applyNumberFormat="1" applyFont="1" applyFill="1"/>
    <xf numFmtId="0" fontId="11" fillId="3" borderId="0" xfId="0" applyFont="1" applyFill="1"/>
    <xf numFmtId="10" fontId="11" fillId="3" borderId="0" xfId="2" applyNumberFormat="1" applyFont="1" applyFill="1"/>
    <xf numFmtId="0" fontId="0" fillId="4" borderId="1" xfId="0" applyFill="1" applyBorder="1"/>
    <xf numFmtId="165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4" borderId="1" xfId="0" applyNumberFormat="1" applyFill="1" applyBorder="1"/>
    <xf numFmtId="164" fontId="0" fillId="3" borderId="1" xfId="0" applyNumberFormat="1" applyFill="1" applyBorder="1"/>
    <xf numFmtId="165" fontId="0" fillId="4" borderId="1" xfId="1" applyNumberFormat="1" applyFont="1" applyFill="1" applyBorder="1"/>
    <xf numFmtId="10" fontId="11" fillId="3" borderId="1" xfId="2" applyNumberFormat="1" applyFont="1" applyFill="1" applyBorder="1"/>
    <xf numFmtId="10" fontId="11" fillId="3" borderId="1" xfId="0" applyNumberFormat="1" applyFont="1" applyFill="1" applyBorder="1"/>
    <xf numFmtId="165" fontId="0" fillId="3" borderId="1" xfId="0" applyNumberFormat="1" applyFill="1" applyBorder="1"/>
    <xf numFmtId="10" fontId="7" fillId="3" borderId="1" xfId="2" applyNumberFormat="1" applyFont="1" applyFill="1" applyBorder="1"/>
    <xf numFmtId="0" fontId="0" fillId="2" borderId="0" xfId="0" applyFill="1"/>
    <xf numFmtId="164" fontId="12" fillId="2" borderId="0" xfId="0" applyNumberFormat="1" applyFont="1" applyFill="1"/>
    <xf numFmtId="0" fontId="15" fillId="2" borderId="0" xfId="3" applyFont="1" applyFill="1" applyAlignment="1">
      <alignment horizontal="left" wrapText="1" indent="1"/>
    </xf>
    <xf numFmtId="164" fontId="15" fillId="2" borderId="0" xfId="3" applyNumberFormat="1" applyFont="1" applyFill="1" applyAlignment="1">
      <alignment horizontal="right"/>
    </xf>
    <xf numFmtId="0" fontId="0" fillId="3" borderId="1" xfId="0" applyFill="1" applyBorder="1"/>
    <xf numFmtId="10" fontId="7" fillId="3" borderId="0" xfId="2" applyNumberFormat="1" applyFont="1" applyFill="1" applyBorder="1"/>
    <xf numFmtId="43" fontId="0" fillId="3" borderId="1" xfId="1" applyFont="1" applyFill="1" applyBorder="1"/>
    <xf numFmtId="10" fontId="0" fillId="3" borderId="1" xfId="0" applyNumberFormat="1" applyFill="1" applyBorder="1"/>
    <xf numFmtId="10" fontId="11" fillId="3" borderId="0" xfId="2" applyNumberFormat="1" applyFont="1" applyFill="1" applyBorder="1"/>
    <xf numFmtId="0" fontId="16" fillId="3" borderId="0" xfId="0" applyFont="1" applyFill="1"/>
    <xf numFmtId="10" fontId="16" fillId="3" borderId="1" xfId="0" applyNumberFormat="1" applyFont="1" applyFill="1" applyBorder="1"/>
    <xf numFmtId="10" fontId="16" fillId="3" borderId="1" xfId="2" applyNumberFormat="1" applyFont="1" applyFill="1" applyBorder="1"/>
    <xf numFmtId="10" fontId="11" fillId="5" borderId="1" xfId="0" applyNumberFormat="1" applyFont="1" applyFill="1" applyBorder="1"/>
    <xf numFmtId="10" fontId="11" fillId="5" borderId="1" xfId="2" applyNumberFormat="1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 applyAlignment="1">
      <alignment horizontal="centerContinuous"/>
    </xf>
    <xf numFmtId="0" fontId="0" fillId="3" borderId="7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5" fontId="14" fillId="3" borderId="5" xfId="0" applyNumberFormat="1" applyFont="1" applyFill="1" applyBorder="1"/>
    <xf numFmtId="10" fontId="0" fillId="3" borderId="18" xfId="0" applyNumberFormat="1" applyFill="1" applyBorder="1"/>
    <xf numFmtId="10" fontId="0" fillId="3" borderId="19" xfId="0" applyNumberFormat="1" applyFill="1" applyBorder="1"/>
    <xf numFmtId="10" fontId="0" fillId="3" borderId="20" xfId="0" applyNumberFormat="1" applyFill="1" applyBorder="1"/>
    <xf numFmtId="10" fontId="0" fillId="3" borderId="21" xfId="0" applyNumberFormat="1" applyFill="1" applyBorder="1"/>
    <xf numFmtId="10" fontId="0" fillId="3" borderId="22" xfId="0" applyNumberFormat="1" applyFill="1" applyBorder="1"/>
    <xf numFmtId="10" fontId="0" fillId="3" borderId="23" xfId="0" applyNumberFormat="1" applyFill="1" applyBorder="1"/>
    <xf numFmtId="165" fontId="0" fillId="3" borderId="10" xfId="1" applyNumberFormat="1" applyFont="1" applyFill="1" applyBorder="1"/>
    <xf numFmtId="165" fontId="0" fillId="3" borderId="11" xfId="1" applyNumberFormat="1" applyFont="1" applyFill="1" applyBorder="1"/>
    <xf numFmtId="165" fontId="0" fillId="3" borderId="12" xfId="1" applyNumberFormat="1" applyFont="1" applyFill="1" applyBorder="1"/>
    <xf numFmtId="165" fontId="0" fillId="3" borderId="13" xfId="1" applyNumberFormat="1" applyFont="1" applyFill="1" applyBorder="1"/>
    <xf numFmtId="165" fontId="0" fillId="3" borderId="14" xfId="1" applyNumberFormat="1" applyFont="1" applyFill="1" applyBorder="1"/>
    <xf numFmtId="165" fontId="0" fillId="3" borderId="15" xfId="1" applyNumberFormat="1" applyFont="1" applyFill="1" applyBorder="1"/>
    <xf numFmtId="165" fontId="0" fillId="3" borderId="16" xfId="1" applyNumberFormat="1" applyFont="1" applyFill="1" applyBorder="1"/>
    <xf numFmtId="165" fontId="0" fillId="3" borderId="17" xfId="1" applyNumberFormat="1" applyFont="1" applyFill="1" applyBorder="1"/>
    <xf numFmtId="10" fontId="3" fillId="3" borderId="19" xfId="0" applyNumberFormat="1" applyFont="1" applyFill="1" applyBorder="1"/>
    <xf numFmtId="10" fontId="3" fillId="3" borderId="22" xfId="0" applyNumberFormat="1" applyFont="1" applyFill="1" applyBorder="1"/>
    <xf numFmtId="165" fontId="3" fillId="3" borderId="1" xfId="1" quotePrefix="1" applyNumberFormat="1" applyFont="1" applyFill="1" applyBorder="1"/>
    <xf numFmtId="0" fontId="0" fillId="3" borderId="0" xfId="0" applyFill="1" applyAlignment="1">
      <alignment horizontal="right"/>
    </xf>
    <xf numFmtId="0" fontId="1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15" fillId="2" borderId="0" xfId="3" applyFont="1" applyFill="1" applyAlignment="1">
      <alignment vertical="top" wrapText="1"/>
    </xf>
    <xf numFmtId="10" fontId="11" fillId="4" borderId="1" xfId="0" applyNumberFormat="1" applyFont="1" applyFill="1" applyBorder="1"/>
    <xf numFmtId="10" fontId="11" fillId="4" borderId="1" xfId="2" applyNumberFormat="1" applyFont="1" applyFill="1" applyBorder="1"/>
    <xf numFmtId="165" fontId="0" fillId="3" borderId="0" xfId="1" applyNumberFormat="1" applyFont="1" applyFill="1" applyBorder="1"/>
    <xf numFmtId="165" fontId="12" fillId="2" borderId="0" xfId="1" applyNumberFormat="1" applyFont="1" applyFill="1" applyBorder="1"/>
    <xf numFmtId="0" fontId="4" fillId="4" borderId="1" xfId="3" applyFill="1" applyBorder="1" applyAlignment="1">
      <alignment horizontal="left" wrapText="1" indent="1"/>
    </xf>
    <xf numFmtId="164" fontId="4" fillId="3" borderId="1" xfId="3" applyNumberFormat="1" applyFill="1" applyBorder="1" applyAlignment="1">
      <alignment horizontal="right"/>
    </xf>
    <xf numFmtId="0" fontId="4" fillId="4" borderId="1" xfId="3" applyFill="1" applyBorder="1" applyAlignment="1">
      <alignment horizontal="left" wrapText="1" indent="2"/>
    </xf>
    <xf numFmtId="0" fontId="4" fillId="4" borderId="1" xfId="3" applyFill="1" applyBorder="1" applyAlignment="1">
      <alignment horizontal="left" wrapText="1" indent="3"/>
    </xf>
    <xf numFmtId="0" fontId="5" fillId="4" borderId="1" xfId="3" applyFont="1" applyFill="1" applyBorder="1" applyAlignment="1">
      <alignment horizontal="left" wrapText="1" indent="4"/>
    </xf>
    <xf numFmtId="164" fontId="5" fillId="3" borderId="1" xfId="3" applyNumberFormat="1" applyFont="1" applyFill="1" applyBorder="1" applyAlignment="1">
      <alignment horizontal="right"/>
    </xf>
    <xf numFmtId="0" fontId="5" fillId="4" borderId="1" xfId="3" applyFont="1" applyFill="1" applyBorder="1" applyAlignment="1">
      <alignment horizontal="left" wrapText="1" indent="3"/>
    </xf>
    <xf numFmtId="0" fontId="5" fillId="4" borderId="1" xfId="3" applyFont="1" applyFill="1" applyBorder="1" applyAlignment="1">
      <alignment horizontal="left" wrapText="1" indent="2"/>
    </xf>
    <xf numFmtId="0" fontId="5" fillId="4" borderId="1" xfId="3" applyFont="1" applyFill="1" applyBorder="1" applyAlignment="1">
      <alignment horizontal="left" wrapText="1" indent="1"/>
    </xf>
    <xf numFmtId="164" fontId="0" fillId="3" borderId="1" xfId="0" quotePrefix="1" applyNumberFormat="1" applyFill="1" applyBorder="1"/>
    <xf numFmtId="0" fontId="9" fillId="4" borderId="1" xfId="0" applyFont="1" applyFill="1" applyBorder="1"/>
    <xf numFmtId="10" fontId="10" fillId="3" borderId="1" xfId="2" quotePrefix="1" applyNumberFormat="1" applyFont="1" applyFill="1" applyBorder="1"/>
    <xf numFmtId="10" fontId="10" fillId="3" borderId="1" xfId="0" applyNumberFormat="1" applyFont="1" applyFill="1" applyBorder="1"/>
    <xf numFmtId="0" fontId="3" fillId="4" borderId="1" xfId="0" applyFont="1" applyFill="1" applyBorder="1"/>
    <xf numFmtId="164" fontId="3" fillId="3" borderId="1" xfId="0" applyNumberFormat="1" applyFont="1" applyFill="1" applyBorder="1"/>
    <xf numFmtId="165" fontId="3" fillId="3" borderId="1" xfId="0" applyNumberFormat="1" applyFont="1" applyFill="1" applyBorder="1"/>
    <xf numFmtId="0" fontId="11" fillId="4" borderId="1" xfId="0" applyFont="1" applyFill="1" applyBorder="1"/>
    <xf numFmtId="43" fontId="11" fillId="3" borderId="1" xfId="1" applyFont="1" applyFill="1" applyBorder="1"/>
    <xf numFmtId="164" fontId="13" fillId="3" borderId="1" xfId="0" applyNumberFormat="1" applyFont="1" applyFill="1" applyBorder="1"/>
    <xf numFmtId="9" fontId="13" fillId="3" borderId="1" xfId="2" applyFont="1" applyFill="1" applyBorder="1"/>
    <xf numFmtId="43" fontId="11" fillId="4" borderId="1" xfId="1" applyFont="1" applyFill="1" applyBorder="1"/>
    <xf numFmtId="0" fontId="4" fillId="4" borderId="1" xfId="3" applyFill="1" applyBorder="1" applyAlignment="1">
      <alignment horizontal="left" wrapText="1"/>
    </xf>
    <xf numFmtId="164" fontId="4" fillId="3" borderId="1" xfId="3" applyNumberFormat="1" applyFill="1" applyBorder="1" applyAlignment="1">
      <alignment horizontal="right" wrapText="1"/>
    </xf>
    <xf numFmtId="10" fontId="6" fillId="3" borderId="1" xfId="2" applyNumberFormat="1" applyFont="1" applyFill="1" applyBorder="1" applyAlignment="1">
      <alignment horizontal="right"/>
    </xf>
    <xf numFmtId="0" fontId="5" fillId="4" borderId="1" xfId="3" applyFont="1" applyFill="1" applyBorder="1" applyAlignment="1">
      <alignment horizontal="left" wrapText="1"/>
    </xf>
    <xf numFmtId="164" fontId="5" fillId="3" borderId="1" xfId="3" applyNumberFormat="1" applyFont="1" applyFill="1" applyBorder="1" applyAlignment="1">
      <alignment horizontal="right" wrapText="1"/>
    </xf>
    <xf numFmtId="10" fontId="6" fillId="3" borderId="1" xfId="2" applyNumberFormat="1" applyFont="1" applyFill="1" applyBorder="1" applyAlignment="1">
      <alignment horizontal="right" wrapText="1"/>
    </xf>
    <xf numFmtId="10" fontId="4" fillId="3" borderId="1" xfId="2" applyNumberFormat="1" applyFont="1" applyFill="1" applyBorder="1" applyAlignment="1">
      <alignment horizontal="right" wrapText="1"/>
    </xf>
    <xf numFmtId="9" fontId="4" fillId="3" borderId="1" xfId="2" applyFont="1" applyFill="1" applyBorder="1" applyAlignment="1">
      <alignment horizontal="right" wrapText="1"/>
    </xf>
    <xf numFmtId="0" fontId="8" fillId="4" borderId="1" xfId="3" applyFont="1" applyFill="1" applyBorder="1" applyAlignment="1">
      <alignment horizontal="left" wrapText="1"/>
    </xf>
    <xf numFmtId="164" fontId="8" fillId="3" borderId="1" xfId="3" applyNumberFormat="1" applyFont="1" applyFill="1" applyBorder="1" applyAlignment="1">
      <alignment horizontal="right"/>
    </xf>
    <xf numFmtId="164" fontId="8" fillId="3" borderId="1" xfId="3" applyNumberFormat="1" applyFont="1" applyFill="1" applyBorder="1" applyAlignment="1">
      <alignment horizontal="right" wrapText="1"/>
    </xf>
    <xf numFmtId="0" fontId="4" fillId="3" borderId="24" xfId="3" applyFill="1" applyBorder="1" applyAlignment="1">
      <alignment horizontal="left" wrapText="1"/>
    </xf>
    <xf numFmtId="0" fontId="5" fillId="3" borderId="24" xfId="3" applyFont="1" applyFill="1" applyBorder="1" applyAlignment="1">
      <alignment horizontal="left" wrapText="1"/>
    </xf>
    <xf numFmtId="0" fontId="8" fillId="3" borderId="24" xfId="3" applyFont="1" applyFill="1" applyBorder="1" applyAlignment="1">
      <alignment horizontal="left" wrapText="1"/>
    </xf>
    <xf numFmtId="0" fontId="4" fillId="3" borderId="24" xfId="3" applyFill="1" applyBorder="1" applyAlignment="1">
      <alignment horizontal="left" wrapText="1" indent="1"/>
    </xf>
    <xf numFmtId="0" fontId="4" fillId="3" borderId="24" xfId="3" applyFill="1" applyBorder="1" applyAlignment="1">
      <alignment horizontal="left" wrapText="1" indent="2"/>
    </xf>
    <xf numFmtId="0" fontId="4" fillId="3" borderId="24" xfId="3" applyFill="1" applyBorder="1" applyAlignment="1">
      <alignment horizontal="left" wrapText="1" indent="3"/>
    </xf>
    <xf numFmtId="0" fontId="5" fillId="3" borderId="24" xfId="3" applyFont="1" applyFill="1" applyBorder="1" applyAlignment="1">
      <alignment horizontal="left" wrapText="1" indent="4"/>
    </xf>
    <xf numFmtId="0" fontId="5" fillId="3" borderId="24" xfId="3" applyFont="1" applyFill="1" applyBorder="1" applyAlignment="1">
      <alignment horizontal="left" wrapText="1" indent="3"/>
    </xf>
    <xf numFmtId="0" fontId="5" fillId="3" borderId="24" xfId="3" applyFont="1" applyFill="1" applyBorder="1" applyAlignment="1">
      <alignment horizontal="left" wrapText="1" indent="2"/>
    </xf>
    <xf numFmtId="0" fontId="5" fillId="3" borderId="24" xfId="3" applyFont="1" applyFill="1" applyBorder="1" applyAlignment="1">
      <alignment horizontal="left" wrapText="1" indent="1"/>
    </xf>
    <xf numFmtId="0" fontId="0" fillId="3" borderId="24" xfId="0" applyFill="1" applyBorder="1" applyAlignment="1">
      <alignment horizontal="left"/>
    </xf>
    <xf numFmtId="0" fontId="9" fillId="3" borderId="24" xfId="0" applyFont="1" applyFill="1" applyBorder="1" applyAlignment="1">
      <alignment horizontal="left"/>
    </xf>
    <xf numFmtId="0" fontId="3" fillId="3" borderId="24" xfId="0" applyFont="1" applyFill="1" applyBorder="1" applyAlignment="1">
      <alignment horizontal="left"/>
    </xf>
    <xf numFmtId="0" fontId="11" fillId="3" borderId="24" xfId="0" applyFont="1" applyFill="1" applyBorder="1" applyAlignment="1">
      <alignment horizontal="left"/>
    </xf>
    <xf numFmtId="43" fontId="11" fillId="3" borderId="24" xfId="1" applyFont="1" applyFill="1" applyBorder="1" applyAlignment="1">
      <alignment horizontal="left"/>
    </xf>
    <xf numFmtId="0" fontId="17" fillId="6" borderId="0" xfId="0" applyFont="1" applyFill="1" applyAlignment="1">
      <alignment horizontal="centerContinuous"/>
    </xf>
    <xf numFmtId="0" fontId="18" fillId="6" borderId="0" xfId="0" applyFont="1" applyFill="1" applyAlignment="1">
      <alignment horizontal="left" vertical="top"/>
    </xf>
    <xf numFmtId="165" fontId="0" fillId="7" borderId="1" xfId="1" applyNumberFormat="1" applyFont="1" applyFill="1" applyBorder="1"/>
    <xf numFmtId="0" fontId="1" fillId="3" borderId="0" xfId="0" applyFont="1" applyFill="1" applyAlignment="1">
      <alignment horizontal="left" vertical="center"/>
    </xf>
    <xf numFmtId="0" fontId="0" fillId="6" borderId="0" xfId="0" applyFill="1"/>
  </cellXfs>
  <cellStyles count="4">
    <cellStyle name="Dziesiętny" xfId="1" builtinId="3"/>
    <cellStyle name="Normalny" xfId="0" builtinId="0"/>
    <cellStyle name="Normalny 2" xfId="3" xr:uid="{0A783487-CD71-4707-93EB-6FAB767D6916}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3"/>
  <sheetViews>
    <sheetView tabSelected="1" workbookViewId="0">
      <pane xSplit="1" ySplit="7" topLeftCell="B219" activePane="bottomRight" state="frozen"/>
      <selection pane="topRight" activeCell="B1" sqref="B1"/>
      <selection pane="bottomLeft" activeCell="A7" sqref="A7"/>
      <selection pane="bottomRight" activeCell="B228" sqref="B228"/>
    </sheetView>
  </sheetViews>
  <sheetFormatPr defaultRowHeight="15" outlineLevelRow="1" x14ac:dyDescent="0.25"/>
  <cols>
    <col min="1" max="1" width="28.85546875" style="81" customWidth="1"/>
    <col min="2" max="2" width="15.7109375" style="3" bestFit="1" customWidth="1"/>
    <col min="3" max="10" width="12" style="3" customWidth="1"/>
    <col min="11" max="16384" width="9.140625" style="3"/>
  </cols>
  <sheetData>
    <row r="1" spans="1:10" x14ac:dyDescent="0.25">
      <c r="A1" s="80" t="s">
        <v>171</v>
      </c>
      <c r="B1" s="39"/>
      <c r="C1" s="39"/>
      <c r="D1" s="39"/>
      <c r="E1" s="39"/>
      <c r="F1" s="39"/>
      <c r="G1" s="39"/>
      <c r="H1" s="39"/>
      <c r="I1" s="39"/>
      <c r="J1" s="39"/>
    </row>
    <row r="3" spans="1:10" x14ac:dyDescent="0.25">
      <c r="A3" s="140" t="s">
        <v>183</v>
      </c>
      <c r="B3" s="138" t="s">
        <v>181</v>
      </c>
      <c r="C3" s="137"/>
      <c r="D3" s="137"/>
      <c r="E3" s="137"/>
      <c r="F3" s="137"/>
      <c r="G3" s="137"/>
      <c r="H3" s="137"/>
      <c r="I3" s="137"/>
      <c r="J3" s="137"/>
    </row>
    <row r="4" spans="1:10" x14ac:dyDescent="0.25">
      <c r="A4" s="140" t="s">
        <v>184</v>
      </c>
      <c r="B4" s="138" t="s">
        <v>182</v>
      </c>
      <c r="C4" s="141"/>
      <c r="D4" s="141"/>
      <c r="E4" s="141"/>
      <c r="F4" s="141"/>
      <c r="G4" s="141"/>
      <c r="H4" s="141"/>
      <c r="I4" s="141"/>
      <c r="J4" s="141"/>
    </row>
    <row r="5" spans="1:10" hidden="1" outlineLevel="1" x14ac:dyDescent="0.25">
      <c r="F5" s="3">
        <v>1</v>
      </c>
      <c r="G5" s="3">
        <f>F5+1</f>
        <v>2</v>
      </c>
      <c r="H5" s="3">
        <f t="shared" ref="H5:J5" si="0">G5+1</f>
        <v>3</v>
      </c>
      <c r="I5" s="3">
        <f t="shared" si="0"/>
        <v>4</v>
      </c>
      <c r="J5" s="3">
        <f t="shared" si="0"/>
        <v>5</v>
      </c>
    </row>
    <row r="6" spans="1:10" outlineLevel="1" x14ac:dyDescent="0.25"/>
    <row r="7" spans="1:10" x14ac:dyDescent="0.25">
      <c r="B7" s="79" t="s">
        <v>168</v>
      </c>
      <c r="C7" s="79" t="s">
        <v>128</v>
      </c>
      <c r="D7" s="79" t="s">
        <v>127</v>
      </c>
      <c r="E7" s="79" t="s">
        <v>126</v>
      </c>
      <c r="F7" s="79" t="s">
        <v>129</v>
      </c>
      <c r="G7" s="79" t="s">
        <v>130</v>
      </c>
      <c r="H7" s="79" t="s">
        <v>131</v>
      </c>
      <c r="I7" s="79" t="s">
        <v>132</v>
      </c>
      <c r="J7" s="79" t="s">
        <v>133</v>
      </c>
    </row>
    <row r="9" spans="1:10" x14ac:dyDescent="0.25">
      <c r="A9" s="80" t="s">
        <v>146</v>
      </c>
      <c r="B9" s="2"/>
      <c r="C9" s="2"/>
      <c r="D9" s="2"/>
      <c r="E9" s="2"/>
      <c r="F9" s="2"/>
      <c r="G9" s="2"/>
      <c r="H9" s="2"/>
      <c r="I9" s="2"/>
      <c r="J9" s="2"/>
    </row>
    <row r="10" spans="1:10" hidden="1" outlineLevel="1" x14ac:dyDescent="0.25"/>
    <row r="11" spans="1:10" s="4" customFormat="1" hidden="1" outlineLevel="1" x14ac:dyDescent="0.25">
      <c r="A11" s="122" t="s">
        <v>0</v>
      </c>
      <c r="B11" s="111"/>
      <c r="C11" s="91">
        <v>26914</v>
      </c>
      <c r="D11" s="91">
        <v>26974</v>
      </c>
      <c r="E11" s="112">
        <v>60922</v>
      </c>
      <c r="F11" s="6"/>
      <c r="G11" s="6"/>
      <c r="H11" s="6"/>
      <c r="I11" s="6"/>
      <c r="J11" s="6"/>
    </row>
    <row r="12" spans="1:10" s="4" customFormat="1" hidden="1" outlineLevel="1" x14ac:dyDescent="0.25">
      <c r="A12" s="122"/>
      <c r="B12" s="111"/>
      <c r="C12" s="113">
        <v>0</v>
      </c>
      <c r="D12" s="113">
        <f>D11/C11-1</f>
        <v>2.2293230289069932E-3</v>
      </c>
      <c r="E12" s="113">
        <f>E11/D11-1</f>
        <v>1.2585452658115224</v>
      </c>
      <c r="F12" s="7"/>
      <c r="G12" s="7"/>
      <c r="H12" s="7"/>
      <c r="I12" s="7"/>
      <c r="J12" s="7"/>
    </row>
    <row r="13" spans="1:10" s="4" customFormat="1" hidden="1" outlineLevel="1" x14ac:dyDescent="0.25">
      <c r="A13" s="122" t="s">
        <v>1</v>
      </c>
      <c r="B13" s="111"/>
      <c r="C13" s="91">
        <v>-9439</v>
      </c>
      <c r="D13" s="91">
        <v>-11618</v>
      </c>
      <c r="E13" s="112">
        <v>-16621</v>
      </c>
      <c r="F13" s="6"/>
      <c r="G13" s="6"/>
      <c r="H13" s="6"/>
      <c r="I13" s="6"/>
      <c r="J13" s="6"/>
    </row>
    <row r="14" spans="1:10" s="4" customFormat="1" hidden="1" outlineLevel="1" x14ac:dyDescent="0.25">
      <c r="A14" s="122"/>
      <c r="B14" s="111"/>
      <c r="C14" s="113">
        <f>-C13/C11</f>
        <v>0.35070966783086871</v>
      </c>
      <c r="D14" s="113">
        <f t="shared" ref="D14:E14" si="1">-D13/D11</f>
        <v>0.43071105509008673</v>
      </c>
      <c r="E14" s="113">
        <f t="shared" si="1"/>
        <v>0.27282426709563046</v>
      </c>
      <c r="F14" s="8"/>
      <c r="G14" s="8"/>
      <c r="H14" s="8"/>
      <c r="I14" s="8"/>
      <c r="J14" s="8"/>
    </row>
    <row r="15" spans="1:10" s="4" customFormat="1" hidden="1" outlineLevel="1" x14ac:dyDescent="0.25">
      <c r="A15" s="123" t="s">
        <v>2</v>
      </c>
      <c r="B15" s="114"/>
      <c r="C15" s="95">
        <v>17475</v>
      </c>
      <c r="D15" s="95">
        <v>15356</v>
      </c>
      <c r="E15" s="115">
        <v>44301</v>
      </c>
      <c r="F15" s="9"/>
      <c r="G15" s="9"/>
      <c r="H15" s="9"/>
      <c r="I15" s="9"/>
      <c r="J15" s="9"/>
    </row>
    <row r="16" spans="1:10" s="4" customFormat="1" hidden="1" outlineLevel="1" x14ac:dyDescent="0.25">
      <c r="A16" s="123"/>
      <c r="B16" s="114"/>
      <c r="C16" s="116">
        <f>C15/C11</f>
        <v>0.64929033216913135</v>
      </c>
      <c r="D16" s="116">
        <f t="shared" ref="D16:E16" si="2">D15/D11</f>
        <v>0.56928894490991322</v>
      </c>
      <c r="E16" s="116">
        <f t="shared" si="2"/>
        <v>0.72717573290436954</v>
      </c>
      <c r="F16" s="7"/>
      <c r="G16" s="7"/>
      <c r="H16" s="7"/>
      <c r="I16" s="7"/>
      <c r="J16" s="7"/>
    </row>
    <row r="17" spans="1:10" s="4" customFormat="1" hidden="1" outlineLevel="1" x14ac:dyDescent="0.25">
      <c r="A17" s="122" t="s">
        <v>3</v>
      </c>
      <c r="B17" s="111"/>
      <c r="C17" s="91">
        <v>-5268</v>
      </c>
      <c r="D17" s="91">
        <v>-7339</v>
      </c>
      <c r="E17" s="112">
        <v>-8675</v>
      </c>
      <c r="F17" s="6"/>
      <c r="G17" s="6"/>
      <c r="H17" s="6"/>
      <c r="I17" s="6"/>
      <c r="J17" s="6"/>
    </row>
    <row r="18" spans="1:10" s="4" customFormat="1" hidden="1" outlineLevel="1" x14ac:dyDescent="0.25">
      <c r="A18" s="122"/>
      <c r="B18" s="111"/>
      <c r="C18" s="117">
        <f t="shared" ref="C18:D18" si="3">-C17/C11</f>
        <v>0.19573456193802483</v>
      </c>
      <c r="D18" s="117">
        <f t="shared" si="3"/>
        <v>0.27207681471046191</v>
      </c>
      <c r="E18" s="117">
        <f>-E17/E11</f>
        <v>0.14239519385443683</v>
      </c>
      <c r="F18" s="10"/>
      <c r="G18" s="10"/>
      <c r="H18" s="10"/>
      <c r="I18" s="10"/>
      <c r="J18" s="10"/>
    </row>
    <row r="19" spans="1:10" s="4" customFormat="1" ht="30" hidden="1" outlineLevel="1" x14ac:dyDescent="0.25">
      <c r="A19" s="122" t="s">
        <v>4</v>
      </c>
      <c r="B19" s="111"/>
      <c r="C19" s="91">
        <v>-2166</v>
      </c>
      <c r="D19" s="91">
        <v>-2440</v>
      </c>
      <c r="E19" s="112">
        <v>-2654</v>
      </c>
      <c r="F19" s="9"/>
      <c r="G19" s="9"/>
      <c r="H19" s="9"/>
      <c r="I19" s="9"/>
      <c r="J19" s="9"/>
    </row>
    <row r="20" spans="1:10" s="4" customFormat="1" hidden="1" outlineLevel="1" x14ac:dyDescent="0.25">
      <c r="A20" s="122"/>
      <c r="B20" s="111"/>
      <c r="C20" s="118">
        <f>C19/C11</f>
        <v>-8.0478561343538674E-2</v>
      </c>
      <c r="D20" s="118">
        <f>D19/D11</f>
        <v>-9.0457477570994288E-2</v>
      </c>
      <c r="E20" s="118">
        <f>E19/E11</f>
        <v>-4.3563901382095135E-2</v>
      </c>
      <c r="F20" s="11"/>
      <c r="G20" s="11"/>
      <c r="H20" s="11"/>
      <c r="I20" s="11"/>
      <c r="J20" s="11"/>
    </row>
    <row r="21" spans="1:10" s="4" customFormat="1" hidden="1" outlineLevel="1" x14ac:dyDescent="0.25">
      <c r="A21" s="122" t="s">
        <v>5</v>
      </c>
      <c r="B21" s="111"/>
      <c r="C21" s="91">
        <v>0</v>
      </c>
      <c r="D21" s="91">
        <v>-1353</v>
      </c>
      <c r="E21" s="112">
        <v>0</v>
      </c>
    </row>
    <row r="22" spans="1:10" s="4" customFormat="1" hidden="1" outlineLevel="1" x14ac:dyDescent="0.25">
      <c r="A22" s="123" t="s">
        <v>6</v>
      </c>
      <c r="B22" s="114"/>
      <c r="C22" s="95">
        <v>-7434</v>
      </c>
      <c r="D22" s="95">
        <v>-11132</v>
      </c>
      <c r="E22" s="115">
        <v>-11329</v>
      </c>
      <c r="F22" s="12"/>
      <c r="G22" s="12"/>
      <c r="H22" s="12"/>
      <c r="I22" s="12"/>
      <c r="J22" s="12"/>
    </row>
    <row r="23" spans="1:10" s="4" customFormat="1" hidden="1" outlineLevel="1" x14ac:dyDescent="0.25">
      <c r="A23" s="124" t="s">
        <v>7</v>
      </c>
      <c r="B23" s="119"/>
      <c r="C23" s="120">
        <v>10041</v>
      </c>
      <c r="D23" s="120">
        <v>4224</v>
      </c>
      <c r="E23" s="121">
        <v>32972</v>
      </c>
      <c r="F23" s="13"/>
      <c r="G23" s="13"/>
      <c r="H23" s="13"/>
      <c r="I23" s="13"/>
      <c r="J23" s="13"/>
    </row>
    <row r="24" spans="1:10" s="4" customFormat="1" hidden="1" outlineLevel="1" x14ac:dyDescent="0.25">
      <c r="A24" s="124"/>
      <c r="B24" s="119"/>
      <c r="C24" s="120"/>
      <c r="D24" s="120"/>
      <c r="E24" s="121"/>
      <c r="F24" s="7"/>
      <c r="G24" s="7"/>
      <c r="H24" s="7"/>
      <c r="I24" s="7"/>
      <c r="J24" s="7"/>
    </row>
    <row r="25" spans="1:10" s="4" customFormat="1" hidden="1" outlineLevel="1" x14ac:dyDescent="0.25">
      <c r="A25" s="122" t="s">
        <v>8</v>
      </c>
      <c r="B25" s="111"/>
      <c r="C25" s="91">
        <v>29</v>
      </c>
      <c r="D25" s="91">
        <v>267</v>
      </c>
      <c r="E25" s="112">
        <v>866</v>
      </c>
    </row>
    <row r="26" spans="1:10" s="4" customFormat="1" hidden="1" outlineLevel="1" x14ac:dyDescent="0.25">
      <c r="A26" s="122" t="s">
        <v>9</v>
      </c>
      <c r="B26" s="111"/>
      <c r="C26" s="91">
        <v>-236</v>
      </c>
      <c r="D26" s="91">
        <v>-262</v>
      </c>
      <c r="E26" s="112">
        <v>-257</v>
      </c>
    </row>
    <row r="27" spans="1:10" s="4" customFormat="1" hidden="1" outlineLevel="1" x14ac:dyDescent="0.25">
      <c r="A27" s="122" t="s">
        <v>10</v>
      </c>
      <c r="B27" s="111"/>
      <c r="C27" s="91">
        <v>107</v>
      </c>
      <c r="D27" s="91">
        <v>-48</v>
      </c>
      <c r="E27" s="112">
        <v>237</v>
      </c>
    </row>
    <row r="28" spans="1:10" s="4" customFormat="1" hidden="1" outlineLevel="1" x14ac:dyDescent="0.25">
      <c r="A28" s="123" t="s">
        <v>11</v>
      </c>
      <c r="B28" s="114"/>
      <c r="C28" s="95">
        <v>-100</v>
      </c>
      <c r="D28" s="95">
        <v>-43</v>
      </c>
      <c r="E28" s="115">
        <v>846</v>
      </c>
    </row>
    <row r="29" spans="1:10" s="4" customFormat="1" hidden="1" outlineLevel="1" x14ac:dyDescent="0.25">
      <c r="A29" s="123" t="s">
        <v>12</v>
      </c>
      <c r="B29" s="114"/>
      <c r="C29" s="95">
        <v>9941</v>
      </c>
      <c r="D29" s="95">
        <v>4181</v>
      </c>
      <c r="E29" s="115">
        <v>33818</v>
      </c>
      <c r="F29" s="9"/>
      <c r="G29" s="9"/>
      <c r="H29" s="9"/>
      <c r="I29" s="9"/>
      <c r="J29" s="9"/>
    </row>
    <row r="30" spans="1:10" s="4" customFormat="1" hidden="1" outlineLevel="1" x14ac:dyDescent="0.25">
      <c r="A30" s="122" t="s">
        <v>13</v>
      </c>
      <c r="B30" s="111"/>
      <c r="C30" s="91">
        <v>-189</v>
      </c>
      <c r="D30" s="91">
        <v>187</v>
      </c>
      <c r="E30" s="112">
        <v>-4058</v>
      </c>
      <c r="F30" s="9"/>
    </row>
    <row r="31" spans="1:10" s="4" customFormat="1" hidden="1" outlineLevel="1" x14ac:dyDescent="0.25">
      <c r="A31" s="122"/>
      <c r="B31" s="111"/>
      <c r="C31" s="118">
        <f t="shared" ref="C31:D31" si="4">-C30/C29</f>
        <v>1.9012171813700834E-2</v>
      </c>
      <c r="D31" s="118">
        <f t="shared" si="4"/>
        <v>-4.4726142071274816E-2</v>
      </c>
      <c r="E31" s="117">
        <f>-E30/E29</f>
        <v>0.1199952687917677</v>
      </c>
      <c r="F31" s="14"/>
      <c r="G31" s="14"/>
      <c r="H31" s="14"/>
      <c r="I31" s="14"/>
      <c r="J31" s="14"/>
    </row>
    <row r="32" spans="1:10" s="4" customFormat="1" hidden="1" outlineLevel="1" x14ac:dyDescent="0.25">
      <c r="A32" s="123" t="s">
        <v>14</v>
      </c>
      <c r="B32" s="114"/>
      <c r="C32" s="95">
        <v>9752</v>
      </c>
      <c r="D32" s="95">
        <v>4368</v>
      </c>
      <c r="E32" s="115">
        <v>29760</v>
      </c>
      <c r="F32" s="9"/>
      <c r="G32" s="9"/>
      <c r="H32" s="9"/>
      <c r="I32" s="9"/>
      <c r="J32" s="9"/>
    </row>
    <row r="33" spans="1:10" collapsed="1" x14ac:dyDescent="0.25"/>
    <row r="34" spans="1:10" x14ac:dyDescent="0.25">
      <c r="A34" s="80" t="s">
        <v>148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hidden="1" outlineLevel="1" x14ac:dyDescent="0.25"/>
    <row r="36" spans="1:10" hidden="1" outlineLevel="1" x14ac:dyDescent="0.25">
      <c r="A36" s="15" t="s">
        <v>15</v>
      </c>
      <c r="B36" s="90"/>
      <c r="C36" s="91">
        <v>1990</v>
      </c>
      <c r="D36" s="91">
        <v>3389</v>
      </c>
      <c r="E36" s="91">
        <v>7280</v>
      </c>
    </row>
    <row r="37" spans="1:10" hidden="1" outlineLevel="1" x14ac:dyDescent="0.25">
      <c r="A37" s="15" t="s">
        <v>16</v>
      </c>
      <c r="B37" s="90"/>
      <c r="C37" s="91">
        <v>19218</v>
      </c>
      <c r="D37" s="91">
        <v>9907</v>
      </c>
      <c r="E37" s="91">
        <v>18704</v>
      </c>
    </row>
    <row r="38" spans="1:10" hidden="1" outlineLevel="1" x14ac:dyDescent="0.25">
      <c r="A38" s="15" t="s">
        <v>17</v>
      </c>
      <c r="B38" s="90"/>
      <c r="C38" s="91">
        <v>4650</v>
      </c>
      <c r="D38" s="91">
        <v>3827</v>
      </c>
      <c r="E38" s="91">
        <v>9999</v>
      </c>
    </row>
    <row r="39" spans="1:10" hidden="1" outlineLevel="1" x14ac:dyDescent="0.25">
      <c r="A39" s="15" t="s">
        <v>18</v>
      </c>
      <c r="B39" s="90"/>
      <c r="C39" s="91">
        <v>2605</v>
      </c>
      <c r="D39" s="91">
        <v>5159</v>
      </c>
      <c r="E39" s="91">
        <v>5282</v>
      </c>
    </row>
    <row r="40" spans="1:10" ht="30" hidden="1" outlineLevel="1" x14ac:dyDescent="0.25">
      <c r="A40" s="15" t="s">
        <v>19</v>
      </c>
      <c r="B40" s="90"/>
      <c r="C40" s="91">
        <v>366</v>
      </c>
      <c r="D40" s="91">
        <v>791</v>
      </c>
      <c r="E40" s="91">
        <v>3080</v>
      </c>
    </row>
    <row r="41" spans="1:10" hidden="1" outlineLevel="1" x14ac:dyDescent="0.25">
      <c r="A41" s="16" t="s">
        <v>20</v>
      </c>
      <c r="B41" s="97"/>
      <c r="C41" s="95">
        <v>28829</v>
      </c>
      <c r="D41" s="95">
        <v>23073</v>
      </c>
      <c r="E41" s="95">
        <v>44345</v>
      </c>
    </row>
    <row r="42" spans="1:10" hidden="1" outlineLevel="1" x14ac:dyDescent="0.25">
      <c r="A42" s="15" t="s">
        <v>21</v>
      </c>
      <c r="B42" s="90"/>
      <c r="C42" s="91">
        <v>2778</v>
      </c>
      <c r="D42" s="91">
        <v>3807</v>
      </c>
      <c r="E42" s="91">
        <v>3914</v>
      </c>
      <c r="F42" s="17"/>
      <c r="G42" s="17"/>
      <c r="H42" s="17"/>
      <c r="I42" s="17"/>
      <c r="J42" s="17"/>
    </row>
    <row r="43" spans="1:10" hidden="1" outlineLevel="1" x14ac:dyDescent="0.25">
      <c r="A43" s="15" t="s">
        <v>22</v>
      </c>
      <c r="B43" s="90"/>
      <c r="C43" s="91">
        <v>829</v>
      </c>
      <c r="D43" s="91">
        <v>1038</v>
      </c>
      <c r="E43" s="91">
        <v>1346</v>
      </c>
    </row>
    <row r="44" spans="1:10" hidden="1" outlineLevel="1" x14ac:dyDescent="0.25">
      <c r="A44" s="15" t="s">
        <v>23</v>
      </c>
      <c r="B44" s="90"/>
      <c r="C44" s="91">
        <v>4349</v>
      </c>
      <c r="D44" s="91">
        <v>4372</v>
      </c>
      <c r="E44" s="91">
        <v>4430</v>
      </c>
    </row>
    <row r="45" spans="1:10" hidden="1" outlineLevel="1" x14ac:dyDescent="0.25">
      <c r="A45" s="15" t="s">
        <v>24</v>
      </c>
      <c r="B45" s="90"/>
      <c r="C45" s="91">
        <v>2339</v>
      </c>
      <c r="D45" s="91">
        <v>1676</v>
      </c>
      <c r="E45" s="91">
        <v>1112</v>
      </c>
      <c r="F45" s="18"/>
      <c r="G45" s="18"/>
      <c r="H45" s="18"/>
      <c r="I45" s="18"/>
      <c r="J45" s="18"/>
    </row>
    <row r="46" spans="1:10" hidden="1" outlineLevel="1" x14ac:dyDescent="0.25">
      <c r="A46" s="15" t="s">
        <v>25</v>
      </c>
      <c r="B46" s="90"/>
      <c r="C46" s="91">
        <v>1222</v>
      </c>
      <c r="D46" s="91">
        <v>3396</v>
      </c>
      <c r="E46" s="91">
        <v>6081</v>
      </c>
    </row>
    <row r="47" spans="1:10" ht="30" hidden="1" outlineLevel="1" x14ac:dyDescent="0.25">
      <c r="A47" s="19" t="s">
        <v>26</v>
      </c>
      <c r="B47" s="92"/>
      <c r="C47" s="91">
        <v>1747</v>
      </c>
      <c r="D47" s="91">
        <v>2989</v>
      </c>
      <c r="E47" s="91">
        <v>2458</v>
      </c>
    </row>
    <row r="48" spans="1:10" ht="30" hidden="1" outlineLevel="1" x14ac:dyDescent="0.25">
      <c r="A48" s="19" t="s">
        <v>27</v>
      </c>
      <c r="B48" s="92"/>
      <c r="C48" s="91">
        <v>266</v>
      </c>
      <c r="D48" s="91">
        <v>299</v>
      </c>
      <c r="E48" s="91">
        <v>1546</v>
      </c>
    </row>
    <row r="49" spans="1:10" hidden="1" outlineLevel="1" x14ac:dyDescent="0.25">
      <c r="A49" s="19" t="s">
        <v>28</v>
      </c>
      <c r="B49" s="92"/>
      <c r="C49" s="91">
        <v>409</v>
      </c>
      <c r="D49" s="91">
        <v>387</v>
      </c>
      <c r="E49" s="91">
        <v>364</v>
      </c>
    </row>
    <row r="50" spans="1:10" ht="30" hidden="1" outlineLevel="1" x14ac:dyDescent="0.25">
      <c r="A50" s="19" t="s">
        <v>29</v>
      </c>
      <c r="B50" s="92"/>
      <c r="C50" s="91">
        <v>1357</v>
      </c>
      <c r="D50" s="91">
        <v>0</v>
      </c>
      <c r="E50" s="91">
        <v>0</v>
      </c>
      <c r="F50" s="5"/>
      <c r="G50" s="5"/>
      <c r="H50" s="5"/>
      <c r="I50" s="5"/>
      <c r="J50" s="5"/>
    </row>
    <row r="51" spans="1:10" hidden="1" outlineLevel="1" x14ac:dyDescent="0.25">
      <c r="A51" s="19" t="s">
        <v>30</v>
      </c>
      <c r="B51" s="92"/>
      <c r="C51" s="91">
        <v>62</v>
      </c>
      <c r="D51" s="91">
        <v>145</v>
      </c>
      <c r="E51" s="91">
        <v>132</v>
      </c>
      <c r="F51" s="5"/>
      <c r="G51" s="5"/>
      <c r="H51" s="5"/>
      <c r="I51" s="5"/>
      <c r="J51" s="5"/>
    </row>
    <row r="52" spans="1:10" hidden="1" outlineLevel="1" x14ac:dyDescent="0.25">
      <c r="A52" s="20" t="s">
        <v>31</v>
      </c>
      <c r="B52" s="96"/>
      <c r="C52" s="95">
        <v>3841</v>
      </c>
      <c r="D52" s="95">
        <v>3820</v>
      </c>
      <c r="E52" s="95">
        <v>4500</v>
      </c>
    </row>
    <row r="53" spans="1:10" hidden="1" outlineLevel="1" x14ac:dyDescent="0.25">
      <c r="A53" s="16" t="s">
        <v>32</v>
      </c>
      <c r="B53" s="97"/>
      <c r="C53" s="95">
        <v>15358</v>
      </c>
      <c r="D53" s="95">
        <v>18109</v>
      </c>
      <c r="E53" s="95">
        <v>21383</v>
      </c>
    </row>
    <row r="54" spans="1:10" hidden="1" outlineLevel="1" x14ac:dyDescent="0.25">
      <c r="A54" s="21" t="s">
        <v>33</v>
      </c>
      <c r="B54" s="98"/>
      <c r="C54" s="95">
        <v>44187</v>
      </c>
      <c r="D54" s="95">
        <v>41182</v>
      </c>
      <c r="E54" s="95">
        <v>65728</v>
      </c>
    </row>
    <row r="55" spans="1:10" collapsed="1" x14ac:dyDescent="0.25"/>
    <row r="56" spans="1:10" x14ac:dyDescent="0.25">
      <c r="A56" s="80" t="s">
        <v>147</v>
      </c>
      <c r="B56" s="2"/>
      <c r="C56" s="2"/>
      <c r="D56" s="2"/>
      <c r="E56" s="2"/>
      <c r="F56" s="2"/>
      <c r="G56" s="2"/>
      <c r="H56" s="2"/>
      <c r="I56" s="2"/>
      <c r="J56" s="2"/>
    </row>
    <row r="57" spans="1:10" hidden="1" outlineLevel="1" x14ac:dyDescent="0.25"/>
    <row r="58" spans="1:10" hidden="1" outlineLevel="1" x14ac:dyDescent="0.25">
      <c r="A58" s="15" t="s">
        <v>34</v>
      </c>
      <c r="B58" s="90"/>
      <c r="C58" s="91">
        <v>1783</v>
      </c>
      <c r="D58" s="91">
        <v>1193</v>
      </c>
      <c r="E58" s="91">
        <v>2699</v>
      </c>
    </row>
    <row r="59" spans="1:10" hidden="1" outlineLevel="1" x14ac:dyDescent="0.25">
      <c r="A59" s="19" t="s">
        <v>35</v>
      </c>
      <c r="B59" s="92"/>
      <c r="C59" s="91">
        <v>1000</v>
      </c>
      <c r="D59" s="91">
        <v>1196</v>
      </c>
      <c r="E59" s="91">
        <v>2081</v>
      </c>
    </row>
    <row r="60" spans="1:10" ht="30" hidden="1" outlineLevel="1" x14ac:dyDescent="0.25">
      <c r="A60" s="19" t="s">
        <v>36</v>
      </c>
      <c r="B60" s="92"/>
      <c r="C60" s="91">
        <v>196</v>
      </c>
      <c r="D60" s="91">
        <v>954</v>
      </c>
      <c r="E60" s="91">
        <v>1655</v>
      </c>
    </row>
    <row r="61" spans="1:10" hidden="1" outlineLevel="1" x14ac:dyDescent="0.25">
      <c r="A61" s="19" t="s">
        <v>37</v>
      </c>
      <c r="B61" s="92"/>
      <c r="C61" s="91">
        <v>300</v>
      </c>
      <c r="D61" s="91">
        <v>354</v>
      </c>
      <c r="E61" s="91">
        <v>764</v>
      </c>
    </row>
    <row r="62" spans="1:10" ht="30" hidden="1" outlineLevel="1" x14ac:dyDescent="0.25">
      <c r="A62" s="19" t="s">
        <v>38</v>
      </c>
      <c r="B62" s="92"/>
      <c r="C62" s="91">
        <v>409</v>
      </c>
      <c r="D62" s="91">
        <v>530</v>
      </c>
      <c r="E62" s="91">
        <v>675</v>
      </c>
    </row>
    <row r="63" spans="1:10" ht="30" hidden="1" outlineLevel="1" x14ac:dyDescent="0.25">
      <c r="A63" s="19" t="s">
        <v>39</v>
      </c>
      <c r="B63" s="92"/>
      <c r="C63" s="91">
        <v>0</v>
      </c>
      <c r="D63" s="91">
        <v>108</v>
      </c>
      <c r="E63" s="91">
        <v>415</v>
      </c>
    </row>
    <row r="64" spans="1:10" hidden="1" outlineLevel="1" x14ac:dyDescent="0.25">
      <c r="A64" s="19" t="s">
        <v>40</v>
      </c>
      <c r="B64" s="92"/>
      <c r="C64" s="91">
        <v>132</v>
      </c>
      <c r="D64" s="91">
        <v>467</v>
      </c>
      <c r="E64" s="91">
        <v>296</v>
      </c>
    </row>
    <row r="65" spans="1:5" ht="30" hidden="1" outlineLevel="1" x14ac:dyDescent="0.25">
      <c r="A65" s="19" t="s">
        <v>41</v>
      </c>
      <c r="B65" s="92"/>
      <c r="C65" s="91">
        <v>144</v>
      </c>
      <c r="D65" s="91">
        <v>176</v>
      </c>
      <c r="E65" s="91">
        <v>228</v>
      </c>
    </row>
    <row r="66" spans="1:5" ht="30" hidden="1" outlineLevel="1" x14ac:dyDescent="0.25">
      <c r="A66" s="19" t="s">
        <v>42</v>
      </c>
      <c r="B66" s="92"/>
      <c r="C66" s="91">
        <v>0</v>
      </c>
      <c r="D66" s="91">
        <v>117</v>
      </c>
      <c r="E66" s="91">
        <v>187</v>
      </c>
    </row>
    <row r="67" spans="1:5" hidden="1" outlineLevel="1" x14ac:dyDescent="0.25">
      <c r="A67" s="19" t="s">
        <v>43</v>
      </c>
      <c r="B67" s="92"/>
      <c r="C67" s="91">
        <v>0</v>
      </c>
      <c r="D67" s="91">
        <v>149</v>
      </c>
      <c r="E67" s="91">
        <v>182</v>
      </c>
    </row>
    <row r="68" spans="1:5" hidden="1" outlineLevel="1" x14ac:dyDescent="0.25">
      <c r="A68" s="19" t="s">
        <v>30</v>
      </c>
      <c r="B68" s="92"/>
      <c r="C68" s="91">
        <v>371</v>
      </c>
      <c r="D68" s="91">
        <v>69</v>
      </c>
      <c r="E68" s="91">
        <v>199</v>
      </c>
    </row>
    <row r="69" spans="1:5" ht="30" hidden="1" outlineLevel="1" x14ac:dyDescent="0.25">
      <c r="A69" s="22" t="s">
        <v>44</v>
      </c>
      <c r="B69" s="94"/>
      <c r="C69" s="95">
        <v>2552</v>
      </c>
      <c r="D69" s="95">
        <v>4120</v>
      </c>
      <c r="E69" s="95">
        <v>6682</v>
      </c>
    </row>
    <row r="70" spans="1:5" hidden="1" outlineLevel="1" x14ac:dyDescent="0.25">
      <c r="A70" s="15" t="s">
        <v>45</v>
      </c>
      <c r="B70" s="90"/>
      <c r="C70" s="91">
        <v>0</v>
      </c>
      <c r="D70" s="91">
        <v>1250</v>
      </c>
      <c r="E70" s="91">
        <v>1250</v>
      </c>
    </row>
    <row r="71" spans="1:5" hidden="1" outlineLevel="1" x14ac:dyDescent="0.25">
      <c r="A71" s="20" t="s">
        <v>46</v>
      </c>
      <c r="B71" s="96"/>
      <c r="C71" s="95">
        <v>4335</v>
      </c>
      <c r="D71" s="95">
        <v>6563</v>
      </c>
      <c r="E71" s="95">
        <v>10631</v>
      </c>
    </row>
    <row r="72" spans="1:5" hidden="1" outlineLevel="1" x14ac:dyDescent="0.25">
      <c r="A72" s="15" t="s">
        <v>47</v>
      </c>
      <c r="B72" s="90"/>
      <c r="C72" s="91">
        <v>10946</v>
      </c>
      <c r="D72" s="91">
        <v>9703</v>
      </c>
      <c r="E72" s="91">
        <v>8459</v>
      </c>
    </row>
    <row r="73" spans="1:5" ht="30" hidden="1" outlineLevel="1" x14ac:dyDescent="0.25">
      <c r="A73" s="15" t="s">
        <v>48</v>
      </c>
      <c r="B73" s="90"/>
      <c r="C73" s="91">
        <v>741</v>
      </c>
      <c r="D73" s="91">
        <v>902</v>
      </c>
      <c r="E73" s="91">
        <v>1119</v>
      </c>
    </row>
    <row r="74" spans="1:5" hidden="1" outlineLevel="1" x14ac:dyDescent="0.25">
      <c r="A74" s="19" t="s">
        <v>49</v>
      </c>
      <c r="B74" s="92"/>
      <c r="C74" s="91">
        <v>980</v>
      </c>
      <c r="D74" s="91">
        <v>1204</v>
      </c>
      <c r="E74" s="91">
        <v>1361</v>
      </c>
    </row>
    <row r="75" spans="1:5" hidden="1" outlineLevel="1" x14ac:dyDescent="0.25">
      <c r="A75" s="19" t="s">
        <v>50</v>
      </c>
      <c r="B75" s="92"/>
      <c r="C75" s="91">
        <v>245</v>
      </c>
      <c r="D75" s="91">
        <v>247</v>
      </c>
      <c r="E75" s="91">
        <v>462</v>
      </c>
    </row>
    <row r="76" spans="1:5" hidden="1" outlineLevel="1" x14ac:dyDescent="0.25">
      <c r="A76" s="19" t="s">
        <v>37</v>
      </c>
      <c r="B76" s="92"/>
      <c r="C76" s="91">
        <v>202</v>
      </c>
      <c r="D76" s="91">
        <v>218</v>
      </c>
      <c r="E76" s="91">
        <v>573</v>
      </c>
    </row>
    <row r="77" spans="1:5" hidden="1" outlineLevel="1" x14ac:dyDescent="0.25">
      <c r="A77" s="19" t="s">
        <v>51</v>
      </c>
      <c r="B77" s="92"/>
      <c r="C77" s="91">
        <v>77</v>
      </c>
      <c r="D77" s="91">
        <v>181</v>
      </c>
      <c r="E77" s="91">
        <v>80</v>
      </c>
    </row>
    <row r="78" spans="1:5" hidden="1" outlineLevel="1" x14ac:dyDescent="0.25">
      <c r="A78" s="19" t="s">
        <v>30</v>
      </c>
      <c r="B78" s="92"/>
      <c r="C78" s="91">
        <v>49</v>
      </c>
      <c r="D78" s="91">
        <v>63</v>
      </c>
      <c r="E78" s="91">
        <v>65</v>
      </c>
    </row>
    <row r="79" spans="1:5" ht="30" hidden="1" outlineLevel="1" x14ac:dyDescent="0.25">
      <c r="A79" s="22" t="s">
        <v>52</v>
      </c>
      <c r="B79" s="94"/>
      <c r="C79" s="95">
        <v>1553</v>
      </c>
      <c r="D79" s="95">
        <v>1913</v>
      </c>
      <c r="E79" s="95">
        <v>2541</v>
      </c>
    </row>
    <row r="80" spans="1:5" hidden="1" outlineLevel="1" x14ac:dyDescent="0.25">
      <c r="A80" s="20" t="s">
        <v>53</v>
      </c>
      <c r="B80" s="96"/>
      <c r="C80" s="95">
        <v>13240</v>
      </c>
      <c r="D80" s="95">
        <v>12518</v>
      </c>
      <c r="E80" s="95">
        <v>12119</v>
      </c>
    </row>
    <row r="81" spans="1:10" hidden="1" outlineLevel="1" x14ac:dyDescent="0.25">
      <c r="A81" s="16" t="s">
        <v>54</v>
      </c>
      <c r="B81" s="97"/>
      <c r="C81" s="95">
        <v>17575</v>
      </c>
      <c r="D81" s="95">
        <v>19081</v>
      </c>
      <c r="E81" s="95">
        <v>22750</v>
      </c>
    </row>
    <row r="82" spans="1:10" ht="30" hidden="1" outlineLevel="1" x14ac:dyDescent="0.25">
      <c r="A82" s="15" t="s">
        <v>55</v>
      </c>
      <c r="B82" s="90"/>
      <c r="C82" s="91">
        <v>0</v>
      </c>
      <c r="D82" s="91">
        <v>0</v>
      </c>
      <c r="E82" s="91">
        <v>0</v>
      </c>
    </row>
    <row r="83" spans="1:10" ht="30" hidden="1" outlineLevel="1" x14ac:dyDescent="0.25">
      <c r="A83" s="15" t="s">
        <v>56</v>
      </c>
      <c r="B83" s="90"/>
      <c r="C83" s="91">
        <v>3</v>
      </c>
      <c r="D83" s="91">
        <v>2</v>
      </c>
      <c r="E83" s="91">
        <v>2</v>
      </c>
    </row>
    <row r="84" spans="1:10" hidden="1" outlineLevel="1" x14ac:dyDescent="0.25">
      <c r="A84" s="15" t="s">
        <v>57</v>
      </c>
      <c r="B84" s="90"/>
      <c r="C84" s="91">
        <v>10385</v>
      </c>
      <c r="D84" s="91">
        <v>11971</v>
      </c>
      <c r="E84" s="91">
        <v>13132</v>
      </c>
    </row>
    <row r="85" spans="1:10" hidden="1" outlineLevel="1" x14ac:dyDescent="0.25">
      <c r="A85" s="15" t="s">
        <v>58</v>
      </c>
      <c r="B85" s="90"/>
      <c r="C85" s="91">
        <v>0</v>
      </c>
      <c r="D85" s="91">
        <v>0</v>
      </c>
      <c r="E85" s="91">
        <v>0</v>
      </c>
    </row>
    <row r="86" spans="1:10" ht="30" hidden="1" outlineLevel="1" x14ac:dyDescent="0.25">
      <c r="A86" s="15" t="s">
        <v>59</v>
      </c>
      <c r="B86" s="90"/>
      <c r="C86" s="91">
        <v>-11</v>
      </c>
      <c r="D86" s="91">
        <v>-43</v>
      </c>
      <c r="E86" s="91">
        <v>27</v>
      </c>
    </row>
    <row r="87" spans="1:10" hidden="1" outlineLevel="1" x14ac:dyDescent="0.25">
      <c r="A87" s="15" t="s">
        <v>60</v>
      </c>
      <c r="B87" s="90"/>
      <c r="C87" s="91">
        <v>16235</v>
      </c>
      <c r="D87" s="91">
        <v>10171</v>
      </c>
      <c r="E87" s="91">
        <v>29817</v>
      </c>
    </row>
    <row r="88" spans="1:10" hidden="1" outlineLevel="1" x14ac:dyDescent="0.25">
      <c r="A88" s="16" t="s">
        <v>61</v>
      </c>
      <c r="B88" s="97"/>
      <c r="C88" s="95">
        <v>26612</v>
      </c>
      <c r="D88" s="95">
        <v>22101</v>
      </c>
      <c r="E88" s="95">
        <v>42978</v>
      </c>
    </row>
    <row r="89" spans="1:10" ht="30" hidden="1" outlineLevel="1" x14ac:dyDescent="0.25">
      <c r="A89" s="21" t="s">
        <v>62</v>
      </c>
      <c r="B89" s="98"/>
      <c r="C89" s="95">
        <v>44187</v>
      </c>
      <c r="D89" s="95">
        <v>41182</v>
      </c>
      <c r="E89" s="95">
        <v>65728</v>
      </c>
    </row>
    <row r="90" spans="1:10" collapsed="1" x14ac:dyDescent="0.25">
      <c r="A90" s="21"/>
      <c r="B90" s="21"/>
      <c r="C90" s="23"/>
      <c r="D90" s="23"/>
      <c r="E90" s="23"/>
    </row>
    <row r="91" spans="1:10" x14ac:dyDescent="0.25">
      <c r="A91" s="85" t="s">
        <v>149</v>
      </c>
      <c r="B91" s="41"/>
      <c r="C91" s="42"/>
      <c r="D91" s="42"/>
      <c r="E91" s="42"/>
      <c r="F91" s="2"/>
      <c r="G91" s="2"/>
      <c r="H91" s="2"/>
      <c r="I91" s="2"/>
      <c r="J91" s="2"/>
    </row>
    <row r="92" spans="1:10" hidden="1" outlineLevel="1" x14ac:dyDescent="0.25">
      <c r="A92" s="21"/>
      <c r="B92" s="21"/>
      <c r="C92" s="23"/>
      <c r="D92" s="23"/>
      <c r="E92" s="23"/>
    </row>
    <row r="93" spans="1:10" hidden="1" outlineLevel="1" x14ac:dyDescent="0.25">
      <c r="A93" s="125" t="s">
        <v>14</v>
      </c>
      <c r="B93" s="90"/>
      <c r="C93" s="91">
        <v>9752</v>
      </c>
      <c r="D93" s="91">
        <v>4368</v>
      </c>
      <c r="E93" s="91">
        <v>29760</v>
      </c>
    </row>
    <row r="94" spans="1:10" ht="30" hidden="1" outlineLevel="1" x14ac:dyDescent="0.25">
      <c r="A94" s="126" t="s">
        <v>66</v>
      </c>
      <c r="B94" s="92"/>
      <c r="C94" s="91">
        <v>2004</v>
      </c>
      <c r="D94" s="91">
        <v>2709</v>
      </c>
      <c r="E94" s="91">
        <v>3549</v>
      </c>
    </row>
    <row r="95" spans="1:10" ht="30" hidden="1" outlineLevel="1" x14ac:dyDescent="0.25">
      <c r="A95" s="126" t="s">
        <v>67</v>
      </c>
      <c r="B95" s="92"/>
      <c r="C95" s="91">
        <v>1174</v>
      </c>
      <c r="D95" s="91">
        <v>1544</v>
      </c>
      <c r="E95" s="91">
        <v>1508</v>
      </c>
      <c r="F95" s="17"/>
      <c r="G95" s="17"/>
      <c r="H95" s="17"/>
      <c r="I95" s="17"/>
      <c r="J95" s="17"/>
    </row>
    <row r="96" spans="1:10" hidden="1" outlineLevel="1" x14ac:dyDescent="0.25">
      <c r="A96" s="126" t="s">
        <v>68</v>
      </c>
      <c r="B96" s="92"/>
      <c r="C96" s="91">
        <v>-406</v>
      </c>
      <c r="D96" s="91">
        <v>-2164</v>
      </c>
      <c r="E96" s="91">
        <v>-2489</v>
      </c>
    </row>
    <row r="97" spans="1:5" ht="45" hidden="1" outlineLevel="1" x14ac:dyDescent="0.25">
      <c r="A97" s="126" t="s">
        <v>69</v>
      </c>
      <c r="B97" s="92"/>
      <c r="C97" s="91">
        <v>-100</v>
      </c>
      <c r="D97" s="91">
        <v>45</v>
      </c>
      <c r="E97" s="91">
        <v>-238</v>
      </c>
    </row>
    <row r="98" spans="1:5" ht="30" hidden="1" outlineLevel="1" x14ac:dyDescent="0.25">
      <c r="A98" s="126" t="s">
        <v>5</v>
      </c>
      <c r="B98" s="92"/>
      <c r="C98" s="91">
        <v>0</v>
      </c>
      <c r="D98" s="91">
        <v>1353</v>
      </c>
      <c r="E98" s="91">
        <v>0</v>
      </c>
    </row>
    <row r="99" spans="1:5" hidden="1" outlineLevel="1" x14ac:dyDescent="0.25">
      <c r="A99" s="126" t="s">
        <v>30</v>
      </c>
      <c r="B99" s="92"/>
      <c r="C99" s="91">
        <v>47</v>
      </c>
      <c r="D99" s="91">
        <v>-7</v>
      </c>
      <c r="E99" s="91">
        <v>-278</v>
      </c>
    </row>
    <row r="100" spans="1:5" hidden="1" outlineLevel="1" x14ac:dyDescent="0.25">
      <c r="A100" s="127" t="s">
        <v>70</v>
      </c>
      <c r="B100" s="93"/>
      <c r="C100" s="91">
        <v>-2215</v>
      </c>
      <c r="D100" s="91">
        <v>822</v>
      </c>
      <c r="E100" s="91">
        <v>-6172</v>
      </c>
    </row>
    <row r="101" spans="1:5" hidden="1" outlineLevel="1" x14ac:dyDescent="0.25">
      <c r="A101" s="127" t="s">
        <v>18</v>
      </c>
      <c r="B101" s="93"/>
      <c r="C101" s="91">
        <v>-774</v>
      </c>
      <c r="D101" s="91">
        <v>-2554</v>
      </c>
      <c r="E101" s="91">
        <v>-98</v>
      </c>
    </row>
    <row r="102" spans="1:5" ht="30" hidden="1" outlineLevel="1" x14ac:dyDescent="0.25">
      <c r="A102" s="127" t="s">
        <v>71</v>
      </c>
      <c r="B102" s="93"/>
      <c r="C102" s="91">
        <v>-1715</v>
      </c>
      <c r="D102" s="91">
        <v>-1517</v>
      </c>
      <c r="E102" s="91">
        <v>-1522</v>
      </c>
    </row>
    <row r="103" spans="1:5" hidden="1" outlineLevel="1" x14ac:dyDescent="0.25">
      <c r="A103" s="127" t="s">
        <v>34</v>
      </c>
      <c r="B103" s="93"/>
      <c r="C103" s="91">
        <v>568</v>
      </c>
      <c r="D103" s="91">
        <v>-551</v>
      </c>
      <c r="E103" s="91">
        <v>1531</v>
      </c>
    </row>
    <row r="104" spans="1:5" ht="30" hidden="1" outlineLevel="1" x14ac:dyDescent="0.25">
      <c r="A104" s="127" t="s">
        <v>44</v>
      </c>
      <c r="B104" s="93"/>
      <c r="C104" s="91">
        <v>581</v>
      </c>
      <c r="D104" s="91">
        <v>1341</v>
      </c>
      <c r="E104" s="91">
        <v>2025</v>
      </c>
    </row>
    <row r="105" spans="1:5" hidden="1" outlineLevel="1" x14ac:dyDescent="0.25">
      <c r="A105" s="127" t="s">
        <v>52</v>
      </c>
      <c r="B105" s="93"/>
      <c r="C105" s="91">
        <v>192</v>
      </c>
      <c r="D105" s="91">
        <v>252</v>
      </c>
      <c r="E105" s="91">
        <v>514</v>
      </c>
    </row>
    <row r="106" spans="1:5" ht="45" hidden="1" outlineLevel="1" x14ac:dyDescent="0.25">
      <c r="A106" s="128" t="s">
        <v>72</v>
      </c>
      <c r="B106" s="94"/>
      <c r="C106" s="95">
        <v>-3363</v>
      </c>
      <c r="D106" s="95">
        <v>-2207</v>
      </c>
      <c r="E106" s="95">
        <v>-3722</v>
      </c>
    </row>
    <row r="107" spans="1:5" ht="60" hidden="1" outlineLevel="1" x14ac:dyDescent="0.25">
      <c r="A107" s="129" t="s">
        <v>73</v>
      </c>
      <c r="B107" s="96"/>
      <c r="C107" s="95">
        <v>-644</v>
      </c>
      <c r="D107" s="95">
        <v>1273</v>
      </c>
      <c r="E107" s="95">
        <v>-1670</v>
      </c>
    </row>
    <row r="108" spans="1:5" ht="30" hidden="1" outlineLevel="1" x14ac:dyDescent="0.25">
      <c r="A108" s="130" t="s">
        <v>74</v>
      </c>
      <c r="B108" s="97"/>
      <c r="C108" s="95">
        <v>9108</v>
      </c>
      <c r="D108" s="95">
        <v>5641</v>
      </c>
      <c r="E108" s="95">
        <v>28090</v>
      </c>
    </row>
    <row r="109" spans="1:5" ht="30" hidden="1" outlineLevel="1" x14ac:dyDescent="0.25">
      <c r="A109" s="125" t="s">
        <v>75</v>
      </c>
      <c r="B109" s="90"/>
      <c r="C109" s="91">
        <v>15197</v>
      </c>
      <c r="D109" s="91">
        <v>19425</v>
      </c>
      <c r="E109" s="91">
        <v>9732</v>
      </c>
    </row>
    <row r="110" spans="1:5" ht="30" hidden="1" outlineLevel="1" x14ac:dyDescent="0.25">
      <c r="A110" s="125" t="s">
        <v>76</v>
      </c>
      <c r="B110" s="90"/>
      <c r="C110" s="91">
        <v>1023</v>
      </c>
      <c r="D110" s="91">
        <v>1806</v>
      </c>
      <c r="E110" s="91">
        <v>50</v>
      </c>
    </row>
    <row r="111" spans="1:5" ht="30" hidden="1" outlineLevel="1" x14ac:dyDescent="0.25">
      <c r="A111" s="125" t="s">
        <v>77</v>
      </c>
      <c r="B111" s="90"/>
      <c r="C111" s="91">
        <v>-24787</v>
      </c>
      <c r="D111" s="91">
        <v>-11897</v>
      </c>
      <c r="E111" s="91">
        <v>-18211</v>
      </c>
    </row>
    <row r="112" spans="1:5" ht="45" hidden="1" outlineLevel="1" x14ac:dyDescent="0.25">
      <c r="A112" s="125" t="s">
        <v>78</v>
      </c>
      <c r="B112" s="90"/>
      <c r="C112" s="91">
        <v>-976</v>
      </c>
      <c r="D112" s="91">
        <v>-1833</v>
      </c>
      <c r="E112" s="91">
        <v>-1069</v>
      </c>
    </row>
    <row r="113" spans="1:5" ht="30" hidden="1" outlineLevel="1" x14ac:dyDescent="0.25">
      <c r="A113" s="125" t="s">
        <v>79</v>
      </c>
      <c r="B113" s="90"/>
      <c r="C113" s="91">
        <v>-263</v>
      </c>
      <c r="D113" s="91">
        <v>-49</v>
      </c>
      <c r="E113" s="91">
        <v>-83</v>
      </c>
    </row>
    <row r="114" spans="1:5" ht="30" hidden="1" outlineLevel="1" x14ac:dyDescent="0.25">
      <c r="A114" s="125" t="s">
        <v>80</v>
      </c>
      <c r="B114" s="90"/>
      <c r="C114" s="91">
        <v>-24</v>
      </c>
      <c r="D114" s="91">
        <v>-77</v>
      </c>
      <c r="E114" s="91">
        <v>-985</v>
      </c>
    </row>
    <row r="115" spans="1:5" ht="30" hidden="1" outlineLevel="1" x14ac:dyDescent="0.25">
      <c r="A115" s="130" t="s">
        <v>81</v>
      </c>
      <c r="B115" s="97"/>
      <c r="C115" s="95">
        <v>-9830</v>
      </c>
      <c r="D115" s="95">
        <v>7375</v>
      </c>
      <c r="E115" s="95">
        <v>-10566</v>
      </c>
    </row>
    <row r="116" spans="1:5" ht="30" hidden="1" outlineLevel="1" x14ac:dyDescent="0.25">
      <c r="A116" s="125" t="s">
        <v>82</v>
      </c>
      <c r="B116" s="90"/>
      <c r="C116" s="91">
        <v>281</v>
      </c>
      <c r="D116" s="91">
        <v>355</v>
      </c>
      <c r="E116" s="91">
        <v>403</v>
      </c>
    </row>
    <row r="117" spans="1:5" ht="45" hidden="1" outlineLevel="1" x14ac:dyDescent="0.25">
      <c r="A117" s="125" t="s">
        <v>83</v>
      </c>
      <c r="B117" s="90"/>
      <c r="C117" s="91">
        <v>0</v>
      </c>
      <c r="D117" s="91">
        <v>-10039</v>
      </c>
      <c r="E117" s="91">
        <v>-9533</v>
      </c>
    </row>
    <row r="118" spans="1:5" ht="30" hidden="1" outlineLevel="1" x14ac:dyDescent="0.25">
      <c r="A118" s="125" t="s">
        <v>84</v>
      </c>
      <c r="B118" s="90"/>
      <c r="C118" s="91">
        <v>-1904</v>
      </c>
      <c r="D118" s="91">
        <v>-1475</v>
      </c>
      <c r="E118" s="91">
        <v>-2783</v>
      </c>
    </row>
    <row r="119" spans="1:5" hidden="1" outlineLevel="1" x14ac:dyDescent="0.25">
      <c r="A119" s="125" t="s">
        <v>85</v>
      </c>
      <c r="B119" s="90"/>
      <c r="C119" s="91">
        <v>-1000</v>
      </c>
      <c r="D119" s="91">
        <v>0</v>
      </c>
      <c r="E119" s="91">
        <v>-1250</v>
      </c>
    </row>
    <row r="120" spans="1:5" hidden="1" outlineLevel="1" x14ac:dyDescent="0.25">
      <c r="A120" s="125" t="s">
        <v>86</v>
      </c>
      <c r="B120" s="90"/>
      <c r="C120" s="91">
        <v>-399</v>
      </c>
      <c r="D120" s="91">
        <v>-398</v>
      </c>
      <c r="E120" s="91">
        <v>-395</v>
      </c>
    </row>
    <row r="121" spans="1:5" ht="45" hidden="1" outlineLevel="1" x14ac:dyDescent="0.25">
      <c r="A121" s="125" t="s">
        <v>87</v>
      </c>
      <c r="B121" s="90"/>
      <c r="C121" s="91">
        <v>-83</v>
      </c>
      <c r="D121" s="91">
        <v>-58</v>
      </c>
      <c r="E121" s="91">
        <v>-74</v>
      </c>
    </row>
    <row r="122" spans="1:5" ht="30" hidden="1" outlineLevel="1" x14ac:dyDescent="0.25">
      <c r="A122" s="125" t="s">
        <v>88</v>
      </c>
      <c r="B122" s="90"/>
      <c r="C122" s="91">
        <v>4977</v>
      </c>
      <c r="D122" s="91">
        <v>0</v>
      </c>
      <c r="E122" s="91">
        <v>0</v>
      </c>
    </row>
    <row r="123" spans="1:5" hidden="1" outlineLevel="1" x14ac:dyDescent="0.25">
      <c r="A123" s="125" t="s">
        <v>30</v>
      </c>
      <c r="B123" s="90"/>
      <c r="C123" s="91">
        <v>-7</v>
      </c>
      <c r="D123" s="91">
        <v>-2</v>
      </c>
      <c r="E123" s="91">
        <v>-1</v>
      </c>
    </row>
    <row r="124" spans="1:5" ht="30" hidden="1" outlineLevel="1" x14ac:dyDescent="0.25">
      <c r="A124" s="130" t="s">
        <v>89</v>
      </c>
      <c r="B124" s="97"/>
      <c r="C124" s="95">
        <v>1865</v>
      </c>
      <c r="D124" s="95">
        <v>-11617</v>
      </c>
      <c r="E124" s="95">
        <v>-13633</v>
      </c>
    </row>
    <row r="125" spans="1:5" ht="30" hidden="1" outlineLevel="1" x14ac:dyDescent="0.25">
      <c r="A125" s="131" t="s">
        <v>90</v>
      </c>
      <c r="B125" s="98"/>
      <c r="C125" s="95">
        <v>1143</v>
      </c>
      <c r="D125" s="95">
        <v>1399</v>
      </c>
      <c r="E125" s="95">
        <v>3891</v>
      </c>
    </row>
    <row r="126" spans="1:5" ht="30" hidden="1" outlineLevel="1" x14ac:dyDescent="0.25">
      <c r="A126" s="125" t="s">
        <v>91</v>
      </c>
      <c r="B126" s="90"/>
      <c r="C126" s="91">
        <v>847</v>
      </c>
      <c r="D126" s="91">
        <v>1990</v>
      </c>
      <c r="E126" s="91">
        <v>3389</v>
      </c>
    </row>
    <row r="127" spans="1:5" ht="30" hidden="1" outlineLevel="1" x14ac:dyDescent="0.25">
      <c r="A127" s="131" t="s">
        <v>92</v>
      </c>
      <c r="B127" s="98"/>
      <c r="C127" s="95">
        <v>1990</v>
      </c>
      <c r="D127" s="95">
        <v>3389</v>
      </c>
      <c r="E127" s="95">
        <v>7280</v>
      </c>
    </row>
    <row r="128" spans="1:5" collapsed="1" x14ac:dyDescent="0.25">
      <c r="A128" s="21"/>
      <c r="B128" s="21"/>
      <c r="C128" s="23"/>
      <c r="D128" s="23"/>
      <c r="E128" s="23"/>
    </row>
    <row r="129" spans="1:10" x14ac:dyDescent="0.25">
      <c r="A129" s="80" t="s">
        <v>145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hidden="1" outlineLevel="1" x14ac:dyDescent="0.25"/>
    <row r="131" spans="1:10" hidden="1" outlineLevel="1" x14ac:dyDescent="0.25">
      <c r="A131" s="132" t="s">
        <v>63</v>
      </c>
      <c r="B131" s="29"/>
      <c r="C131" s="43">
        <v>0</v>
      </c>
      <c r="D131" s="33">
        <f t="shared" ref="D131:F131" si="5">C42</f>
        <v>2778</v>
      </c>
      <c r="E131" s="33">
        <f t="shared" si="5"/>
        <v>3807</v>
      </c>
      <c r="F131" s="33">
        <f t="shared" si="5"/>
        <v>3914</v>
      </c>
      <c r="G131" s="33">
        <f ca="1">F135</f>
        <v>5994.7248</v>
      </c>
      <c r="H131" s="33">
        <f t="shared" ref="H131:J131" ca="1" si="6">G135</f>
        <v>9591.5596800000003</v>
      </c>
      <c r="I131" s="33">
        <f t="shared" ca="1" si="6"/>
        <v>14962.833100800002</v>
      </c>
      <c r="J131" s="33">
        <f t="shared" ca="1" si="6"/>
        <v>22743.506313216003</v>
      </c>
    </row>
    <row r="132" spans="1:10" hidden="1" outlineLevel="1" x14ac:dyDescent="0.25">
      <c r="A132" s="132" t="s">
        <v>108</v>
      </c>
      <c r="B132" s="29"/>
      <c r="C132" s="99">
        <v>0</v>
      </c>
      <c r="D132" s="99">
        <f>D95</f>
        <v>1544</v>
      </c>
      <c r="E132" s="99">
        <f>E95</f>
        <v>1508</v>
      </c>
      <c r="F132" s="30">
        <f>F133*F131</f>
        <v>1174.2</v>
      </c>
      <c r="G132" s="30">
        <f ca="1">G133*G131</f>
        <v>1798.4174399999999</v>
      </c>
      <c r="H132" s="30">
        <f ca="1">H133*H131</f>
        <v>2877.4679040000001</v>
      </c>
      <c r="I132" s="30">
        <f ca="1">I133*I131</f>
        <v>4488.8499302400005</v>
      </c>
      <c r="J132" s="30">
        <f ca="1">J133*J131</f>
        <v>6823.0518939648009</v>
      </c>
    </row>
    <row r="133" spans="1:10" hidden="1" outlineLevel="1" x14ac:dyDescent="0.25">
      <c r="A133" s="133" t="s">
        <v>113</v>
      </c>
      <c r="B133" s="100"/>
      <c r="C133" s="101">
        <v>0</v>
      </c>
      <c r="D133" s="101">
        <f>D132/(D131+D134)</f>
        <v>0.28854419734629039</v>
      </c>
      <c r="E133" s="101">
        <f>E132/(E131+E134)</f>
        <v>0.27812615271117669</v>
      </c>
      <c r="F133" s="102">
        <v>0.3</v>
      </c>
      <c r="G133" s="102">
        <v>0.3</v>
      </c>
      <c r="H133" s="102">
        <v>0.3</v>
      </c>
      <c r="I133" s="102">
        <v>0.3</v>
      </c>
      <c r="J133" s="102">
        <v>0.3</v>
      </c>
    </row>
    <row r="134" spans="1:10" hidden="1" outlineLevel="1" x14ac:dyDescent="0.25">
      <c r="A134" s="132" t="s">
        <v>93</v>
      </c>
      <c r="B134" s="29"/>
      <c r="C134" s="33">
        <v>0</v>
      </c>
      <c r="D134" s="33">
        <f t="shared" ref="D134:J134" si="7">D135-D131+D132</f>
        <v>2573</v>
      </c>
      <c r="E134" s="33">
        <f t="shared" si="7"/>
        <v>1615</v>
      </c>
      <c r="F134" s="30">
        <f t="shared" ca="1" si="7"/>
        <v>3254.9247999999998</v>
      </c>
      <c r="G134" s="30">
        <f t="shared" ca="1" si="7"/>
        <v>5395.2523200000005</v>
      </c>
      <c r="H134" s="30">
        <f t="shared" ca="1" si="7"/>
        <v>8248.7413248000012</v>
      </c>
      <c r="I134" s="30">
        <f t="shared" ca="1" si="7"/>
        <v>12269.523142656002</v>
      </c>
      <c r="J134" s="30">
        <f t="shared" ca="1" si="7"/>
        <v>17739.93492430848</v>
      </c>
    </row>
    <row r="135" spans="1:10" hidden="1" outlineLevel="1" x14ac:dyDescent="0.25">
      <c r="A135" s="134" t="s">
        <v>64</v>
      </c>
      <c r="B135" s="103"/>
      <c r="C135" s="104">
        <v>0</v>
      </c>
      <c r="D135" s="104">
        <f>D42</f>
        <v>3807</v>
      </c>
      <c r="E135" s="104">
        <f>E42</f>
        <v>3914</v>
      </c>
      <c r="F135" s="105">
        <f ca="1">F136*F192</f>
        <v>5994.7248</v>
      </c>
      <c r="G135" s="105">
        <f ca="1">G136*G192</f>
        <v>9591.5596800000003</v>
      </c>
      <c r="H135" s="105">
        <f ca="1">H136*H192</f>
        <v>14962.833100800002</v>
      </c>
      <c r="I135" s="105">
        <f ca="1">I136*I192</f>
        <v>22743.506313216003</v>
      </c>
      <c r="J135" s="105">
        <f ca="1">J136*J192</f>
        <v>33660.389343559684</v>
      </c>
    </row>
    <row r="136" spans="1:10" hidden="1" outlineLevel="1" x14ac:dyDescent="0.25">
      <c r="A136" s="135" t="s">
        <v>115</v>
      </c>
      <c r="B136" s="106"/>
      <c r="C136" s="107">
        <f>C135/C11</f>
        <v>0</v>
      </c>
      <c r="D136" s="107">
        <f>D135/D11</f>
        <v>0.14113590865277675</v>
      </c>
      <c r="E136" s="107">
        <f>E135/E11</f>
        <v>6.4246085158070981E-2</v>
      </c>
      <c r="F136" s="107">
        <v>0.06</v>
      </c>
      <c r="G136" s="107">
        <v>0.06</v>
      </c>
      <c r="H136" s="107">
        <v>0.06</v>
      </c>
      <c r="I136" s="107">
        <v>0.06</v>
      </c>
      <c r="J136" s="107">
        <v>0.06</v>
      </c>
    </row>
    <row r="137" spans="1:10" hidden="1" outlineLevel="1" x14ac:dyDescent="0.25">
      <c r="A137" s="82"/>
      <c r="B137" s="24"/>
      <c r="C137" s="25"/>
      <c r="D137" s="25"/>
      <c r="E137" s="25"/>
      <c r="F137" s="26"/>
      <c r="G137" s="26"/>
      <c r="H137" s="26"/>
      <c r="I137" s="26"/>
      <c r="J137" s="26"/>
    </row>
    <row r="138" spans="1:10" hidden="1" outlineLevel="1" x14ac:dyDescent="0.25">
      <c r="A138" s="81" t="s">
        <v>109</v>
      </c>
      <c r="C138" s="25"/>
      <c r="D138" s="25"/>
      <c r="E138" s="25"/>
      <c r="F138" s="26"/>
      <c r="G138" s="26"/>
      <c r="H138" s="26"/>
      <c r="I138" s="26"/>
      <c r="J138" s="26"/>
    </row>
    <row r="139" spans="1:10" hidden="1" outlineLevel="1" x14ac:dyDescent="0.25">
      <c r="A139" s="132" t="s">
        <v>110</v>
      </c>
      <c r="B139" s="29"/>
      <c r="C139" s="104">
        <v>0</v>
      </c>
      <c r="D139" s="104">
        <f>C142</f>
        <v>2339</v>
      </c>
      <c r="E139" s="104">
        <f>D142</f>
        <v>1676</v>
      </c>
      <c r="F139" s="104">
        <f t="shared" ref="F139:J139" si="8">E142</f>
        <v>1112</v>
      </c>
      <c r="G139" s="104">
        <f t="shared" si="8"/>
        <v>778.40000000000009</v>
      </c>
      <c r="H139" s="104">
        <f t="shared" si="8"/>
        <v>544.88000000000011</v>
      </c>
      <c r="I139" s="104">
        <f t="shared" si="8"/>
        <v>381.41600000000005</v>
      </c>
      <c r="J139" s="104">
        <f t="shared" si="8"/>
        <v>266.99120000000005</v>
      </c>
    </row>
    <row r="140" spans="1:10" hidden="1" outlineLevel="1" x14ac:dyDescent="0.25">
      <c r="A140" s="132" t="s">
        <v>112</v>
      </c>
      <c r="B140" s="29"/>
      <c r="C140" s="104"/>
      <c r="D140" s="104">
        <f>D139-D142</f>
        <v>663</v>
      </c>
      <c r="E140" s="104">
        <f>E139-E142</f>
        <v>564</v>
      </c>
      <c r="F140" s="105">
        <f>F141*F139</f>
        <v>333.59999999999997</v>
      </c>
      <c r="G140" s="105">
        <f t="shared" ref="G140:J140" si="9">G141*G139</f>
        <v>233.52</v>
      </c>
      <c r="H140" s="105">
        <f t="shared" si="9"/>
        <v>163.46400000000003</v>
      </c>
      <c r="I140" s="105">
        <f t="shared" si="9"/>
        <v>114.42480000000002</v>
      </c>
      <c r="J140" s="105">
        <f t="shared" si="9"/>
        <v>80.097360000000009</v>
      </c>
    </row>
    <row r="141" spans="1:10" hidden="1" outlineLevel="1" x14ac:dyDescent="0.25">
      <c r="A141" s="133" t="s">
        <v>114</v>
      </c>
      <c r="B141" s="100"/>
      <c r="C141" s="108"/>
      <c r="D141" s="109">
        <f>D140/D139</f>
        <v>0.28345446772124838</v>
      </c>
      <c r="E141" s="109">
        <f>E140/E139</f>
        <v>0.33651551312649164</v>
      </c>
      <c r="F141" s="109">
        <v>0.3</v>
      </c>
      <c r="G141" s="109">
        <v>0.3</v>
      </c>
      <c r="H141" s="109">
        <v>0.3</v>
      </c>
      <c r="I141" s="109">
        <v>0.3</v>
      </c>
      <c r="J141" s="109">
        <v>0.3</v>
      </c>
    </row>
    <row r="142" spans="1:10" hidden="1" outlineLevel="1" x14ac:dyDescent="0.25">
      <c r="A142" s="132" t="s">
        <v>111</v>
      </c>
      <c r="B142" s="29"/>
      <c r="C142" s="104">
        <f>C45</f>
        <v>2339</v>
      </c>
      <c r="D142" s="104">
        <f>D45</f>
        <v>1676</v>
      </c>
      <c r="E142" s="104">
        <f>E45</f>
        <v>1112</v>
      </c>
      <c r="F142" s="104">
        <f>SUM(F139,-F140)</f>
        <v>778.40000000000009</v>
      </c>
      <c r="G142" s="104">
        <f>SUM(G139,-G140)</f>
        <v>544.88000000000011</v>
      </c>
      <c r="H142" s="104">
        <f>SUM(H139,-H140)</f>
        <v>381.41600000000005</v>
      </c>
      <c r="I142" s="104">
        <f>SUM(I139,-I140)</f>
        <v>266.99120000000005</v>
      </c>
      <c r="J142" s="104">
        <f>SUM(J139,-J140)</f>
        <v>186.89384000000004</v>
      </c>
    </row>
    <row r="143" spans="1:10" collapsed="1" x14ac:dyDescent="0.25"/>
    <row r="144" spans="1:10" x14ac:dyDescent="0.25">
      <c r="A144" s="80" t="s">
        <v>94</v>
      </c>
      <c r="B144" s="2"/>
      <c r="C144" s="2"/>
      <c r="D144" s="40"/>
      <c r="E144" s="2"/>
      <c r="F144" s="2"/>
      <c r="G144" s="2"/>
      <c r="H144" s="2"/>
      <c r="I144" s="2"/>
      <c r="J144" s="2"/>
    </row>
    <row r="145" spans="1:10" hidden="1" outlineLevel="1" x14ac:dyDescent="0.25"/>
    <row r="146" spans="1:10" hidden="1" outlineLevel="1" x14ac:dyDescent="0.25">
      <c r="A146" s="132" t="s">
        <v>102</v>
      </c>
      <c r="B146" s="29"/>
      <c r="C146" s="43"/>
      <c r="D146" s="43"/>
      <c r="E146" s="43"/>
      <c r="F146" s="43"/>
      <c r="G146" s="43"/>
      <c r="H146" s="43"/>
      <c r="I146" s="43"/>
      <c r="J146" s="43"/>
    </row>
    <row r="147" spans="1:10" hidden="1" outlineLevel="1" x14ac:dyDescent="0.25">
      <c r="A147" s="132" t="s">
        <v>105</v>
      </c>
      <c r="B147" s="29"/>
      <c r="C147" s="33">
        <f>C70</f>
        <v>0</v>
      </c>
      <c r="D147" s="33">
        <f>D70</f>
        <v>1250</v>
      </c>
      <c r="E147" s="33">
        <f>E70</f>
        <v>1250</v>
      </c>
      <c r="F147" s="33">
        <f>E147</f>
        <v>1250</v>
      </c>
      <c r="G147" s="33">
        <f t="shared" ref="G147:J147" si="10">F147</f>
        <v>1250</v>
      </c>
      <c r="H147" s="33">
        <f t="shared" si="10"/>
        <v>1250</v>
      </c>
      <c r="I147" s="33">
        <f t="shared" si="10"/>
        <v>1250</v>
      </c>
      <c r="J147" s="33">
        <f t="shared" si="10"/>
        <v>1250</v>
      </c>
    </row>
    <row r="148" spans="1:10" hidden="1" outlineLevel="1" x14ac:dyDescent="0.25">
      <c r="A148" s="132" t="s">
        <v>106</v>
      </c>
      <c r="B148" s="29"/>
      <c r="C148" s="33">
        <f t="shared" ref="C148:E148" si="11">C72</f>
        <v>10946</v>
      </c>
      <c r="D148" s="33">
        <f t="shared" si="11"/>
        <v>9703</v>
      </c>
      <c r="E148" s="33">
        <f t="shared" si="11"/>
        <v>8459</v>
      </c>
      <c r="F148" s="33">
        <f>E148-F147</f>
        <v>7209</v>
      </c>
      <c r="G148" s="33">
        <f t="shared" ref="G148:J148" si="12">F148-G147</f>
        <v>5959</v>
      </c>
      <c r="H148" s="33">
        <f t="shared" si="12"/>
        <v>4709</v>
      </c>
      <c r="I148" s="33">
        <f t="shared" si="12"/>
        <v>3459</v>
      </c>
      <c r="J148" s="33">
        <f t="shared" si="12"/>
        <v>2209</v>
      </c>
    </row>
    <row r="149" spans="1:10" hidden="1" outlineLevel="1" x14ac:dyDescent="0.25">
      <c r="A149" s="132" t="s">
        <v>103</v>
      </c>
      <c r="B149" s="29"/>
      <c r="C149" s="33">
        <f>SUM(C147:C148)</f>
        <v>10946</v>
      </c>
      <c r="D149" s="33">
        <f>SUM(D147:D148)</f>
        <v>10953</v>
      </c>
      <c r="E149" s="33">
        <f>SUM(E147:E148)</f>
        <v>9709</v>
      </c>
      <c r="F149" s="33">
        <f>SUM(F147:F148)</f>
        <v>8459</v>
      </c>
      <c r="G149" s="33">
        <f>SUM(G147:G148)</f>
        <v>7209</v>
      </c>
      <c r="H149" s="33">
        <f>SUM(H147:H148)</f>
        <v>5959</v>
      </c>
      <c r="I149" s="33">
        <f>SUM(I147:I148)</f>
        <v>4709</v>
      </c>
      <c r="J149" s="33">
        <f>SUM(J147:J148)</f>
        <v>3459</v>
      </c>
    </row>
    <row r="150" spans="1:10" hidden="1" outlineLevel="1" x14ac:dyDescent="0.25">
      <c r="A150" s="132" t="s">
        <v>104</v>
      </c>
      <c r="B150" s="29"/>
      <c r="C150" s="33">
        <f>-C26</f>
        <v>236</v>
      </c>
      <c r="D150" s="33">
        <f>-D26</f>
        <v>262</v>
      </c>
      <c r="E150" s="33">
        <f>-E26</f>
        <v>257</v>
      </c>
      <c r="F150" s="30">
        <f>F151*F149</f>
        <v>169.18</v>
      </c>
      <c r="G150" s="30">
        <f>G151*G149</f>
        <v>144.18</v>
      </c>
      <c r="H150" s="30">
        <f>H151*H149</f>
        <v>119.18</v>
      </c>
      <c r="I150" s="30">
        <f>I151*I149</f>
        <v>94.18</v>
      </c>
      <c r="J150" s="30">
        <f>J151*J149</f>
        <v>69.180000000000007</v>
      </c>
    </row>
    <row r="151" spans="1:10" hidden="1" outlineLevel="1" x14ac:dyDescent="0.25">
      <c r="A151" s="132" t="s">
        <v>107</v>
      </c>
      <c r="B151" s="29"/>
      <c r="C151" s="43">
        <v>0</v>
      </c>
      <c r="D151" s="31">
        <f>D150/C149</f>
        <v>2.3935684268225836E-2</v>
      </c>
      <c r="E151" s="31">
        <f>E150/D149</f>
        <v>2.3463891171368576E-2</v>
      </c>
      <c r="F151" s="31">
        <v>0.02</v>
      </c>
      <c r="G151" s="31">
        <v>0.02</v>
      </c>
      <c r="H151" s="31">
        <v>0.02</v>
      </c>
      <c r="I151" s="31">
        <v>0.02</v>
      </c>
      <c r="J151" s="31">
        <v>0.02</v>
      </c>
    </row>
    <row r="152" spans="1:10" collapsed="1" x14ac:dyDescent="0.25"/>
    <row r="153" spans="1:10" x14ac:dyDescent="0.25">
      <c r="A153" s="80" t="s">
        <v>95</v>
      </c>
      <c r="B153" s="2"/>
      <c r="C153" s="1"/>
      <c r="D153" s="1"/>
      <c r="E153" s="1"/>
      <c r="F153" s="1"/>
      <c r="G153" s="1"/>
      <c r="H153" s="1"/>
      <c r="I153" s="1"/>
      <c r="J153" s="1"/>
    </row>
    <row r="154" spans="1:10" hidden="1" outlineLevel="1" x14ac:dyDescent="0.25"/>
    <row r="155" spans="1:10" hidden="1" outlineLevel="1" x14ac:dyDescent="0.25">
      <c r="A155" s="132" t="s">
        <v>18</v>
      </c>
      <c r="B155" s="29"/>
      <c r="C155" s="33">
        <f>C39</f>
        <v>2605</v>
      </c>
      <c r="D155" s="33">
        <f>D39</f>
        <v>5159</v>
      </c>
      <c r="E155" s="33">
        <f>E39</f>
        <v>5282</v>
      </c>
      <c r="F155" s="37">
        <f ca="1">F156*F192</f>
        <v>35968.3488</v>
      </c>
      <c r="G155" s="37">
        <f t="shared" ref="G155:J155" ca="1" si="13">G156*G192</f>
        <v>55950.764799999997</v>
      </c>
      <c r="H155" s="37">
        <f t="shared" ca="1" si="13"/>
        <v>87283.193088</v>
      </c>
      <c r="I155" s="37">
        <f t="shared" ca="1" si="13"/>
        <v>132670.45349376</v>
      </c>
      <c r="J155" s="37">
        <f t="shared" ca="1" si="13"/>
        <v>196352.27117076481</v>
      </c>
    </row>
    <row r="156" spans="1:10" hidden="1" outlineLevel="1" x14ac:dyDescent="0.25">
      <c r="A156" s="136" t="s">
        <v>100</v>
      </c>
      <c r="B156" s="110"/>
      <c r="C156" s="107">
        <f>C155/-C13</f>
        <v>0.27598262527810147</v>
      </c>
      <c r="D156" s="107">
        <f>D155/-D13</f>
        <v>0.44405233258736443</v>
      </c>
      <c r="E156" s="107">
        <f>E155/-E13</f>
        <v>0.31779074664580953</v>
      </c>
      <c r="F156" s="107">
        <v>0.36</v>
      </c>
      <c r="G156" s="107">
        <v>0.35</v>
      </c>
      <c r="H156" s="107">
        <v>0.35</v>
      </c>
      <c r="I156" s="107">
        <v>0.35</v>
      </c>
      <c r="J156" s="107">
        <v>0.35</v>
      </c>
    </row>
    <row r="157" spans="1:10" hidden="1" outlineLevel="1" x14ac:dyDescent="0.25">
      <c r="A157" s="132" t="s">
        <v>99</v>
      </c>
      <c r="B157" s="29"/>
      <c r="C157" s="33">
        <f>C38</f>
        <v>4650</v>
      </c>
      <c r="D157" s="33">
        <f>D38</f>
        <v>3827</v>
      </c>
      <c r="E157" s="33">
        <f>E38</f>
        <v>9999</v>
      </c>
      <c r="F157" s="37">
        <f ca="1">F158*F192</f>
        <v>15985.9328</v>
      </c>
      <c r="G157" s="37">
        <f t="shared" ref="G157:J157" ca="1" si="14">G158*G192</f>
        <v>25577.492480000001</v>
      </c>
      <c r="H157" s="37">
        <f t="shared" ca="1" si="14"/>
        <v>39900.888268800009</v>
      </c>
      <c r="I157" s="37">
        <f t="shared" ca="1" si="14"/>
        <v>60649.350168576006</v>
      </c>
      <c r="J157" s="37">
        <f t="shared" ca="1" si="14"/>
        <v>89761.0382494925</v>
      </c>
    </row>
    <row r="158" spans="1:10" hidden="1" outlineLevel="1" x14ac:dyDescent="0.25">
      <c r="A158" s="136" t="s">
        <v>96</v>
      </c>
      <c r="B158" s="110"/>
      <c r="C158" s="107">
        <f>C157/C11</f>
        <v>0.17277253474028387</v>
      </c>
      <c r="D158" s="107">
        <f>D157/D11</f>
        <v>0.14187736338696522</v>
      </c>
      <c r="E158" s="107">
        <f>E157/E11</f>
        <v>0.1641279012507797</v>
      </c>
      <c r="F158" s="107">
        <v>0.16</v>
      </c>
      <c r="G158" s="107">
        <v>0.16</v>
      </c>
      <c r="H158" s="107">
        <v>0.16</v>
      </c>
      <c r="I158" s="107">
        <v>0.16</v>
      </c>
      <c r="J158" s="107">
        <v>0.16</v>
      </c>
    </row>
    <row r="159" spans="1:10" hidden="1" outlineLevel="1" x14ac:dyDescent="0.25">
      <c r="A159" s="132" t="s">
        <v>101</v>
      </c>
      <c r="B159" s="29"/>
      <c r="C159" s="33">
        <f>C58</f>
        <v>1783</v>
      </c>
      <c r="D159" s="33">
        <f>D58</f>
        <v>1193</v>
      </c>
      <c r="E159" s="33">
        <f>E58</f>
        <v>2699</v>
      </c>
      <c r="F159" s="37">
        <f ca="1">F160*F192</f>
        <v>14986.812</v>
      </c>
      <c r="G159" s="37">
        <f t="shared" ref="G159:J159" ca="1" si="15">G160*G192</f>
        <v>23978.8992</v>
      </c>
      <c r="H159" s="37">
        <f t="shared" ca="1" si="15"/>
        <v>37407.082752000002</v>
      </c>
      <c r="I159" s="37">
        <f t="shared" ca="1" si="15"/>
        <v>56858.765783040006</v>
      </c>
      <c r="J159" s="37">
        <f t="shared" ca="1" si="15"/>
        <v>84150.973358899209</v>
      </c>
    </row>
    <row r="160" spans="1:10" hidden="1" outlineLevel="1" x14ac:dyDescent="0.25">
      <c r="A160" s="136" t="s">
        <v>97</v>
      </c>
      <c r="B160" s="110"/>
      <c r="C160" s="107">
        <f>C159/-C13</f>
        <v>0.18889712893314969</v>
      </c>
      <c r="D160" s="107">
        <f>D159/-D13</f>
        <v>0.1026854880358065</v>
      </c>
      <c r="E160" s="107">
        <f>E159/-E13</f>
        <v>0.16238493472113591</v>
      </c>
      <c r="F160" s="107">
        <v>0.15</v>
      </c>
      <c r="G160" s="107">
        <v>0.15</v>
      </c>
      <c r="H160" s="107">
        <v>0.15</v>
      </c>
      <c r="I160" s="107">
        <v>0.15</v>
      </c>
      <c r="J160" s="107">
        <v>0.15</v>
      </c>
    </row>
    <row r="161" spans="1:10" hidden="1" outlineLevel="1" x14ac:dyDescent="0.25">
      <c r="A161" s="134" t="s">
        <v>98</v>
      </c>
      <c r="B161" s="103"/>
      <c r="C161" s="104">
        <f>C155+C157-C159</f>
        <v>5472</v>
      </c>
      <c r="D161" s="104">
        <f t="shared" ref="D161:J161" si="16">D155+D157-D159</f>
        <v>7793</v>
      </c>
      <c r="E161" s="104">
        <f t="shared" si="16"/>
        <v>12582</v>
      </c>
      <c r="F161" s="104">
        <f t="shared" ca="1" si="16"/>
        <v>36967.469600000004</v>
      </c>
      <c r="G161" s="104">
        <f t="shared" ca="1" si="16"/>
        <v>57549.358079999991</v>
      </c>
      <c r="H161" s="104">
        <f t="shared" ca="1" si="16"/>
        <v>89776.998604800014</v>
      </c>
      <c r="I161" s="104">
        <f t="shared" ca="1" si="16"/>
        <v>136461.037879296</v>
      </c>
      <c r="J161" s="104">
        <f t="shared" ca="1" si="16"/>
        <v>201962.33606135813</v>
      </c>
    </row>
    <row r="162" spans="1:10" collapsed="1" x14ac:dyDescent="0.25"/>
    <row r="163" spans="1:10" x14ac:dyDescent="0.25">
      <c r="A163" s="80" t="s">
        <v>123</v>
      </c>
      <c r="B163" s="2"/>
      <c r="C163" s="1"/>
      <c r="D163" s="1"/>
      <c r="E163" s="1"/>
      <c r="F163" s="1"/>
      <c r="G163" s="1"/>
      <c r="H163" s="1"/>
      <c r="I163" s="1"/>
      <c r="J163" s="1"/>
    </row>
    <row r="164" spans="1:10" hidden="1" outlineLevel="1" x14ac:dyDescent="0.25"/>
    <row r="165" spans="1:10" hidden="1" outlineLevel="1" x14ac:dyDescent="0.25">
      <c r="A165" s="81" t="s">
        <v>150</v>
      </c>
      <c r="B165" s="45">
        <v>1.2</v>
      </c>
    </row>
    <row r="166" spans="1:10" hidden="1" outlineLevel="1" x14ac:dyDescent="0.25">
      <c r="A166" s="81" t="s">
        <v>151</v>
      </c>
      <c r="B166" s="38">
        <v>4.2999999999999997E-2</v>
      </c>
    </row>
    <row r="167" spans="1:10" hidden="1" outlineLevel="1" x14ac:dyDescent="0.25">
      <c r="A167" s="81" t="s">
        <v>156</v>
      </c>
      <c r="B167" s="38">
        <v>8.8999999999999996E-2</v>
      </c>
    </row>
    <row r="168" spans="1:10" hidden="1" outlineLevel="1" x14ac:dyDescent="0.25">
      <c r="A168" s="81" t="s">
        <v>157</v>
      </c>
      <c r="B168" s="38">
        <f>B167-B166</f>
        <v>4.5999999999999999E-2</v>
      </c>
    </row>
    <row r="169" spans="1:10" hidden="1" outlineLevel="1" x14ac:dyDescent="0.25">
      <c r="B169" s="44"/>
    </row>
    <row r="170" spans="1:10" hidden="1" outlineLevel="1" x14ac:dyDescent="0.25">
      <c r="A170" s="81" t="s">
        <v>160</v>
      </c>
      <c r="B170" s="33">
        <v>3621000</v>
      </c>
    </row>
    <row r="171" spans="1:10" hidden="1" outlineLevel="1" x14ac:dyDescent="0.25">
      <c r="A171" s="81" t="s">
        <v>154</v>
      </c>
      <c r="B171" s="33">
        <f>SUM(E70,E72)</f>
        <v>9709</v>
      </c>
    </row>
    <row r="172" spans="1:10" hidden="1" outlineLevel="1" x14ac:dyDescent="0.25">
      <c r="A172" s="81" t="s">
        <v>161</v>
      </c>
      <c r="B172" s="33">
        <f>SUM(B170:B171)</f>
        <v>3630709</v>
      </c>
    </row>
    <row r="173" spans="1:10" hidden="1" outlineLevel="1" x14ac:dyDescent="0.25">
      <c r="A173" s="81" t="s">
        <v>155</v>
      </c>
      <c r="B173" s="33">
        <f>-E26</f>
        <v>257</v>
      </c>
    </row>
    <row r="174" spans="1:10" hidden="1" outlineLevel="1" x14ac:dyDescent="0.25"/>
    <row r="175" spans="1:10" hidden="1" outlineLevel="1" x14ac:dyDescent="0.25">
      <c r="A175" s="81" t="s">
        <v>152</v>
      </c>
      <c r="B175" s="38">
        <f>B166+B165*B168</f>
        <v>9.8199999999999996E-2</v>
      </c>
    </row>
    <row r="176" spans="1:10" hidden="1" outlineLevel="1" x14ac:dyDescent="0.25">
      <c r="A176" s="81" t="s">
        <v>158</v>
      </c>
      <c r="B176" s="31">
        <f>B170/B172</f>
        <v>0.99732586665579648</v>
      </c>
    </row>
    <row r="177" spans="1:10" hidden="1" outlineLevel="1" x14ac:dyDescent="0.25">
      <c r="A177" s="81" t="s">
        <v>153</v>
      </c>
      <c r="B177" s="31">
        <f>B173/B171*(1-$B$188)</f>
        <v>2.276444535997528E-2</v>
      </c>
    </row>
    <row r="178" spans="1:10" hidden="1" outlineLevel="1" x14ac:dyDescent="0.25">
      <c r="A178" s="81" t="s">
        <v>159</v>
      </c>
      <c r="B178" s="31">
        <f>B171/B172</f>
        <v>2.6741333442035701E-3</v>
      </c>
    </row>
    <row r="179" spans="1:10" hidden="1" outlineLevel="1" x14ac:dyDescent="0.25"/>
    <row r="180" spans="1:10" hidden="1" outlineLevel="1" x14ac:dyDescent="0.25">
      <c r="A180" s="81" t="s">
        <v>123</v>
      </c>
      <c r="B180" s="46">
        <f>B176*B175+B178*B177</f>
        <v>9.7998275267998619E-2</v>
      </c>
    </row>
    <row r="181" spans="1:10" collapsed="1" x14ac:dyDescent="0.25"/>
    <row r="182" spans="1:10" x14ac:dyDescent="0.25">
      <c r="A182" s="80" t="s">
        <v>172</v>
      </c>
      <c r="B182" s="2"/>
      <c r="C182" s="2"/>
      <c r="D182" s="2"/>
      <c r="E182" s="2"/>
      <c r="F182" s="2"/>
      <c r="G182" s="2"/>
      <c r="H182" s="2"/>
      <c r="I182" s="2"/>
      <c r="J182" s="2"/>
    </row>
    <row r="183" spans="1:10" hidden="1" outlineLevel="1" x14ac:dyDescent="0.25"/>
    <row r="184" spans="1:10" hidden="1" outlineLevel="1" x14ac:dyDescent="0.25">
      <c r="A184" s="81" t="s">
        <v>124</v>
      </c>
      <c r="B184" s="43" t="s">
        <v>164</v>
      </c>
    </row>
    <row r="185" spans="1:10" hidden="1" outlineLevel="1" x14ac:dyDescent="0.25"/>
    <row r="186" spans="1:10" hidden="1" outlineLevel="1" x14ac:dyDescent="0.25">
      <c r="A186" s="81" t="s">
        <v>166</v>
      </c>
      <c r="B186" s="50">
        <f>B180</f>
        <v>9.7998275267998619E-2</v>
      </c>
    </row>
    <row r="187" spans="1:10" hidden="1" outlineLevel="1" x14ac:dyDescent="0.25">
      <c r="A187" s="81" t="s">
        <v>167</v>
      </c>
      <c r="B187" s="50">
        <v>3.5000000000000003E-2</v>
      </c>
    </row>
    <row r="188" spans="1:10" hidden="1" outlineLevel="1" x14ac:dyDescent="0.25">
      <c r="A188" s="81" t="s">
        <v>125</v>
      </c>
      <c r="B188" s="50">
        <v>0.14000000000000001</v>
      </c>
    </row>
    <row r="189" spans="1:10" collapsed="1" x14ac:dyDescent="0.25">
      <c r="C189" s="47"/>
    </row>
    <row r="190" spans="1:10" x14ac:dyDescent="0.25">
      <c r="A190" s="80" t="s">
        <v>173</v>
      </c>
      <c r="B190" s="2"/>
      <c r="C190" s="1"/>
      <c r="D190" s="1"/>
      <c r="E190" s="1"/>
      <c r="F190" s="1"/>
      <c r="G190" s="1"/>
      <c r="H190" s="1"/>
      <c r="I190" s="1"/>
      <c r="J190" s="1"/>
    </row>
    <row r="191" spans="1:10" outlineLevel="1" x14ac:dyDescent="0.25"/>
    <row r="192" spans="1:10" outlineLevel="1" x14ac:dyDescent="0.25">
      <c r="A192" s="81" t="s">
        <v>0</v>
      </c>
      <c r="C192" s="33">
        <f>C11</f>
        <v>26914</v>
      </c>
      <c r="D192" s="33">
        <f>D11</f>
        <v>26974</v>
      </c>
      <c r="E192" s="33">
        <f>E11</f>
        <v>60922</v>
      </c>
      <c r="F192" s="33">
        <f ca="1">E192*(1+F193)</f>
        <v>99912.08</v>
      </c>
      <c r="G192" s="33">
        <f t="shared" ref="G192:J192" ca="1" si="17">F192*(1+G193)</f>
        <v>159859.32800000001</v>
      </c>
      <c r="H192" s="33">
        <f t="shared" ca="1" si="17"/>
        <v>249380.55168000003</v>
      </c>
      <c r="I192" s="33">
        <f t="shared" ca="1" si="17"/>
        <v>379058.43855360005</v>
      </c>
      <c r="J192" s="33">
        <f t="shared" ca="1" si="17"/>
        <v>561006.4890593281</v>
      </c>
    </row>
    <row r="193" spans="1:10" outlineLevel="1" x14ac:dyDescent="0.25">
      <c r="A193" s="83" t="s">
        <v>116</v>
      </c>
      <c r="B193" s="27"/>
      <c r="C193" s="36">
        <f>C12</f>
        <v>0</v>
      </c>
      <c r="D193" s="36">
        <f>D12</f>
        <v>2.2293230289069932E-3</v>
      </c>
      <c r="E193" s="36">
        <f>E12</f>
        <v>1.2585452658115224</v>
      </c>
      <c r="F193" s="51">
        <f ca="1">OFFSET(F193,MATCH($B$184,$A$194:$A$196,0),0)</f>
        <v>0.64</v>
      </c>
      <c r="G193" s="51">
        <f ca="1">OFFSET(G193,MATCH($B$184,$A$194:$A$196,0),0)</f>
        <v>0.6</v>
      </c>
      <c r="H193" s="51">
        <f ca="1">OFFSET(H193,MATCH($B$184,$A$194:$A$196,0),0)</f>
        <v>0.55999999999999994</v>
      </c>
      <c r="I193" s="51">
        <f ca="1">OFFSET(I193,MATCH($B$184,$A$194:$A$196,0),0)</f>
        <v>0.51999999999999991</v>
      </c>
      <c r="J193" s="51">
        <f ca="1">OFFSET(J193,MATCH($B$184,$A$194:$A$196,0),0)</f>
        <v>0.47999999999999993</v>
      </c>
    </row>
    <row r="194" spans="1:10" outlineLevel="1" x14ac:dyDescent="0.25">
      <c r="A194" s="84" t="s">
        <v>163</v>
      </c>
      <c r="B194" s="48"/>
      <c r="C194" s="86"/>
      <c r="D194" s="86"/>
      <c r="E194" s="86"/>
      <c r="F194" s="49">
        <v>0.96</v>
      </c>
      <c r="G194" s="49">
        <f>F194-0.04</f>
        <v>0.91999999999999993</v>
      </c>
      <c r="H194" s="49">
        <f t="shared" ref="H194:J194" si="18">G194-0.04</f>
        <v>0.87999999999999989</v>
      </c>
      <c r="I194" s="49">
        <f t="shared" si="18"/>
        <v>0.83999999999999986</v>
      </c>
      <c r="J194" s="49">
        <f t="shared" si="18"/>
        <v>0.79999999999999982</v>
      </c>
    </row>
    <row r="195" spans="1:10" outlineLevel="1" x14ac:dyDescent="0.25">
      <c r="A195" s="84" t="s">
        <v>164</v>
      </c>
      <c r="B195" s="48"/>
      <c r="C195" s="86"/>
      <c r="D195" s="86"/>
      <c r="E195" s="86"/>
      <c r="F195" s="49">
        <v>0.64</v>
      </c>
      <c r="G195" s="49">
        <f>F195-0.04</f>
        <v>0.6</v>
      </c>
      <c r="H195" s="49">
        <f t="shared" ref="H195:J195" si="19">G195-0.04</f>
        <v>0.55999999999999994</v>
      </c>
      <c r="I195" s="49">
        <f t="shared" si="19"/>
        <v>0.51999999999999991</v>
      </c>
      <c r="J195" s="49">
        <f t="shared" si="19"/>
        <v>0.47999999999999993</v>
      </c>
    </row>
    <row r="196" spans="1:10" outlineLevel="1" x14ac:dyDescent="0.25">
      <c r="A196" s="84" t="s">
        <v>165</v>
      </c>
      <c r="B196" s="48"/>
      <c r="C196" s="86"/>
      <c r="D196" s="86"/>
      <c r="E196" s="86"/>
      <c r="F196" s="49">
        <v>0.48</v>
      </c>
      <c r="G196" s="49">
        <f>F196-0.04</f>
        <v>0.44</v>
      </c>
      <c r="H196" s="49">
        <f t="shared" ref="H196:J196" si="20">G196-0.04</f>
        <v>0.4</v>
      </c>
      <c r="I196" s="49">
        <f t="shared" si="20"/>
        <v>0.36000000000000004</v>
      </c>
      <c r="J196" s="49">
        <f t="shared" si="20"/>
        <v>0.32000000000000006</v>
      </c>
    </row>
    <row r="197" spans="1:10" outlineLevel="1" x14ac:dyDescent="0.25"/>
    <row r="198" spans="1:10" outlineLevel="1" x14ac:dyDescent="0.25">
      <c r="A198" s="81" t="s">
        <v>117</v>
      </c>
      <c r="C198" s="33">
        <f>C23</f>
        <v>10041</v>
      </c>
      <c r="D198" s="33">
        <f>D23</f>
        <v>4224</v>
      </c>
      <c r="E198" s="33">
        <f>E23</f>
        <v>32972</v>
      </c>
      <c r="F198" s="33">
        <f ca="1">F199*F192</f>
        <v>63943.731200000002</v>
      </c>
      <c r="G198" s="33">
        <f t="shared" ref="G198:J198" ca="1" si="21">G199*G192</f>
        <v>102309.96992</v>
      </c>
      <c r="H198" s="33">
        <f t="shared" ca="1" si="21"/>
        <v>159603.55307520003</v>
      </c>
      <c r="I198" s="33">
        <f t="shared" ca="1" si="21"/>
        <v>242597.40067430402</v>
      </c>
      <c r="J198" s="33">
        <f t="shared" ca="1" si="21"/>
        <v>359044.15299797</v>
      </c>
    </row>
    <row r="199" spans="1:10" outlineLevel="1" x14ac:dyDescent="0.25">
      <c r="A199" s="83" t="s">
        <v>118</v>
      </c>
      <c r="B199" s="27"/>
      <c r="C199" s="35">
        <f>C198/C192</f>
        <v>0.37307720888756779</v>
      </c>
      <c r="D199" s="35">
        <f t="shared" ref="D199:E199" si="22">D198/D192</f>
        <v>0.1565952398606065</v>
      </c>
      <c r="E199" s="35">
        <f t="shared" si="22"/>
        <v>0.54121663766783756</v>
      </c>
      <c r="F199" s="52">
        <f ca="1">OFFSET(F199,MATCH($B$184,$A$200:$A$202,0),0)</f>
        <v>0.64</v>
      </c>
      <c r="G199" s="52">
        <f ca="1">OFFSET(G199,MATCH($B$184,$A$200:$A$202,0),0)</f>
        <v>0.64</v>
      </c>
      <c r="H199" s="52">
        <f ca="1">OFFSET(H199,MATCH($B$184,$A$200:$A$202,0),0)</f>
        <v>0.64</v>
      </c>
      <c r="I199" s="52">
        <f ca="1">OFFSET(I199,MATCH($B$184,$A$200:$A$202,0),0)</f>
        <v>0.64</v>
      </c>
      <c r="J199" s="52">
        <f ca="1">OFFSET(J199,MATCH($B$184,$A$200:$A$202,0),0)</f>
        <v>0.64</v>
      </c>
    </row>
    <row r="200" spans="1:10" outlineLevel="1" x14ac:dyDescent="0.25">
      <c r="A200" s="84" t="s">
        <v>163</v>
      </c>
      <c r="B200" s="48"/>
      <c r="C200" s="87"/>
      <c r="D200" s="87"/>
      <c r="E200" s="87"/>
      <c r="F200" s="50">
        <v>0.8</v>
      </c>
      <c r="G200" s="50">
        <f>F200</f>
        <v>0.8</v>
      </c>
      <c r="H200" s="50">
        <f t="shared" ref="H200:J200" si="23">G200</f>
        <v>0.8</v>
      </c>
      <c r="I200" s="50">
        <f t="shared" si="23"/>
        <v>0.8</v>
      </c>
      <c r="J200" s="50">
        <f t="shared" si="23"/>
        <v>0.8</v>
      </c>
    </row>
    <row r="201" spans="1:10" outlineLevel="1" x14ac:dyDescent="0.25">
      <c r="A201" s="84" t="s">
        <v>164</v>
      </c>
      <c r="B201" s="48"/>
      <c r="C201" s="87"/>
      <c r="D201" s="87"/>
      <c r="E201" s="87"/>
      <c r="F201" s="50">
        <v>0.64</v>
      </c>
      <c r="G201" s="50">
        <f>F201</f>
        <v>0.64</v>
      </c>
      <c r="H201" s="50">
        <f t="shared" ref="H201:J201" si="24">G201</f>
        <v>0.64</v>
      </c>
      <c r="I201" s="50">
        <f t="shared" si="24"/>
        <v>0.64</v>
      </c>
      <c r="J201" s="50">
        <f t="shared" si="24"/>
        <v>0.64</v>
      </c>
    </row>
    <row r="202" spans="1:10" outlineLevel="1" x14ac:dyDescent="0.25">
      <c r="A202" s="84" t="s">
        <v>165</v>
      </c>
      <c r="B202" s="48"/>
      <c r="C202" s="87"/>
      <c r="D202" s="87"/>
      <c r="E202" s="87"/>
      <c r="F202" s="50">
        <v>0.42</v>
      </c>
      <c r="G202" s="50">
        <f>F202</f>
        <v>0.42</v>
      </c>
      <c r="H202" s="50">
        <f t="shared" ref="H202:J202" si="25">G202</f>
        <v>0.42</v>
      </c>
      <c r="I202" s="50">
        <f t="shared" si="25"/>
        <v>0.42</v>
      </c>
      <c r="J202" s="50">
        <f t="shared" si="25"/>
        <v>0.42</v>
      </c>
    </row>
    <row r="203" spans="1:10" outlineLevel="1" x14ac:dyDescent="0.25">
      <c r="A203" s="83"/>
      <c r="B203" s="27"/>
      <c r="C203" s="28"/>
      <c r="D203" s="28"/>
      <c r="E203" s="28"/>
      <c r="F203" s="28"/>
      <c r="G203" s="28"/>
      <c r="H203" s="28"/>
      <c r="I203" s="28"/>
      <c r="J203" s="28"/>
    </row>
    <row r="204" spans="1:10" outlineLevel="1" x14ac:dyDescent="0.25">
      <c r="A204" s="81" t="s">
        <v>119</v>
      </c>
      <c r="C204" s="36">
        <f>C31</f>
        <v>1.9012171813700834E-2</v>
      </c>
      <c r="D204" s="36">
        <f>D31</f>
        <v>-4.4726142071274816E-2</v>
      </c>
      <c r="E204" s="36">
        <f>E31</f>
        <v>0.1199952687917677</v>
      </c>
      <c r="F204" s="51">
        <f>$B$188</f>
        <v>0.14000000000000001</v>
      </c>
      <c r="G204" s="51">
        <f>$B$188</f>
        <v>0.14000000000000001</v>
      </c>
      <c r="H204" s="51">
        <f>$B$188</f>
        <v>0.14000000000000001</v>
      </c>
      <c r="I204" s="51">
        <f>$B$188</f>
        <v>0.14000000000000001</v>
      </c>
      <c r="J204" s="51">
        <f>$B$188</f>
        <v>0.14000000000000001</v>
      </c>
    </row>
    <row r="205" spans="1:10" outlineLevel="1" x14ac:dyDescent="0.25">
      <c r="A205" s="81" t="s">
        <v>144</v>
      </c>
      <c r="C205" s="34"/>
      <c r="D205" s="34"/>
      <c r="E205" s="34"/>
      <c r="F205" s="30">
        <f t="shared" ref="F205:J205" ca="1" si="26">(1-F204)*F198</f>
        <v>54991.608831999998</v>
      </c>
      <c r="G205" s="30">
        <f t="shared" ca="1" si="26"/>
        <v>87986.574131200003</v>
      </c>
      <c r="H205" s="30">
        <f t="shared" ca="1" si="26"/>
        <v>137259.05564467201</v>
      </c>
      <c r="I205" s="30">
        <f t="shared" ca="1" si="26"/>
        <v>208633.76457990144</v>
      </c>
      <c r="J205" s="30">
        <f t="shared" ca="1" si="26"/>
        <v>308777.97157825419</v>
      </c>
    </row>
    <row r="206" spans="1:10" outlineLevel="1" x14ac:dyDescent="0.25"/>
    <row r="207" spans="1:10" outlineLevel="1" x14ac:dyDescent="0.25">
      <c r="A207" s="81" t="s">
        <v>65</v>
      </c>
      <c r="C207" s="32"/>
      <c r="D207" s="32"/>
      <c r="E207" s="32"/>
      <c r="F207" s="33">
        <f>F95</f>
        <v>0</v>
      </c>
      <c r="G207" s="33">
        <f>G95</f>
        <v>0</v>
      </c>
      <c r="H207" s="33">
        <f>H95</f>
        <v>0</v>
      </c>
      <c r="I207" s="33">
        <f>I95</f>
        <v>0</v>
      </c>
      <c r="J207" s="33">
        <f>J95</f>
        <v>0</v>
      </c>
    </row>
    <row r="208" spans="1:10" outlineLevel="1" x14ac:dyDescent="0.25"/>
    <row r="209" spans="1:10" outlineLevel="1" x14ac:dyDescent="0.25">
      <c r="A209" s="81" t="s">
        <v>93</v>
      </c>
      <c r="C209" s="32"/>
      <c r="D209" s="32"/>
      <c r="E209" s="32"/>
      <c r="F209" s="33">
        <f ca="1">F134</f>
        <v>3254.9247999999998</v>
      </c>
      <c r="G209" s="33">
        <f ca="1">G134</f>
        <v>5395.2523200000005</v>
      </c>
      <c r="H209" s="33">
        <f ca="1">H134</f>
        <v>8248.7413248000012</v>
      </c>
      <c r="I209" s="33">
        <f ca="1">I134</f>
        <v>12269.523142656002</v>
      </c>
      <c r="J209" s="33">
        <f ca="1">J134</f>
        <v>17739.93492430848</v>
      </c>
    </row>
    <row r="210" spans="1:10" outlineLevel="1" x14ac:dyDescent="0.25"/>
    <row r="211" spans="1:10" outlineLevel="1" x14ac:dyDescent="0.25">
      <c r="A211" s="81" t="s">
        <v>169</v>
      </c>
      <c r="C211" s="32"/>
      <c r="D211" s="32"/>
      <c r="E211" s="32"/>
      <c r="F211" s="33">
        <f ca="1">F161-E161</f>
        <v>24385.469600000004</v>
      </c>
      <c r="G211" s="33">
        <f ca="1">G161-F161</f>
        <v>20581.888479999987</v>
      </c>
      <c r="H211" s="33">
        <f ca="1">H161-G161</f>
        <v>32227.640524800023</v>
      </c>
      <c r="I211" s="33">
        <f ca="1">I161-H161</f>
        <v>46684.039274495983</v>
      </c>
      <c r="J211" s="33">
        <f ca="1">J161-I161</f>
        <v>65501.298182062135</v>
      </c>
    </row>
    <row r="212" spans="1:10" outlineLevel="1" x14ac:dyDescent="0.25"/>
    <row r="213" spans="1:10" outlineLevel="1" x14ac:dyDescent="0.25">
      <c r="A213" s="81" t="s">
        <v>120</v>
      </c>
      <c r="C213" s="32"/>
      <c r="D213" s="32"/>
      <c r="E213" s="32"/>
      <c r="F213" s="33">
        <f t="shared" ref="F213:J213" ca="1" si="27">F205+F207-F209-F211</f>
        <v>27351.214431999993</v>
      </c>
      <c r="G213" s="33">
        <f t="shared" ca="1" si="27"/>
        <v>62009.433331200016</v>
      </c>
      <c r="H213" s="33">
        <f t="shared" ca="1" si="27"/>
        <v>96782.673795071983</v>
      </c>
      <c r="I213" s="33">
        <f t="shared" ca="1" si="27"/>
        <v>149680.20216274948</v>
      </c>
      <c r="J213" s="33">
        <f t="shared" ca="1" si="27"/>
        <v>225536.73847188355</v>
      </c>
    </row>
    <row r="214" spans="1:10" outlineLevel="1" x14ac:dyDescent="0.25"/>
    <row r="215" spans="1:10" outlineLevel="1" x14ac:dyDescent="0.25">
      <c r="A215" s="81" t="s">
        <v>121</v>
      </c>
      <c r="C215" s="29"/>
      <c r="D215" s="29"/>
      <c r="E215" s="29"/>
      <c r="F215" s="52">
        <f>$B$180</f>
        <v>9.7998275267998619E-2</v>
      </c>
      <c r="G215" s="52">
        <f>$B$180</f>
        <v>9.7998275267998619E-2</v>
      </c>
      <c r="H215" s="52">
        <f>$B$180</f>
        <v>9.7998275267998619E-2</v>
      </c>
      <c r="I215" s="52">
        <f>$B$180</f>
        <v>9.7998275267998619E-2</v>
      </c>
      <c r="J215" s="52">
        <f>$B$180</f>
        <v>9.7998275267998619E-2</v>
      </c>
    </row>
    <row r="216" spans="1:10" outlineLevel="1" x14ac:dyDescent="0.25">
      <c r="A216" s="81" t="s">
        <v>122</v>
      </c>
      <c r="C216" s="29"/>
      <c r="D216" s="29"/>
      <c r="E216" s="29"/>
      <c r="F216" s="30">
        <f ca="1">F213/(1+F215)^F5</f>
        <v>24910.070487427794</v>
      </c>
      <c r="G216" s="30">
        <f ca="1">G213/(1+G215)^G5</f>
        <v>51434.491043304479</v>
      </c>
      <c r="H216" s="30">
        <f ca="1">H213/(1+H215)^H5</f>
        <v>73112.669686755893</v>
      </c>
      <c r="I216" s="30">
        <f ca="1">I213/(1+I215)^I5</f>
        <v>102981.14811108136</v>
      </c>
      <c r="J216" s="30">
        <f ca="1">J213/(1+J215)^J5</f>
        <v>141321.74980324655</v>
      </c>
    </row>
    <row r="217" spans="1:10" outlineLevel="1" x14ac:dyDescent="0.25"/>
    <row r="218" spans="1:10" outlineLevel="1" x14ac:dyDescent="0.25">
      <c r="A218" s="81" t="s">
        <v>141</v>
      </c>
      <c r="B218" s="37">
        <f ca="1">J216</f>
        <v>141321.74980324655</v>
      </c>
    </row>
    <row r="219" spans="1:10" outlineLevel="1" x14ac:dyDescent="0.25">
      <c r="A219" s="81" t="s">
        <v>142</v>
      </c>
      <c r="B219" s="30">
        <f ca="1">($B$218*(1+$B$187))/($B$186-$B$187)</f>
        <v>2321778.023670122</v>
      </c>
    </row>
    <row r="220" spans="1:10" outlineLevel="1" x14ac:dyDescent="0.25">
      <c r="A220" s="81" t="s">
        <v>134</v>
      </c>
      <c r="B220" s="37">
        <f ca="1">(B219+SUM(F216:J216))</f>
        <v>2715538.1528019384</v>
      </c>
    </row>
    <row r="221" spans="1:10" outlineLevel="1" x14ac:dyDescent="0.25">
      <c r="A221" s="81" t="s">
        <v>139</v>
      </c>
      <c r="B221" s="33">
        <f>E36+E37</f>
        <v>25984</v>
      </c>
    </row>
    <row r="222" spans="1:10" outlineLevel="1" x14ac:dyDescent="0.25">
      <c r="A222" s="81" t="s">
        <v>140</v>
      </c>
      <c r="B222" s="33">
        <f>SUM(E70,E72)</f>
        <v>9709</v>
      </c>
    </row>
    <row r="223" spans="1:10" outlineLevel="1" x14ac:dyDescent="0.25">
      <c r="A223" s="81" t="s">
        <v>135</v>
      </c>
      <c r="B223" s="37">
        <f ca="1">(B220+B221-B222)</f>
        <v>2731813.1528019384</v>
      </c>
    </row>
    <row r="224" spans="1:10" outlineLevel="1" x14ac:dyDescent="0.25">
      <c r="A224" s="81" t="s">
        <v>138</v>
      </c>
      <c r="B224" s="30">
        <v>24848</v>
      </c>
    </row>
    <row r="225" spans="1:10" outlineLevel="1" x14ac:dyDescent="0.25">
      <c r="A225" s="81" t="s">
        <v>136</v>
      </c>
      <c r="B225" s="30">
        <f ca="1">B223/B224</f>
        <v>109.9409671926086</v>
      </c>
    </row>
    <row r="226" spans="1:10" outlineLevel="1" x14ac:dyDescent="0.25">
      <c r="A226" s="81" t="s">
        <v>137</v>
      </c>
      <c r="B226" s="30">
        <v>148.77000000000001</v>
      </c>
    </row>
    <row r="227" spans="1:10" outlineLevel="1" x14ac:dyDescent="0.25">
      <c r="A227" s="81" t="s">
        <v>143</v>
      </c>
      <c r="B227" s="38">
        <f ca="1">B225/B226-1</f>
        <v>-0.26100042217780073</v>
      </c>
    </row>
    <row r="228" spans="1:10" outlineLevel="1" x14ac:dyDescent="0.25">
      <c r="A228" s="81" t="s">
        <v>162</v>
      </c>
      <c r="B228" s="139" t="str">
        <f ca="1">IF(B227&gt;0,"Undervalued","Overvalued")</f>
        <v>Overvalued</v>
      </c>
    </row>
    <row r="229" spans="1:10" outlineLevel="1" x14ac:dyDescent="0.25">
      <c r="B229" s="88"/>
    </row>
    <row r="230" spans="1:10" outlineLevel="1" x14ac:dyDescent="0.25">
      <c r="A230" s="80" t="s">
        <v>174</v>
      </c>
      <c r="B230" s="89"/>
      <c r="C230" s="2"/>
      <c r="D230" s="2"/>
      <c r="E230" s="2"/>
      <c r="F230" s="2"/>
      <c r="G230" s="2"/>
      <c r="H230" s="2"/>
      <c r="I230" s="2"/>
      <c r="J230" s="2"/>
    </row>
    <row r="231" spans="1:10" outlineLevel="1" x14ac:dyDescent="0.25">
      <c r="B231" s="88"/>
    </row>
    <row r="232" spans="1:10" outlineLevel="1" x14ac:dyDescent="0.25">
      <c r="B232" s="88"/>
    </row>
    <row r="233" spans="1:10" outlineLevel="1" x14ac:dyDescent="0.25">
      <c r="A233" s="81" t="s">
        <v>180</v>
      </c>
      <c r="B233" s="30">
        <v>3620000</v>
      </c>
    </row>
    <row r="234" spans="1:10" outlineLevel="1" x14ac:dyDescent="0.25">
      <c r="A234" s="81" t="s">
        <v>154</v>
      </c>
      <c r="B234" s="30">
        <f>B222</f>
        <v>9709</v>
      </c>
    </row>
    <row r="235" spans="1:10" outlineLevel="1" x14ac:dyDescent="0.25">
      <c r="A235" s="81" t="s">
        <v>179</v>
      </c>
      <c r="B235" s="30">
        <f>E36+E37</f>
        <v>25984</v>
      </c>
    </row>
    <row r="236" spans="1:10" outlineLevel="1" x14ac:dyDescent="0.25">
      <c r="A236" s="81" t="s">
        <v>175</v>
      </c>
      <c r="B236" s="30">
        <f>B233-B234+B235</f>
        <v>3636275</v>
      </c>
    </row>
    <row r="237" spans="1:10" outlineLevel="1" x14ac:dyDescent="0.25">
      <c r="A237" s="81" t="s">
        <v>176</v>
      </c>
      <c r="B237" s="30">
        <f>E23+E95</f>
        <v>34480</v>
      </c>
    </row>
    <row r="238" spans="1:10" outlineLevel="1" x14ac:dyDescent="0.25">
      <c r="A238" s="81" t="s">
        <v>117</v>
      </c>
      <c r="B238" s="30">
        <f>E23</f>
        <v>32972</v>
      </c>
    </row>
    <row r="239" spans="1:10" outlineLevel="1" x14ac:dyDescent="0.25">
      <c r="A239" s="81" t="s">
        <v>177</v>
      </c>
      <c r="B239" s="45">
        <f>$B$236/$B$237</f>
        <v>105.46041183294663</v>
      </c>
    </row>
    <row r="240" spans="1:10" outlineLevel="1" x14ac:dyDescent="0.25">
      <c r="A240" s="81" t="s">
        <v>178</v>
      </c>
      <c r="B240" s="45">
        <f>$B$236/$B$238</f>
        <v>110.28372558534514</v>
      </c>
    </row>
    <row r="242" spans="1:10" x14ac:dyDescent="0.25">
      <c r="A242" s="80" t="s">
        <v>170</v>
      </c>
      <c r="B242" s="39"/>
      <c r="C242" s="39"/>
      <c r="D242" s="39"/>
      <c r="E242" s="39"/>
      <c r="F242" s="39"/>
      <c r="G242" s="39"/>
      <c r="H242" s="39"/>
      <c r="I242" s="39"/>
      <c r="J242" s="39"/>
    </row>
    <row r="243" spans="1:10" outlineLevel="1" x14ac:dyDescent="0.25"/>
    <row r="244" spans="1:10" outlineLevel="1" x14ac:dyDescent="0.25"/>
    <row r="245" spans="1:10" outlineLevel="1" x14ac:dyDescent="0.25">
      <c r="B245" s="53"/>
      <c r="C245" s="54"/>
      <c r="D245" s="58" t="s">
        <v>167</v>
      </c>
      <c r="E245" s="56"/>
      <c r="F245" s="56"/>
      <c r="G245" s="56"/>
      <c r="H245" s="57"/>
    </row>
    <row r="246" spans="1:10" outlineLevel="1" x14ac:dyDescent="0.25">
      <c r="B246" s="55"/>
      <c r="C246" s="61">
        <f ca="1">B225</f>
        <v>109.9409671926086</v>
      </c>
      <c r="D246" s="62">
        <v>4.4999999999999998E-2</v>
      </c>
      <c r="E246" s="63">
        <v>0.04</v>
      </c>
      <c r="F246" s="76">
        <v>3.5000000000000003E-2</v>
      </c>
      <c r="G246" s="63">
        <v>0.03</v>
      </c>
      <c r="H246" s="64">
        <v>2.5000000000000001E-2</v>
      </c>
    </row>
    <row r="247" spans="1:10" outlineLevel="1" x14ac:dyDescent="0.25">
      <c r="B247" s="59"/>
      <c r="C247" s="65">
        <f>$C$248-2*0.015</f>
        <v>5.3000000000000005E-2</v>
      </c>
      <c r="D247" s="68">
        <f t="dataTable" ref="D247:H251" dt2D="1" dtr="1" r1="B187" r2="B180" ca="1"/>
        <v>935.01797465428183</v>
      </c>
      <c r="E247" s="69">
        <v>580.08280255786281</v>
      </c>
      <c r="F247" s="69">
        <v>422.3338371816763</v>
      </c>
      <c r="G247" s="69">
        <v>333.17137849078819</v>
      </c>
      <c r="H247" s="70">
        <v>275.85265504664591</v>
      </c>
    </row>
    <row r="248" spans="1:10" outlineLevel="1" x14ac:dyDescent="0.25">
      <c r="B248" s="59"/>
      <c r="C248" s="66">
        <f>$C$249-1*0.015</f>
        <v>8.3000000000000004E-2</v>
      </c>
      <c r="D248" s="71">
        <v>184.87570948401768</v>
      </c>
      <c r="E248" s="30">
        <v>164.68600403549121</v>
      </c>
      <c r="F248" s="30">
        <v>148.70248722207441</v>
      </c>
      <c r="G248" s="30">
        <v>135.73472829798152</v>
      </c>
      <c r="H248" s="72">
        <v>125.00278987804259</v>
      </c>
    </row>
    <row r="249" spans="1:10" outlineLevel="1" x14ac:dyDescent="0.25">
      <c r="B249" s="59" t="s">
        <v>166</v>
      </c>
      <c r="C249" s="77">
        <v>9.8000000000000004E-2</v>
      </c>
      <c r="D249" s="71">
        <v>128.64010048247829</v>
      </c>
      <c r="E249" s="30">
        <v>118.48269854852656</v>
      </c>
      <c r="F249" s="78">
        <v>109.93758263583696</v>
      </c>
      <c r="G249" s="30">
        <v>102.64910141618999</v>
      </c>
      <c r="H249" s="72">
        <v>96.359042281426156</v>
      </c>
    </row>
    <row r="250" spans="1:10" outlineLevel="1" x14ac:dyDescent="0.25">
      <c r="B250" s="59"/>
      <c r="C250" s="66">
        <f>$C$249+1*0.015</f>
        <v>0.113</v>
      </c>
      <c r="D250" s="71">
        <v>97.392379995859756</v>
      </c>
      <c r="E250" s="30">
        <v>91.434614135022215</v>
      </c>
      <c r="F250" s="30">
        <v>86.240664410189495</v>
      </c>
      <c r="G250" s="30">
        <v>81.672491760637811</v>
      </c>
      <c r="H250" s="72">
        <v>77.623429639444282</v>
      </c>
    </row>
    <row r="251" spans="1:10" outlineLevel="1" x14ac:dyDescent="0.25">
      <c r="B251" s="60"/>
      <c r="C251" s="67">
        <f>$C$249+2*0.015</f>
        <v>0.128</v>
      </c>
      <c r="D251" s="73">
        <v>77.574567787790414</v>
      </c>
      <c r="E251" s="74">
        <v>73.736623213592694</v>
      </c>
      <c r="F251" s="74">
        <v>70.311360851674266</v>
      </c>
      <c r="G251" s="74">
        <v>67.23561505729856</v>
      </c>
      <c r="H251" s="75">
        <v>64.458485359464177</v>
      </c>
    </row>
    <row r="252" spans="1:10" outlineLevel="1" x14ac:dyDescent="0.25"/>
    <row r="253" spans="1:10" outlineLevel="1" x14ac:dyDescent="0.25"/>
  </sheetData>
  <dataValidations disablePrompts="1" count="1">
    <dataValidation type="list" showInputMessage="1" showErrorMessage="1" sqref="B184" xr:uid="{FB138817-0651-44B1-ADA8-A14B4131A9A3}">
      <formula1>$A$194:$A$196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DCF_NVIDIA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Dominik 60566</cp:lastModifiedBy>
  <dcterms:created xsi:type="dcterms:W3CDTF">2015-06-05T18:19:34Z</dcterms:created>
  <dcterms:modified xsi:type="dcterms:W3CDTF">2024-11-11T11:21:01Z</dcterms:modified>
</cp:coreProperties>
</file>